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1054162E-33CA-43AF-A100-4BD9E1D53836}" xr6:coauthVersionLast="47" xr6:coauthVersionMax="47" xr10:uidLastSave="{00000000-0000-0000-0000-000000000000}"/>
  <bookViews>
    <workbookView xWindow="-108" yWindow="-108" windowWidth="23256" windowHeight="14616" tabRatio="863" firstSheet="7" activeTab="7" xr2:uid="{432CEF09-D5A9-4C02-8634-C8C653D7B7A9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PAGOS!$A$2:$K$468</definedName>
    <definedName name="_xlnm._FilterDatabase" localSheetId="3" hidden="1">PRESTAMOS!$A$2:$K$123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39" l="1"/>
  <c r="O9" i="39"/>
  <c r="N27" i="15"/>
  <c r="O27" i="15" s="1"/>
  <c r="P27" i="15"/>
  <c r="Q27" i="15" s="1"/>
  <c r="N28" i="15"/>
  <c r="O28" i="15" s="1"/>
  <c r="P28" i="15"/>
  <c r="Q28" i="15" s="1"/>
  <c r="P23" i="22"/>
  <c r="P25" i="22" s="1"/>
  <c r="L468" i="18" l="1"/>
  <c r="H123" i="3"/>
  <c r="I123" i="3" s="1"/>
  <c r="K123" i="3"/>
  <c r="L123" i="3"/>
  <c r="H122" i="3"/>
  <c r="I122" i="3" s="1"/>
  <c r="K122" i="3"/>
  <c r="L122" i="3"/>
  <c r="L467" i="18" l="1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J7" i="22"/>
  <c r="J6" i="22"/>
  <c r="J4" i="22"/>
  <c r="E26" i="22" s="1"/>
  <c r="E8" i="22"/>
  <c r="E21" i="22" s="1"/>
  <c r="E22" i="22"/>
  <c r="E20" i="22"/>
  <c r="E17" i="22"/>
  <c r="J9" i="22" s="1"/>
  <c r="E14" i="22"/>
  <c r="E9" i="22"/>
  <c r="J5" i="22" s="1"/>
  <c r="J12" i="22" s="1"/>
  <c r="E7" i="22"/>
  <c r="E5" i="22"/>
  <c r="E23" i="22" s="1"/>
  <c r="N26" i="15"/>
  <c r="O26" i="15" s="1"/>
  <c r="P26" i="15"/>
  <c r="Q26" i="15" s="1"/>
  <c r="J11" i="22" l="1"/>
  <c r="J13" i="22" s="1"/>
  <c r="E24" i="22"/>
  <c r="H28" i="22"/>
  <c r="R20" i="22"/>
  <c r="L451" i="18"/>
  <c r="H121" i="3"/>
  <c r="I121" i="3" s="1"/>
  <c r="L121" i="3"/>
  <c r="L450" i="18"/>
  <c r="N12" i="10"/>
  <c r="O12" i="10" s="1"/>
  <c r="P12" i="10"/>
  <c r="Q12" i="10" s="1"/>
  <c r="H120" i="3"/>
  <c r="I120" i="3" s="1"/>
  <c r="K120" i="3"/>
  <c r="L120" i="3"/>
  <c r="L449" i="18"/>
  <c r="L448" i="18"/>
  <c r="N25" i="15"/>
  <c r="O25" i="15" s="1"/>
  <c r="P25" i="15"/>
  <c r="Q25" i="15" s="1"/>
  <c r="H119" i="3"/>
  <c r="I119" i="3" s="1"/>
  <c r="L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K121" i="3" l="1"/>
  <c r="K119" i="3"/>
  <c r="H118" i="3"/>
  <c r="K118" i="3" s="1"/>
  <c r="L118" i="3"/>
  <c r="H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7" i="3" l="1"/>
  <c r="E11" i="22"/>
  <c r="J8" i="22" s="1"/>
  <c r="K117" i="3"/>
  <c r="I118" i="3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L400" i="18"/>
  <c r="L399" i="18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L228" i="18"/>
  <c r="L226" i="18"/>
  <c r="L136" i="18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E16" i="22" l="1"/>
  <c r="K89" i="3"/>
  <c r="K84" i="3"/>
  <c r="K90" i="3"/>
  <c r="K88" i="3"/>
  <c r="K87" i="3"/>
  <c r="K86" i="3"/>
  <c r="K85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9" i="39" l="1"/>
  <c r="I24" i="39" s="1"/>
  <c r="E13" i="22"/>
  <c r="E15" i="22" s="1"/>
  <c r="H22" i="39"/>
  <c r="M22" i="39" s="1"/>
  <c r="K74" i="3"/>
  <c r="K71" i="3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L9" i="39" l="1"/>
  <c r="L24" i="39" s="1"/>
  <c r="I45" i="3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H15" i="22" l="1"/>
  <c r="P16" i="22" s="1"/>
  <c r="P17" i="22" s="1"/>
  <c r="I32" i="3"/>
  <c r="I35" i="3"/>
  <c r="I31" i="3"/>
  <c r="I33" i="3"/>
  <c r="I34" i="3"/>
  <c r="I36" i="3"/>
  <c r="I37" i="3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E10" i="22" s="1"/>
  <c r="E18" i="22" l="1"/>
  <c r="E28" i="22" s="1"/>
  <c r="E25" i="22"/>
  <c r="E27" i="22" s="1"/>
  <c r="K3" i="3"/>
  <c r="N4" i="3" s="1" a="1"/>
  <c r="N4" i="3" s="1"/>
  <c r="H14" i="39"/>
  <c r="H24" i="39" s="1"/>
  <c r="I3" i="3"/>
  <c r="I28" i="22" l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  <author>tc={477C6BB1-D90F-43FA-8595-7E09F3942D28}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  <comment ref="D44" authorId="1" shapeId="0" xr:uid="{477C6BB1-D90F-43FA-8595-7E09F3942D2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REPONER ROCIO 50$ DANNY 250 MAYRA 120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<sst xmlns="http://schemas.openxmlformats.org/spreadsheetml/2006/main" count="5179" uniqueCount="619">
  <si>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</si>
  <si>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</si>
  <si>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</si>
  <si>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</si>
  <si>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</si>
  <si>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</si>
  <si>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</si>
  <si>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</si>
  <si>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</si>
  <si>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</si>
  <si>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</si>
  <si>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</si>
  <si>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</si>
  <si>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</si>
  <si>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</si>
  <si>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</si>
  <si>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</si>
  <si>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</si>
  <si>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</si>
  <si>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</si>
  <si>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</si>
  <si>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</si>
  <si>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</si>
  <si>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</si>
  <si>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</si>
  <si>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</si>
  <si>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</si>
  <si>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</si>
  <si>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</si>
  <si>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</si>
  <si>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</si>
  <si>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</si>
  <si>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</si>
  <si>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</si>
  <si>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</si>
  <si>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</si>
  <si>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</si>
  <si>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</si>
  <si>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</si>
  <si>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</si>
  <si>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</si>
  <si>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</si>
  <si>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</si>
  <si>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</si>
  <si>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</si>
  <si>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</si>
  <si>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</si>
  <si>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</si>
  <si>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</si>
  <si>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</si>
  <si>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</si>
  <si>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</si>
  <si>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</si>
  <si>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</si>
  <si>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</si>
  <si>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</si>
  <si>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</si>
  <si>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</si>
  <si>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</si>
  <si>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</si>
  <si>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</si>
  <si>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</si>
  <si>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</si>
  <si>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</si>
  <si>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</si>
  <si>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</si>
  <si>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</si>
  <si>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</si>
  <si>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</si>
  <si>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</si>
  <si>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</si>
  <si>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</si>
  <si>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</si>
  <si>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</si>
  <si>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</si>
  <si>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</si>
  <si>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</si>
  <si>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</si>
  <si>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</si>
  <si>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</si>
  <si>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</si>
  <si>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</si>
  <si>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</si>
  <si>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</si>
  <si>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</si>
  <si>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</si>
  <si>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</si>
  <si>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</si>
  <si>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</si>
  <si>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</si>
  <si>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</si>
  <si>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</si>
  <si>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</si>
  <si>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</si>
  <si>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</si>
  <si>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</si>
  <si>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</si>
  <si>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</si>
  <si>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</si>
  <si>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</si>
  <si>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</si>
  <si>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</si>
  <si>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</si>
  <si>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</si>
  <si>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</si>
  <si>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</si>
  <si>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</si>
  <si>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</si>
  <si>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</si>
  <si>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</si>
  <si>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</si>
  <si>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</si>
  <si>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</si>
  <si>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</si>
  <si>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</si>
  <si>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</si>
  <si>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</si>
  <si>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</si>
  <si>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</si>
  <si>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</si>
  <si>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</si>
  <si>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</si>
  <si>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</si>
  <si>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</si>
  <si>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</si>
  <si>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</si>
  <si>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</si>
  <si>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</si>
  <si>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</si>
  <si>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</si>
  <si>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</si>
  <si>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</si>
  <si>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</si>
  <si>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</si>
  <si>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</si>
  <si>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</si>
  <si>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</si>
  <si>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</si>
  <si>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</si>
  <si>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</si>
  <si>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</si>
  <si>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</si>
  <si>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</si>
  <si>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</si>
  <si>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</si>
  <si>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</si>
  <si>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</si>
  <si>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</si>
  <si>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</si>
  <si>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</si>
  <si>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</si>
  <si>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</si>
  <si>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</si>
  <si>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</si>
  <si>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</si>
  <si>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</si>
  <si>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</si>
  <si>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</si>
  <si>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</si>
  <si>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</si>
  <si>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</si>
  <si>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</si>
  <si>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</si>
  <si>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</si>
  <si>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</si>
  <si>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</si>
  <si>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</si>
  <si>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</si>
  <si>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</si>
  <si>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</si>
  <si>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</si>
  <si>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</si>
  <si>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</si>
  <si>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</si>
  <si>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</si>
  <si>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</si>
  <si>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</si>
  <si>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</si>
  <si>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</si>
  <si>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</si>
  <si>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</si>
  <si>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</si>
  <si>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</si>
  <si>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</si>
  <si>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</si>
  <si>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</si>
  <si>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</si>
  <si>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</si>
  <si>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</si>
  <si>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</si>
  <si>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</si>
  <si>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</si>
  <si>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</si>
  <si>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</si>
  <si>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</si>
  <si>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</si>
  <si>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</si>
  <si>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</si>
  <si>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</si>
  <si>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</si>
  <si>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</si>
  <si>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</si>
  <si>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</si>
  <si>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</si>
  <si>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</si>
  <si>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</si>
  <si>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</si>
  <si>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</si>
  <si>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</si>
  <si>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</si>
  <si>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</si>
  <si>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</si>
  <si>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</si>
  <si>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</si>
  <si>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</si>
  <si>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</si>
  <si>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</si>
  <si>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</si>
  <si>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</si>
  <si>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</si>
  <si>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</si>
  <si>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</si>
  <si>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</si>
  <si>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</si>
  <si>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</si>
  <si>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</si>
  <si>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</si>
  <si>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</si>
  <si>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</si>
  <si>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</si>
  <si>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</si>
  <si>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</si>
  <si>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</si>
  <si>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</si>
  <si>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</si>
  <si>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</si>
  <si>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</si>
  <si>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</si>
  <si>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</si>
  <si>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</si>
  <si>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</si>
  <si>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</si>
  <si>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</si>
  <si>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</si>
  <si>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</si>
  <si>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</si>
  <si>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</si>
  <si>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</si>
  <si>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</si>
  <si>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</si>
  <si>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</si>
  <si>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</si>
  <si>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</si>
  <si>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</si>
  <si>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</si>
  <si>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</si>
  <si>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</si>
  <si>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</si>
  <si>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</si>
  <si>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</si>
  <si>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</si>
  <si>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</si>
  <si>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</si>
  <si>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</si>
  <si>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</si>
  <si>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</si>
  <si>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</si>
  <si>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</si>
  <si>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</si>
  <si>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</si>
  <si>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</si>
  <si>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</si>
  <si>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</si>
  <si>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</si>
  <si>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</si>
  <si>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</si>
  <si>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</si>
  <si>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</si>
  <si>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</si>
  <si>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</si>
  <si>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</si>
  <si>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</si>
  <si>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</si>
  <si>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</si>
  <si>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</si>
  <si>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</si>
  <si>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</si>
  <si>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</si>
  <si>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</si>
  <si>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</si>
  <si>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</si>
  <si>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</si>
  <si>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</si>
  <si>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</si>
  <si>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</si>
  <si>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</si>
  <si>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</si>
  <si>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</si>
  <si>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</si>
  <si>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</si>
  <si>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</si>
  <si>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</si>
  <si>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</si>
  <si>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</si>
  <si>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</si>
  <si>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</si>
  <si>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</si>
  <si>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</si>
  <si>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</si>
  <si>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</si>
  <si>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</si>
  <si>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</si>
  <si>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</si>
  <si>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</si>
  <si>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</si>
  <si>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</si>
  <si>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</si>
  <si>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</si>
  <si>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</si>
  <si>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</si>
  <si>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</si>
  <si>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</si>
  <si>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</si>
  <si>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</si>
  <si>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</si>
  <si>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</si>
  <si>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</si>
  <si>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</si>
  <si>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</si>
  <si>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</si>
  <si>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</si>
  <si>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</si>
  <si>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</si>
  <si>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</si>
  <si>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</si>
  <si>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</si>
  <si>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</si>
  <si>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</si>
  <si>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</si>
  <si>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</si>
  <si>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</si>
  <si>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</si>
  <si>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</si>
  <si>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</si>
  <si>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</si>
  <si>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</si>
  <si>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</si>
  <si>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</si>
  <si>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</si>
  <si>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</si>
  <si>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</si>
  <si>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</si>
  <si>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</si>
  <si>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</si>
  <si>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</si>
  <si>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</si>
  <si>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</si>
  <si>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</si>
  <si>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</si>
  <si>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</si>
  <si>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</si>
  <si>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</si>
  <si>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</si>
  <si>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</si>
  <si>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</si>
  <si>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</si>
  <si>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</si>
  <si>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</si>
  <si>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</si>
  <si>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</si>
  <si>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</si>
  <si>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</si>
  <si>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</si>
  <si>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</si>
  <si>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</si>
  <si>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</si>
  <si>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</si>
  <si>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</si>
  <si>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</si>
  <si>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</si>
  <si>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</si>
  <si>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</si>
  <si>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</si>
  <si>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</si>
  <si>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</si>
  <si>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</si>
  <si>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</si>
  <si>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</si>
  <si>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</si>
  <si>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</si>
  <si>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</si>
  <si>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</si>
  <si>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</si>
  <si>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</si>
  <si>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</si>
  <si>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</si>
  <si>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</si>
  <si>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</si>
  <si>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</si>
  <si>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</si>
  <si>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</si>
  <si>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</si>
  <si>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</si>
  <si>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</si>
  <si>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</si>
  <si>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</si>
  <si>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</si>
  <si>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</si>
  <si>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</si>
  <si>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</si>
  <si>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</si>
  <si>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</si>
  <si>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</si>
  <si>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</si>
  <si>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</si>
  <si>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</si>
  <si>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</si>
  <si>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</si>
  <si>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</si>
  <si>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</si>
  <si>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</si>
  <si>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</si>
  <si>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</si>
  <si>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</si>
  <si>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</si>
  <si>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</si>
  <si>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</si>
  <si>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</si>
  <si>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</si>
  <si>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</si>
  <si>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</si>
  <si>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</si>
  <si>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</si>
  <si>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</si>
  <si>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</si>
  <si>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</si>
  <si>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</si>
  <si>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</si>
  <si>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</si>
  <si>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</si>
  <si>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</si>
  <si>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</si>
  <si>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</si>
  <si>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</si>
  <si>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</si>
  <si>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</si>
  <si>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</si>
  <si>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</si>
  <si>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</si>
  <si>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</si>
  <si>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</si>
  <si>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</si>
  <si>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</si>
  <si>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</si>
  <si>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</si>
  <si>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</si>
  <si>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</si>
  <si>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</si>
  <si>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</si>
  <si>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</si>
  <si>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</si>
  <si>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</si>
  <si>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</si>
  <si>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</si>
  <si>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</si>
  <si>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</si>
  <si>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</si>
  <si>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</si>
  <si>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</si>
  <si>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</si>
  <si>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</si>
  <si>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</si>
  <si>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</si>
  <si>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</si>
  <si>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</si>
  <si>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</si>
  <si>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</si>
  <si>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</si>
  <si>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</si>
  <si>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</si>
  <si>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</si>
  <si>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</si>
  <si>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</si>
  <si>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</si>
  <si>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</si>
  <si>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</si>
  <si>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</si>
  <si>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</si>
  <si>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</si>
  <si>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</si>
  <si>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</si>
  <si>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</si>
  <si>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</si>
  <si>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</si>
  <si>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</si>
  <si>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</si>
  <si>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</si>
  <si>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</si>
  <si>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</si>
  <si>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</si>
  <si>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</si>
  <si>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</si>
  <si>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</si>
  <si>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</si>
  <si>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</si>
  <si>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</si>
  <si>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</si>
  <si>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</si>
  <si>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</si>
  <si>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</si>
  <si>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</si>
  <si>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</si>
  <si>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</si>
  <si>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</si>
  <si>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</si>
  <si>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</si>
  <si>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</si>
  <si>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</si>
  <si>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</si>
  <si>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</si>
  <si>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</si>
  <si>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</si>
  <si>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</si>
  <si>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</si>
  <si>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</si>
  <si>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</si>
  <si>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</si>
  <si>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</si>
  <si>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</si>
  <si>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</si>
  <si>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</si>
  <si>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</si>
  <si>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</si>
  <si>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</si>
  <si>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</si>
  <si>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</si>
  <si>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</si>
  <si>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</si>
  <si>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</si>
  <si>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</si>
  <si>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</si>
  <si>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</si>
  <si>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</si>
  <si>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</si>
  <si>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</si>
  <si>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</si>
  <si>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</si>
  <si>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</si>
  <si>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</si>
  <si>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</si>
  <si>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</si>
  <si>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</si>
  <si>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</si>
  <si>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</si>
  <si>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</si>
  <si>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</si>
  <si>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</si>
  <si>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</si>
  <si>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</si>
  <si>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</si>
  <si>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</si>
  <si>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</si>
  <si>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</si>
  <si>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</si>
  <si>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</si>
  <si>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</si>
  <si>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</si>
  <si>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</si>
  <si>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</si>
  <si>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</si>
  <si>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</si>
  <si>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</si>
  <si>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</si>
  <si>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</si>
  <si>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</si>
  <si>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</si>
  <si>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</si>
  <si>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</si>
  <si>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</si>
  <si>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</si>
  <si>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</si>
  <si>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</si>
  <si>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</si>
  <si>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</si>
  <si>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</si>
  <si>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</si>
  <si>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</si>
  <si>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</si>
  <si>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</si>
  <si>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</si>
  <si>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</si>
  <si>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</si>
  <si>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</si>
  <si>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</si>
  <si>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</si>
  <si>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</si>
  <si>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</si>
  <si>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</si>
  <si>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</si>
  <si>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</si>
  <si>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</si>
  <si>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</si>
  <si>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</si>
  <si>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</si>
  <si>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DANNY</t>
  </si>
  <si>
    <t>INGRESO POR INTERES POR NOMINA</t>
  </si>
  <si>
    <t>INGRESO24</t>
  </si>
  <si>
    <t>INGRESO25</t>
  </si>
  <si>
    <t>INGRESO26</t>
  </si>
  <si>
    <t>INGRESO27</t>
  </si>
  <si>
    <t>INGRESO28</t>
  </si>
  <si>
    <t>INGRESO29</t>
  </si>
  <si>
    <t>EDITABLE MAYRA REPONER 140$</t>
  </si>
  <si>
    <t>PREST114</t>
  </si>
  <si>
    <t>AMORTIZACION FAMILIAR - PAGOS AL FINAL DEL PERIODO</t>
  </si>
  <si>
    <t>PREST115</t>
  </si>
  <si>
    <t>MAYRA</t>
  </si>
  <si>
    <t>ROCIO</t>
  </si>
  <si>
    <t>AMORTIZACION FAMILIAR - PAGOS AL FINAL DEL PERIODO (MAYRA TIPAN)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</si>
</sst>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  <numFmt numFmtId="187" formatCode="d/m/yyyy"/>
    <numFmt numFmtId="188" formatCode="_-[$$-540A]* #,##0.00_ ;_-[$$-540A]* \-#,##0.00\ ;_-[$$-540A]* &quot;-&quot;??_ ;_-@_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7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2" fontId="1" fillId="0" borderId="1" xfId="0" applyNumberFormat="1" applyFont="1" applyBorder="1"/>
    <xf numFmtId="0" fontId="0" fillId="13" borderId="0" xfId="0" applyFill="1"/>
    <xf numFmtId="166" fontId="0" fillId="13" borderId="0" xfId="0" applyNumberFormat="1" applyFill="1"/>
    <xf numFmtId="165" fontId="0" fillId="13" borderId="0" xfId="0" applyNumberFormat="1" applyFill="1"/>
    <xf numFmtId="165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80" fontId="0" fillId="13" borderId="59" xfId="0" applyNumberFormat="1" applyFill="1" applyBorder="1"/>
    <xf numFmtId="166" fontId="0" fillId="13" borderId="59" xfId="0" applyNumberFormat="1" applyFill="1" applyBorder="1"/>
    <xf numFmtId="165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80" fontId="0" fillId="22" borderId="0" xfId="0" applyNumberFormat="1" applyFill="1"/>
    <xf numFmtId="166" fontId="0" fillId="22" borderId="0" xfId="0" applyNumberFormat="1" applyFill="1"/>
    <xf numFmtId="165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165" fontId="2" fillId="22" borderId="1" xfId="0" applyNumberFormat="1" applyFont="1" applyFill="1" applyBorder="1"/>
    <xf numFmtId="165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165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165" fontId="2" fillId="0" borderId="1" xfId="0" applyNumberFormat="1" applyFont="1" applyBorder="1"/>
    <xf numFmtId="165" fontId="12" fillId="0" borderId="1" xfId="0" applyNumberFormat="1" applyFont="1" applyBorder="1"/>
    <xf numFmtId="165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166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166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166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166" fontId="0" fillId="4" borderId="33" xfId="0" applyNumberFormat="1" applyFill="1" applyBorder="1"/>
    <xf numFmtId="166" fontId="0" fillId="21" borderId="31" xfId="0" applyNumberFormat="1" applyFill="1" applyBorder="1"/>
    <xf numFmtId="165" fontId="12" fillId="22" borderId="1" xfId="0" applyNumberFormat="1" applyFont="1" applyFill="1" applyBorder="1"/>
    <xf numFmtId="166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6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166" fontId="0" fillId="13" borderId="0" xfId="0" applyNumberFormat="1" applyFill="1" applyProtection="1">
      <protection locked="0"/>
    </xf>
    <xf numFmtId="186" fontId="0" fillId="13" borderId="0" xfId="0" applyNumberFormat="1" applyFill="1" applyProtection="1">
      <protection locked="0"/>
    </xf>
    <xf numFmtId="166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80" fontId="0" fillId="13" borderId="0" xfId="0" applyNumberFormat="1" applyFill="1" applyProtection="1">
      <protection locked="0"/>
    </xf>
    <xf numFmtId="165" fontId="1" fillId="13" borderId="0" xfId="0" applyNumberFormat="1" applyFont="1" applyFill="1" applyProtection="1">
      <protection locked="0"/>
    </xf>
    <xf numFmtId="168" fontId="0" fillId="13" borderId="0" xfId="0" applyNumberForma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0" fillId="0" borderId="37" xfId="0" applyBorder="1"/>
    <xf numFmtId="187" fontId="0" fillId="2" borderId="1" xfId="0" applyNumberFormat="1" applyFill="1" applyBorder="1" applyAlignment="1">
      <alignment horizontal="right" wrapText="1"/>
    </xf>
    <xf numFmtId="187" fontId="0" fillId="0" borderId="37" xfId="0" applyNumberFormat="1" applyBorder="1"/>
    <xf numFmtId="188" fontId="0" fillId="0" borderId="0" xfId="0" applyNumberFormat="1" applyProtection="1">
      <protection locked="0"/>
    </xf>
    <xf numFmtId="187" fontId="0" fillId="2" borderId="1" xfId="0" applyNumberFormat="1" applyFill="1" applyBorder="1" applyAlignment="1">
      <alignment horizontal="right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7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7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7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erson Toaquiza" id="{3D8CE891-65E3-481C-9D4E-1DF6AE2A77C4}" userId="5dd8b5a431b2c752" providerId="Windows Live"/>
</personLis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80.33557800926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16" totalsRowShown="0" headerRowDxfId="96" headerRowBorderDxfId="95" tableBorderDxfId="94" totalsRowBorderDxfId="93">
  <autoFilter ref="F4:K616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23" totalsRowShown="0" headerRowDxfId="83" dataDxfId="82" tableBorderDxfId="81">
  <autoFilter ref="A2:L123" xr:uid="{1EF07585-15E8-4C19-B5D8-0E7A84F4DBB0}"/>
  <sortState xmlns:xlrd2="http://schemas.microsoft.com/office/spreadsheetml/2017/richdata2" ref="A3:L123">
    <sortCondition ref="E3:E123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68" totalsRowShown="0" headerRowDxfId="68" dataDxfId="67" tableBorderDxfId="66">
  <autoFilter ref="A2:L468" xr:uid="{0B276B08-FDED-4D4B-9E03-4C4141C75BCE}"/>
  <sortState xmlns:xlrd2="http://schemas.microsoft.com/office/spreadsheetml/2017/richdata2" ref="A3:L468">
    <sortCondition ref="F3:F468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5" totalsRowShown="0" headerRowDxfId="53" headerRowBorderDxfId="52" tableBorderDxfId="51" totalsRowBorderDxfId="50">
  <autoFilter ref="A1:D45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26-03-15T23:48:32.40" personId="{3D8CE891-65E3-481C-9D4E-1DF6AE2A77C4}" id="{477C6BB1-D90F-43FA-8595-7E09F3942D28}">
    <text>REPONER ROCIO 50$ DANNY 250 MAYRA 120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48">
        <v>1</v>
      </c>
      <c r="B3" s="42" t="s">
        <v>70</v>
      </c>
    </row>
    <row r="4" spans="1:2" x14ac:dyDescent="0.3">
      <c r="A4" s="148">
        <v>2</v>
      </c>
      <c r="B4" s="42" t="s">
        <v>71</v>
      </c>
    </row>
    <row r="5" spans="1:2" x14ac:dyDescent="0.3">
      <c r="A5" s="148">
        <v>3</v>
      </c>
      <c r="B5" s="42" t="s">
        <v>13</v>
      </c>
    </row>
    <row r="6" spans="1:2" x14ac:dyDescent="0.3">
      <c r="A6" s="148">
        <v>4</v>
      </c>
      <c r="B6" s="42" t="s">
        <v>12</v>
      </c>
    </row>
    <row r="7" spans="1:2" x14ac:dyDescent="0.3">
      <c r="A7" s="148">
        <v>5</v>
      </c>
      <c r="B7" s="42" t="s">
        <v>14</v>
      </c>
    </row>
    <row r="8" spans="1:2" x14ac:dyDescent="0.3">
      <c r="A8" s="148">
        <v>6</v>
      </c>
      <c r="B8" s="42" t="s">
        <v>24</v>
      </c>
    </row>
    <row r="9" spans="1:2" x14ac:dyDescent="0.3">
      <c r="A9" s="148">
        <v>7</v>
      </c>
      <c r="B9" s="42" t="s">
        <v>403</v>
      </c>
    </row>
    <row r="10" spans="1:2" x14ac:dyDescent="0.3">
      <c r="A10" s="148">
        <v>8</v>
      </c>
      <c r="B10" s="42" t="s">
        <v>404</v>
      </c>
    </row>
    <row r="11" spans="1:2" x14ac:dyDescent="0.3">
      <c r="A11" s="148">
        <v>9</v>
      </c>
      <c r="B11" s="42" t="s">
        <v>17</v>
      </c>
    </row>
    <row r="12" spans="1:2" x14ac:dyDescent="0.3">
      <c r="A12" s="148">
        <v>10</v>
      </c>
      <c r="B12" s="42" t="s">
        <v>18</v>
      </c>
    </row>
    <row r="13" spans="1:2" x14ac:dyDescent="0.3">
      <c r="A13" s="148">
        <v>11</v>
      </c>
      <c r="B13" s="42" t="s">
        <v>19</v>
      </c>
    </row>
    <row r="14" spans="1:2" x14ac:dyDescent="0.3">
      <c r="A14" s="148">
        <v>12</v>
      </c>
      <c r="B14" s="42" t="s">
        <v>20</v>
      </c>
    </row>
    <row r="15" spans="1:2" x14ac:dyDescent="0.3">
      <c r="A15" s="148">
        <v>13</v>
      </c>
      <c r="B15" s="42" t="s">
        <v>339</v>
      </c>
    </row>
    <row r="16" spans="1:2" x14ac:dyDescent="0.3">
      <c r="A16" s="148">
        <v>14</v>
      </c>
      <c r="B16" s="42" t="s">
        <v>21</v>
      </c>
    </row>
    <row r="17" spans="1:2" x14ac:dyDescent="0.3">
      <c r="A17" s="148">
        <v>15</v>
      </c>
      <c r="B17" s="42" t="s">
        <v>22</v>
      </c>
    </row>
    <row r="18" spans="1:2" x14ac:dyDescent="0.3">
      <c r="A18" s="148">
        <v>16</v>
      </c>
      <c r="B18" s="42" t="s">
        <v>515</v>
      </c>
    </row>
    <row r="19" spans="1:2" x14ac:dyDescent="0.3">
      <c r="A19" s="148">
        <v>17</v>
      </c>
      <c r="B19" s="42" t="s">
        <v>337</v>
      </c>
    </row>
    <row r="20" spans="1:2" x14ac:dyDescent="0.3">
      <c r="A20" s="148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16"/>
  <sheetViews>
    <sheetView zoomScale="102" zoomScaleNormal="100" workbookViewId="0">
      <pane xSplit="5" ySplit="23" topLeftCell="F24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19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1.441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192"/>
    </row>
    <row r="4" spans="2:11" x14ac:dyDescent="0.3">
      <c r="B4" s="194" t="s">
        <v>33</v>
      </c>
      <c r="C4" s="195" t="s">
        <v>11</v>
      </c>
      <c r="D4" s="196" t="s">
        <v>26</v>
      </c>
      <c r="F4" s="185" t="s">
        <v>400</v>
      </c>
      <c r="G4" s="186" t="s">
        <v>48</v>
      </c>
      <c r="H4" s="186" t="s">
        <v>399</v>
      </c>
      <c r="I4" s="186" t="s">
        <v>33</v>
      </c>
      <c r="J4" s="186" t="s">
        <v>53</v>
      </c>
      <c r="K4" s="187" t="s">
        <v>296</v>
      </c>
    </row>
    <row r="5" spans="2:11" ht="20.100000000000001" customHeight="1" x14ac:dyDescent="0.3">
      <c r="B5" s="227">
        <v>1</v>
      </c>
      <c r="C5" s="204" t="s">
        <v>70</v>
      </c>
      <c r="D5" s="262">
        <f>+SUMIF(APORTACIONESOCIOS[CODIGO CLIENTE],SOCIOS!$B5,APORTACIONESOCIOS[APORTE])</f>
        <v>0</v>
      </c>
      <c r="F5" s="249">
        <f>ROW()-ROW(APORTACIONESOCIOS[[#Headers],[SECUENCIA]])</f>
        <v>1</v>
      </c>
      <c r="G5" s="120">
        <v>44788</v>
      </c>
      <c r="H5" s="3">
        <v>0</v>
      </c>
      <c r="I5" s="198">
        <v>1</v>
      </c>
      <c r="J5" s="184" t="s">
        <v>70</v>
      </c>
      <c r="K5" s="187"/>
    </row>
    <row r="6" spans="2:11" ht="20.100000000000001" customHeight="1" x14ac:dyDescent="0.3">
      <c r="B6" s="55">
        <v>2</v>
      </c>
      <c r="C6" s="205" t="s">
        <v>71</v>
      </c>
      <c r="D6" s="262">
        <f>+SUMIF(APORTACIONESOCIOS[CODIGO CLIENTE],SOCIOS!$B6,APORTACIONESOCIOS[APORTE])</f>
        <v>0</v>
      </c>
      <c r="F6" s="249">
        <f>ROW()-ROW(APORTACIONESOCIOS[[#Headers],[SECUENCIA]])</f>
        <v>2</v>
      </c>
      <c r="G6" s="120">
        <v>44788</v>
      </c>
      <c r="H6" s="3">
        <v>0</v>
      </c>
      <c r="I6" s="198">
        <v>2</v>
      </c>
      <c r="J6" s="184" t="s">
        <v>71</v>
      </c>
      <c r="K6" s="187"/>
    </row>
    <row r="7" spans="2:11" ht="20.100000000000001" customHeight="1" x14ac:dyDescent="0.3">
      <c r="B7" s="227">
        <v>3</v>
      </c>
      <c r="C7" s="203" t="s">
        <v>13</v>
      </c>
      <c r="D7" s="262">
        <f>+SUMIF(APORTACIONESOCIOS[CODIGO CLIENTE],SOCIOS!$B7,APORTACIONESOCIOS[APORTE])</f>
        <v>470</v>
      </c>
      <c r="F7" s="250">
        <f>ROW()-ROW(APORTACIONESOCIOS[[#Headers],[SECUENCIA]])</f>
        <v>3</v>
      </c>
      <c r="G7" s="120">
        <v>44788</v>
      </c>
      <c r="H7" s="3">
        <v>10</v>
      </c>
      <c r="I7" s="198">
        <v>3</v>
      </c>
      <c r="J7" s="184" t="s">
        <v>13</v>
      </c>
      <c r="K7" s="188"/>
    </row>
    <row r="8" spans="2:11" ht="20.100000000000001" customHeight="1" x14ac:dyDescent="0.3">
      <c r="B8" s="55">
        <v>4</v>
      </c>
      <c r="C8" s="42" t="s">
        <v>12</v>
      </c>
      <c r="D8" s="262">
        <f>+SUMIF(APORTACIONESOCIOS[CODIGO CLIENTE],SOCIOS!$B8,APORTACIONESOCIOS[APORTE])</f>
        <v>470</v>
      </c>
      <c r="F8" s="250">
        <f>ROW()-ROW(APORTACIONESOCIOS[[#Headers],[SECUENCIA]])</f>
        <v>4</v>
      </c>
      <c r="G8" s="120">
        <v>44788</v>
      </c>
      <c r="H8" s="3">
        <v>10</v>
      </c>
      <c r="I8" s="198">
        <v>4</v>
      </c>
      <c r="J8" s="184" t="s">
        <v>12</v>
      </c>
      <c r="K8" s="188"/>
    </row>
    <row r="9" spans="2:11" ht="20.100000000000001" customHeight="1" x14ac:dyDescent="0.3">
      <c r="B9" s="227">
        <v>5</v>
      </c>
      <c r="C9" s="203" t="s">
        <v>14</v>
      </c>
      <c r="D9" s="262">
        <f>+SUMIF(APORTACIONESOCIOS[CODIGO CLIENTE],SOCIOS!$B9,APORTACIONESOCIOS[APORTE])</f>
        <v>470</v>
      </c>
      <c r="F9" s="250">
        <f>ROW()-ROW(APORTACIONESOCIOS[[#Headers],[SECUENCIA]])</f>
        <v>5</v>
      </c>
      <c r="G9" s="120">
        <v>44788</v>
      </c>
      <c r="H9" s="3">
        <v>10</v>
      </c>
      <c r="I9" s="198">
        <v>5</v>
      </c>
      <c r="J9" s="184" t="s">
        <v>14</v>
      </c>
      <c r="K9" s="188"/>
    </row>
    <row r="10" spans="2:11" ht="20.100000000000001" customHeight="1" x14ac:dyDescent="0.3">
      <c r="B10" s="55">
        <v>6</v>
      </c>
      <c r="C10" s="42" t="s">
        <v>24</v>
      </c>
      <c r="D10" s="262">
        <f>+SUMIF(APORTACIONESOCIOS[CODIGO CLIENTE],SOCIOS!$B10,APORTACIONESOCIOS[APORTE])</f>
        <v>470</v>
      </c>
      <c r="F10" s="250">
        <f>ROW()-ROW(APORTACIONESOCIOS[[#Headers],[SECUENCIA]])</f>
        <v>6</v>
      </c>
      <c r="G10" s="120">
        <v>44788</v>
      </c>
      <c r="H10" s="3">
        <v>10</v>
      </c>
      <c r="I10" s="198">
        <v>6</v>
      </c>
      <c r="J10" s="184" t="s">
        <v>24</v>
      </c>
      <c r="K10" s="188"/>
    </row>
    <row r="11" spans="2:11" ht="20.100000000000001" customHeight="1" x14ac:dyDescent="0.3">
      <c r="B11" s="228">
        <v>7</v>
      </c>
      <c r="C11" s="191" t="s">
        <v>15</v>
      </c>
      <c r="D11" s="262">
        <f>+SUMIF(APORTACIONESOCIOS[CODIGO CLIENTE],SOCIOS!$B11,APORTACIONESOCIOS[APORTE])</f>
        <v>470</v>
      </c>
      <c r="F11" s="250">
        <f>ROW()-ROW(APORTACIONESOCIOS[[#Headers],[SECUENCIA]])</f>
        <v>7</v>
      </c>
      <c r="G11" s="120">
        <v>44788</v>
      </c>
      <c r="H11" s="3">
        <v>10</v>
      </c>
      <c r="I11" s="198">
        <v>7</v>
      </c>
      <c r="J11" s="184" t="s">
        <v>403</v>
      </c>
      <c r="K11" s="188"/>
    </row>
    <row r="12" spans="2:11" ht="20.100000000000001" customHeight="1" x14ac:dyDescent="0.3">
      <c r="B12" s="229">
        <v>8</v>
      </c>
      <c r="C12" s="175" t="s">
        <v>16</v>
      </c>
      <c r="D12" s="262">
        <f>+SUMIF(APORTACIONESOCIOS[CODIGO CLIENTE],SOCIOS!$B12,APORTACIONESOCIOS[APORTE])</f>
        <v>470</v>
      </c>
      <c r="F12" s="250">
        <f>ROW()-ROW(APORTACIONESOCIOS[[#Headers],[SECUENCIA]])</f>
        <v>8</v>
      </c>
      <c r="G12" s="120">
        <v>44788</v>
      </c>
      <c r="H12" s="3">
        <v>10</v>
      </c>
      <c r="I12" s="198">
        <v>8</v>
      </c>
      <c r="J12" s="184" t="s">
        <v>16</v>
      </c>
      <c r="K12" s="188"/>
    </row>
    <row r="13" spans="2:11" ht="20.100000000000001" customHeight="1" x14ac:dyDescent="0.3">
      <c r="B13" s="228">
        <v>9</v>
      </c>
      <c r="C13" s="191" t="s">
        <v>17</v>
      </c>
      <c r="D13" s="262">
        <f>+SUMIF(APORTACIONESOCIOS[CODIGO CLIENTE],SOCIOS!$B13,APORTACIONESOCIOS[APORTE])</f>
        <v>470</v>
      </c>
      <c r="F13" s="250">
        <f>ROW()-ROW(APORTACIONESOCIOS[[#Headers],[SECUENCIA]])</f>
        <v>9</v>
      </c>
      <c r="G13" s="120">
        <v>44788</v>
      </c>
      <c r="H13" s="3">
        <v>10</v>
      </c>
      <c r="I13" s="198">
        <v>9</v>
      </c>
      <c r="J13" s="184" t="s">
        <v>17</v>
      </c>
      <c r="K13" s="188"/>
    </row>
    <row r="14" spans="2:11" ht="20.100000000000001" customHeight="1" x14ac:dyDescent="0.3">
      <c r="B14" s="229">
        <v>10</v>
      </c>
      <c r="C14" s="175" t="s">
        <v>18</v>
      </c>
      <c r="D14" s="262">
        <f>+SUMIF(APORTACIONESOCIOS[CODIGO CLIENTE],SOCIOS!$B14,APORTACIONESOCIOS[APORTE])</f>
        <v>470</v>
      </c>
      <c r="F14" s="250">
        <f>ROW()-ROW(APORTACIONESOCIOS[[#Headers],[SECUENCIA]])</f>
        <v>10</v>
      </c>
      <c r="G14" s="120">
        <v>44788</v>
      </c>
      <c r="H14" s="3">
        <v>10</v>
      </c>
      <c r="I14" s="198">
        <v>10</v>
      </c>
      <c r="J14" s="184" t="s">
        <v>18</v>
      </c>
      <c r="K14" s="188"/>
    </row>
    <row r="15" spans="2:11" ht="20.100000000000001" customHeight="1" x14ac:dyDescent="0.3">
      <c r="B15" s="228">
        <v>11</v>
      </c>
      <c r="C15" s="191" t="s">
        <v>19</v>
      </c>
      <c r="D15" s="262">
        <f>+SUMIF(APORTACIONESOCIOS[CODIGO CLIENTE],SOCIOS!$B15,APORTACIONESOCIOS[APORTE])</f>
        <v>470</v>
      </c>
      <c r="F15" s="250">
        <f>ROW()-ROW(APORTACIONESOCIOS[[#Headers],[SECUENCIA]])</f>
        <v>11</v>
      </c>
      <c r="G15" s="120">
        <v>44788</v>
      </c>
      <c r="H15" s="3">
        <v>10</v>
      </c>
      <c r="I15" s="198">
        <v>11</v>
      </c>
      <c r="J15" s="184" t="s">
        <v>19</v>
      </c>
      <c r="K15" s="188"/>
    </row>
    <row r="16" spans="2:11" ht="20.100000000000001" customHeight="1" x14ac:dyDescent="0.3">
      <c r="B16" s="229">
        <v>12</v>
      </c>
      <c r="C16" s="175" t="s">
        <v>20</v>
      </c>
      <c r="D16" s="262">
        <f>+SUMIF(APORTACIONESOCIOS[CODIGO CLIENTE],SOCIOS!$B16,APORTACIONESOCIOS[APORTE])</f>
        <v>470</v>
      </c>
      <c r="F16" s="250">
        <f>ROW()-ROW(APORTACIONESOCIOS[[#Headers],[SECUENCIA]])</f>
        <v>12</v>
      </c>
      <c r="G16" s="120">
        <v>44788</v>
      </c>
      <c r="H16" s="3">
        <v>10</v>
      </c>
      <c r="I16" s="198">
        <v>12</v>
      </c>
      <c r="J16" s="184" t="s">
        <v>20</v>
      </c>
      <c r="K16" s="188"/>
    </row>
    <row r="17" spans="1:11" ht="20.100000000000001" customHeight="1" x14ac:dyDescent="0.3">
      <c r="B17" s="228">
        <v>13</v>
      </c>
      <c r="C17" s="191" t="s">
        <v>339</v>
      </c>
      <c r="D17" s="262">
        <f>+SUMIF(APORTACIONESOCIOS[CODIGO CLIENTE],SOCIOS!$B17,APORTACIONESOCIOS[APORTE])</f>
        <v>470</v>
      </c>
      <c r="F17" s="250">
        <f>ROW()-ROW(APORTACIONESOCIOS[[#Headers],[SECUENCIA]])</f>
        <v>13</v>
      </c>
      <c r="G17" s="120">
        <v>44788</v>
      </c>
      <c r="H17" s="3">
        <v>10</v>
      </c>
      <c r="I17" s="198">
        <v>14</v>
      </c>
      <c r="J17" s="184" t="s">
        <v>21</v>
      </c>
      <c r="K17" s="188"/>
    </row>
    <row r="18" spans="1:11" ht="20.100000000000001" customHeight="1" x14ac:dyDescent="0.3">
      <c r="B18" s="229">
        <v>14</v>
      </c>
      <c r="C18" s="175" t="s">
        <v>21</v>
      </c>
      <c r="D18" s="262">
        <f>+SUMIF(APORTACIONESOCIOS[CODIGO CLIENTE],SOCIOS!$B18,APORTACIONESOCIOS[APORTE])</f>
        <v>470</v>
      </c>
      <c r="F18" s="250">
        <f>ROW()-ROW(APORTACIONESOCIOS[[#Headers],[SECUENCIA]])</f>
        <v>14</v>
      </c>
      <c r="G18" s="120">
        <v>44788</v>
      </c>
      <c r="H18" s="3">
        <v>10</v>
      </c>
      <c r="I18" s="198">
        <v>15</v>
      </c>
      <c r="J18" s="184" t="s">
        <v>22</v>
      </c>
      <c r="K18" s="188"/>
    </row>
    <row r="19" spans="1:11" ht="20.100000000000001" customHeight="1" x14ac:dyDescent="0.3">
      <c r="B19" s="228">
        <v>15</v>
      </c>
      <c r="C19" s="191" t="s">
        <v>22</v>
      </c>
      <c r="D19" s="262">
        <f>+SUMIF(APORTACIONESOCIOS[CODIGO CLIENTE],SOCIOS!$B19,APORTACIONESOCIOS[APORTE])</f>
        <v>470</v>
      </c>
      <c r="F19" s="250">
        <f>ROW()-ROW(APORTACIONESOCIOS[[#Headers],[SECUENCIA]])</f>
        <v>15</v>
      </c>
      <c r="G19" s="120">
        <v>44788</v>
      </c>
      <c r="H19" s="3">
        <v>10</v>
      </c>
      <c r="I19" s="198">
        <v>16</v>
      </c>
      <c r="J19" s="184" t="s">
        <v>23</v>
      </c>
      <c r="K19" s="188"/>
    </row>
    <row r="20" spans="1:11" ht="20.100000000000001" customHeight="1" x14ac:dyDescent="0.3">
      <c r="B20" s="229">
        <v>16</v>
      </c>
      <c r="C20" s="175" t="s">
        <v>23</v>
      </c>
      <c r="D20" s="262">
        <f>+SUMIF(APORTACIONESOCIOS[CODIGO CLIENTE],SOCIOS!$B20,APORTACIONESOCIOS[APORTE])</f>
        <v>470</v>
      </c>
      <c r="F20" s="250">
        <f>ROW()-ROW(APORTACIONESOCIOS[[#Headers],[SECUENCIA]])</f>
        <v>16</v>
      </c>
      <c r="G20" s="120">
        <v>44819</v>
      </c>
      <c r="H20" s="3">
        <v>10</v>
      </c>
      <c r="I20" s="198">
        <v>3</v>
      </c>
      <c r="J20" s="184" t="s">
        <v>13</v>
      </c>
      <c r="K20" s="188"/>
    </row>
    <row r="21" spans="1:11" ht="20.100000000000001" customHeight="1" x14ac:dyDescent="0.3">
      <c r="B21" s="228">
        <v>17</v>
      </c>
      <c r="C21" s="191" t="s">
        <v>337</v>
      </c>
      <c r="D21" s="262">
        <f>+SUMIF(APORTACIONESOCIOS[CODIGO CLIENTE],SOCIOS!$B21,APORTACIONESOCIOS[APORTE])</f>
        <v>470</v>
      </c>
      <c r="F21" s="250">
        <f>ROW()-ROW(APORTACIONESOCIOS[[#Headers],[SECUENCIA]])</f>
        <v>17</v>
      </c>
      <c r="G21" s="120">
        <v>44819</v>
      </c>
      <c r="H21" s="3">
        <v>10</v>
      </c>
      <c r="I21" s="198">
        <v>4</v>
      </c>
      <c r="J21" s="184" t="s">
        <v>12</v>
      </c>
      <c r="K21" s="188"/>
    </row>
    <row r="22" spans="1:11" ht="19.95" customHeight="1" x14ac:dyDescent="0.3">
      <c r="B22" s="229">
        <v>18</v>
      </c>
      <c r="C22" s="175" t="s">
        <v>338</v>
      </c>
      <c r="D22" s="262">
        <f>+SUMIF(APORTACIONESOCIOS[CODIGO CLIENTE],SOCIOS!$B22,APORTACIONESOCIOS[APORTE])</f>
        <v>470</v>
      </c>
      <c r="F22" s="250">
        <f>ROW()-ROW(APORTACIONESOCIOS[[#Headers],[SECUENCIA]])</f>
        <v>18</v>
      </c>
      <c r="G22" s="120">
        <v>44819</v>
      </c>
      <c r="H22" s="3">
        <v>10</v>
      </c>
      <c r="I22" s="198">
        <v>5</v>
      </c>
      <c r="J22" s="184" t="s">
        <v>14</v>
      </c>
      <c r="K22" s="188"/>
    </row>
    <row r="23" spans="1:11" x14ac:dyDescent="0.3">
      <c r="B23" s="1"/>
      <c r="C23" s="4" t="s">
        <v>25</v>
      </c>
      <c r="D23" s="3">
        <f>SUM(D5:D22)</f>
        <v>7520</v>
      </c>
      <c r="F23" s="250">
        <f>ROW()-ROW(APORTACIONESOCIOS[[#Headers],[SECUENCIA]])</f>
        <v>19</v>
      </c>
      <c r="G23" s="120">
        <v>44819</v>
      </c>
      <c r="H23" s="3">
        <v>10</v>
      </c>
      <c r="I23" s="198">
        <v>6</v>
      </c>
      <c r="J23" s="184" t="s">
        <v>24</v>
      </c>
      <c r="K23" s="188"/>
    </row>
    <row r="24" spans="1:11" x14ac:dyDescent="0.3">
      <c r="A24" s="118"/>
      <c r="B24" s="1"/>
      <c r="D24" s="13"/>
      <c r="F24" s="250">
        <f>ROW()-ROW(APORTACIONESOCIOS[[#Headers],[SECUENCIA]])</f>
        <v>20</v>
      </c>
      <c r="G24" s="120">
        <v>44819</v>
      </c>
      <c r="H24" s="3">
        <v>10</v>
      </c>
      <c r="I24" s="198">
        <v>7</v>
      </c>
      <c r="J24" s="184" t="s">
        <v>15</v>
      </c>
      <c r="K24" s="188"/>
    </row>
    <row r="25" spans="1:11" x14ac:dyDescent="0.3">
      <c r="F25" s="250">
        <f>ROW()-ROW(APORTACIONESOCIOS[[#Headers],[SECUENCIA]])</f>
        <v>21</v>
      </c>
      <c r="G25" s="120">
        <v>44819</v>
      </c>
      <c r="H25" s="3">
        <v>10</v>
      </c>
      <c r="I25" s="198">
        <v>8</v>
      </c>
      <c r="J25" s="184" t="s">
        <v>16</v>
      </c>
      <c r="K25" s="188"/>
    </row>
    <row r="26" spans="1:11" x14ac:dyDescent="0.3">
      <c r="F26" s="250">
        <f>ROW()-ROW(APORTACIONESOCIOS[[#Headers],[SECUENCIA]])</f>
        <v>22</v>
      </c>
      <c r="G26" s="120">
        <v>44819</v>
      </c>
      <c r="H26" s="3">
        <v>10</v>
      </c>
      <c r="I26" s="198">
        <v>9</v>
      </c>
      <c r="J26" s="184" t="s">
        <v>17</v>
      </c>
      <c r="K26" s="188"/>
    </row>
    <row r="27" spans="1:11" x14ac:dyDescent="0.3">
      <c r="F27" s="250">
        <f>ROW()-ROW(APORTACIONESOCIOS[[#Headers],[SECUENCIA]])</f>
        <v>23</v>
      </c>
      <c r="G27" s="120">
        <v>44819</v>
      </c>
      <c r="H27" s="3">
        <v>10</v>
      </c>
      <c r="I27" s="198">
        <v>10</v>
      </c>
      <c r="J27" s="184" t="s">
        <v>18</v>
      </c>
      <c r="K27" s="188"/>
    </row>
    <row r="28" spans="1:11" x14ac:dyDescent="0.3">
      <c r="F28" s="250">
        <f>ROW()-ROW(APORTACIONESOCIOS[[#Headers],[SECUENCIA]])</f>
        <v>24</v>
      </c>
      <c r="G28" s="120">
        <v>44819</v>
      </c>
      <c r="H28" s="3">
        <v>10</v>
      </c>
      <c r="I28" s="198">
        <v>11</v>
      </c>
      <c r="J28" s="184" t="s">
        <v>19</v>
      </c>
      <c r="K28" s="188"/>
    </row>
    <row r="29" spans="1:11" x14ac:dyDescent="0.3">
      <c r="F29" s="250">
        <f>ROW()-ROW(APORTACIONESOCIOS[[#Headers],[SECUENCIA]])</f>
        <v>25</v>
      </c>
      <c r="G29" s="120">
        <v>44819</v>
      </c>
      <c r="H29" s="3">
        <v>10</v>
      </c>
      <c r="I29" s="198">
        <v>12</v>
      </c>
      <c r="J29" s="184" t="s">
        <v>20</v>
      </c>
      <c r="K29" s="188"/>
    </row>
    <row r="30" spans="1:11" x14ac:dyDescent="0.3">
      <c r="F30" s="250">
        <f>ROW()-ROW(APORTACIONESOCIOS[[#Headers],[SECUENCIA]])</f>
        <v>26</v>
      </c>
      <c r="G30" s="120">
        <v>44819</v>
      </c>
      <c r="H30" s="3">
        <v>10</v>
      </c>
      <c r="I30" s="198">
        <v>14</v>
      </c>
      <c r="J30" s="184" t="s">
        <v>21</v>
      </c>
      <c r="K30" s="188"/>
    </row>
    <row r="31" spans="1:11" x14ac:dyDescent="0.3">
      <c r="F31" s="250">
        <f>ROW()-ROW(APORTACIONESOCIOS[[#Headers],[SECUENCIA]])</f>
        <v>27</v>
      </c>
      <c r="G31" s="120">
        <v>44819</v>
      </c>
      <c r="H31" s="3">
        <v>10</v>
      </c>
      <c r="I31" s="198">
        <v>15</v>
      </c>
      <c r="J31" s="184" t="s">
        <v>22</v>
      </c>
      <c r="K31" s="188"/>
    </row>
    <row r="32" spans="1:11" x14ac:dyDescent="0.3">
      <c r="F32" s="250">
        <f>ROW()-ROW(APORTACIONESOCIOS[[#Headers],[SECUENCIA]])</f>
        <v>28</v>
      </c>
      <c r="G32" s="120">
        <v>44819</v>
      </c>
      <c r="H32" s="3">
        <v>10</v>
      </c>
      <c r="I32" s="198">
        <v>16</v>
      </c>
      <c r="J32" s="184" t="s">
        <v>23</v>
      </c>
      <c r="K32" s="188"/>
    </row>
    <row r="33" spans="6:11" x14ac:dyDescent="0.3">
      <c r="F33" s="250">
        <f>ROW()-ROW(APORTACIONESOCIOS[[#Headers],[SECUENCIA]])</f>
        <v>29</v>
      </c>
      <c r="G33" s="120">
        <v>44849</v>
      </c>
      <c r="H33" s="3">
        <v>10</v>
      </c>
      <c r="I33" s="198">
        <v>3</v>
      </c>
      <c r="J33" s="184" t="s">
        <v>13</v>
      </c>
      <c r="K33" s="188"/>
    </row>
    <row r="34" spans="6:11" x14ac:dyDescent="0.3">
      <c r="F34" s="250">
        <f>ROW()-ROW(APORTACIONESOCIOS[[#Headers],[SECUENCIA]])</f>
        <v>30</v>
      </c>
      <c r="G34" s="120">
        <v>44849</v>
      </c>
      <c r="H34" s="3">
        <v>10</v>
      </c>
      <c r="I34" s="198">
        <v>4</v>
      </c>
      <c r="J34" s="184" t="s">
        <v>12</v>
      </c>
      <c r="K34" s="188"/>
    </row>
    <row r="35" spans="6:11" x14ac:dyDescent="0.3">
      <c r="F35" s="250">
        <v>29</v>
      </c>
      <c r="G35" s="120">
        <v>44849</v>
      </c>
      <c r="H35" s="3">
        <v>10</v>
      </c>
      <c r="I35" s="198">
        <v>5</v>
      </c>
      <c r="J35" s="184" t="s">
        <v>14</v>
      </c>
      <c r="K35" s="188"/>
    </row>
    <row r="36" spans="6:11" x14ac:dyDescent="0.3">
      <c r="F36" s="250">
        <v>30</v>
      </c>
      <c r="G36" s="120">
        <v>44849</v>
      </c>
      <c r="H36" s="3">
        <v>10</v>
      </c>
      <c r="I36" s="198">
        <v>6</v>
      </c>
      <c r="J36" s="184" t="s">
        <v>24</v>
      </c>
      <c r="K36" s="188"/>
    </row>
    <row r="37" spans="6:11" x14ac:dyDescent="0.3">
      <c r="F37" s="250">
        <f>ROW()-ROW(APORTACIONESOCIOS[[#Headers],[SECUENCIA]])</f>
        <v>33</v>
      </c>
      <c r="G37" s="120">
        <v>44849</v>
      </c>
      <c r="H37" s="3">
        <v>10</v>
      </c>
      <c r="I37" s="198">
        <v>7</v>
      </c>
      <c r="J37" s="184" t="s">
        <v>15</v>
      </c>
      <c r="K37" s="188"/>
    </row>
    <row r="38" spans="6:11" x14ac:dyDescent="0.3">
      <c r="F38" s="250">
        <f>ROW()-ROW(APORTACIONESOCIOS[[#Headers],[SECUENCIA]])</f>
        <v>34</v>
      </c>
      <c r="G38" s="120">
        <v>44849</v>
      </c>
      <c r="H38" s="3">
        <v>10</v>
      </c>
      <c r="I38" s="198">
        <v>8</v>
      </c>
      <c r="J38" s="184" t="s">
        <v>16</v>
      </c>
      <c r="K38" s="188"/>
    </row>
    <row r="39" spans="6:11" x14ac:dyDescent="0.3">
      <c r="F39" s="250">
        <f>ROW()-ROW(APORTACIONESOCIOS[[#Headers],[SECUENCIA]])</f>
        <v>35</v>
      </c>
      <c r="G39" s="120">
        <v>44849</v>
      </c>
      <c r="H39" s="3">
        <v>10</v>
      </c>
      <c r="I39" s="198">
        <v>9</v>
      </c>
      <c r="J39" s="184" t="s">
        <v>17</v>
      </c>
      <c r="K39" s="188"/>
    </row>
    <row r="40" spans="6:11" x14ac:dyDescent="0.3">
      <c r="F40" s="250">
        <f>ROW()-ROW(APORTACIONESOCIOS[[#Headers],[SECUENCIA]])</f>
        <v>36</v>
      </c>
      <c r="G40" s="120">
        <v>44849</v>
      </c>
      <c r="H40" s="3">
        <v>10</v>
      </c>
      <c r="I40" s="198">
        <v>10</v>
      </c>
      <c r="J40" s="184" t="s">
        <v>18</v>
      </c>
      <c r="K40" s="188"/>
    </row>
    <row r="41" spans="6:11" x14ac:dyDescent="0.3">
      <c r="F41" s="250">
        <f>ROW()-ROW(APORTACIONESOCIOS[[#Headers],[SECUENCIA]])</f>
        <v>37</v>
      </c>
      <c r="G41" s="120">
        <v>44849</v>
      </c>
      <c r="H41" s="3">
        <v>10</v>
      </c>
      <c r="I41" s="198">
        <v>11</v>
      </c>
      <c r="J41" s="184" t="s">
        <v>19</v>
      </c>
      <c r="K41" s="188"/>
    </row>
    <row r="42" spans="6:11" x14ac:dyDescent="0.3">
      <c r="F42" s="251">
        <f>ROW()-ROW(APORTACIONESOCIOS[[#Headers],[SECUENCIA]])</f>
        <v>38</v>
      </c>
      <c r="G42" s="120">
        <v>44849</v>
      </c>
      <c r="H42" s="3">
        <v>10</v>
      </c>
      <c r="I42" s="198">
        <v>12</v>
      </c>
      <c r="J42" s="184" t="s">
        <v>20</v>
      </c>
      <c r="K42" s="190"/>
    </row>
    <row r="43" spans="6:11" x14ac:dyDescent="0.3">
      <c r="F43" s="250">
        <f>ROW()-ROW(APORTACIONESOCIOS[[#Headers],[SECUENCIA]])</f>
        <v>39</v>
      </c>
      <c r="G43" s="120">
        <v>44849</v>
      </c>
      <c r="H43" s="3">
        <v>10</v>
      </c>
      <c r="I43" s="198">
        <v>14</v>
      </c>
      <c r="J43" s="184" t="s">
        <v>21</v>
      </c>
      <c r="K43" s="188"/>
    </row>
    <row r="44" spans="6:11" x14ac:dyDescent="0.3">
      <c r="F44" s="250">
        <f>ROW()-ROW(APORTACIONESOCIOS[[#Headers],[SECUENCIA]])</f>
        <v>40</v>
      </c>
      <c r="G44" s="120">
        <v>44849</v>
      </c>
      <c r="H44" s="3">
        <v>10</v>
      </c>
      <c r="I44" s="198">
        <v>15</v>
      </c>
      <c r="J44" s="184" t="s">
        <v>22</v>
      </c>
      <c r="K44" s="188"/>
    </row>
    <row r="45" spans="6:11" x14ac:dyDescent="0.3">
      <c r="F45" s="250">
        <f>ROW()-ROW(APORTACIONESOCIOS[[#Headers],[SECUENCIA]])</f>
        <v>41</v>
      </c>
      <c r="G45" s="120">
        <v>44849</v>
      </c>
      <c r="H45" s="3">
        <v>10</v>
      </c>
      <c r="I45" s="198">
        <v>16</v>
      </c>
      <c r="J45" s="184" t="s">
        <v>23</v>
      </c>
      <c r="K45" s="188"/>
    </row>
    <row r="46" spans="6:11" x14ac:dyDescent="0.3">
      <c r="F46" s="250">
        <f>ROW()-ROW(APORTACIONESOCIOS[[#Headers],[SECUENCIA]])</f>
        <v>42</v>
      </c>
      <c r="G46" s="120">
        <v>44880</v>
      </c>
      <c r="H46" s="3">
        <v>10</v>
      </c>
      <c r="I46" s="198">
        <v>3</v>
      </c>
      <c r="J46" s="184" t="s">
        <v>13</v>
      </c>
      <c r="K46" s="188"/>
    </row>
    <row r="47" spans="6:11" x14ac:dyDescent="0.3">
      <c r="F47" s="250">
        <f>ROW()-ROW(APORTACIONESOCIOS[[#Headers],[SECUENCIA]])</f>
        <v>43</v>
      </c>
      <c r="G47" s="120">
        <v>44880</v>
      </c>
      <c r="H47" s="3">
        <v>10</v>
      </c>
      <c r="I47" s="198">
        <v>4</v>
      </c>
      <c r="J47" s="184" t="s">
        <v>12</v>
      </c>
      <c r="K47" s="188"/>
    </row>
    <row r="48" spans="6:11" x14ac:dyDescent="0.3">
      <c r="F48" s="250">
        <f>ROW()-ROW(APORTACIONESOCIOS[[#Headers],[SECUENCIA]])</f>
        <v>44</v>
      </c>
      <c r="G48" s="120">
        <v>44880</v>
      </c>
      <c r="H48" s="3">
        <v>10</v>
      </c>
      <c r="I48" s="198">
        <v>5</v>
      </c>
      <c r="J48" s="184" t="s">
        <v>14</v>
      </c>
      <c r="K48" s="188"/>
    </row>
    <row r="49" spans="6:11" x14ac:dyDescent="0.3">
      <c r="F49" s="250">
        <f>ROW()-ROW(APORTACIONESOCIOS[[#Headers],[SECUENCIA]])</f>
        <v>45</v>
      </c>
      <c r="G49" s="120">
        <v>44880</v>
      </c>
      <c r="H49" s="3">
        <v>10</v>
      </c>
      <c r="I49" s="198">
        <v>6</v>
      </c>
      <c r="J49" s="184" t="s">
        <v>24</v>
      </c>
      <c r="K49" s="188"/>
    </row>
    <row r="50" spans="6:11" x14ac:dyDescent="0.3">
      <c r="F50" s="250">
        <f>ROW()-ROW(APORTACIONESOCIOS[[#Headers],[SECUENCIA]])</f>
        <v>46</v>
      </c>
      <c r="G50" s="120">
        <v>44880</v>
      </c>
      <c r="H50" s="3">
        <v>10</v>
      </c>
      <c r="I50" s="198">
        <v>7</v>
      </c>
      <c r="J50" s="184" t="s">
        <v>15</v>
      </c>
      <c r="K50" s="188"/>
    </row>
    <row r="51" spans="6:11" x14ac:dyDescent="0.3">
      <c r="F51" s="250">
        <f>ROW()-ROW(APORTACIONESOCIOS[[#Headers],[SECUENCIA]])</f>
        <v>47</v>
      </c>
      <c r="G51" s="120">
        <v>44880</v>
      </c>
      <c r="H51" s="3">
        <v>10</v>
      </c>
      <c r="I51" s="198">
        <v>8</v>
      </c>
      <c r="J51" s="184" t="s">
        <v>16</v>
      </c>
      <c r="K51" s="188"/>
    </row>
    <row r="52" spans="6:11" x14ac:dyDescent="0.3">
      <c r="F52" s="250">
        <f>ROW()-ROW(APORTACIONESOCIOS[[#Headers],[SECUENCIA]])</f>
        <v>48</v>
      </c>
      <c r="G52" s="120">
        <v>44880</v>
      </c>
      <c r="H52" s="3">
        <v>10</v>
      </c>
      <c r="I52" s="198">
        <v>9</v>
      </c>
      <c r="J52" s="184" t="s">
        <v>17</v>
      </c>
      <c r="K52" s="188"/>
    </row>
    <row r="53" spans="6:11" x14ac:dyDescent="0.3">
      <c r="F53" s="252">
        <f>ROW()-ROW(APORTACIONESOCIOS[[#Headers],[SECUENCIA]])</f>
        <v>49</v>
      </c>
      <c r="G53" s="120">
        <v>44880</v>
      </c>
      <c r="H53" s="3">
        <v>10</v>
      </c>
      <c r="I53" s="198">
        <v>10</v>
      </c>
      <c r="J53" s="184" t="s">
        <v>18</v>
      </c>
      <c r="K53" s="188"/>
    </row>
    <row r="54" spans="6:11" x14ac:dyDescent="0.3">
      <c r="F54" s="250">
        <f>ROW()-ROW(APORTACIONESOCIOS[[#Headers],[SECUENCIA]])</f>
        <v>50</v>
      </c>
      <c r="G54" s="120">
        <v>44880</v>
      </c>
      <c r="H54" s="3">
        <v>10</v>
      </c>
      <c r="I54" s="198">
        <v>11</v>
      </c>
      <c r="J54" s="184" t="s">
        <v>19</v>
      </c>
      <c r="K54" s="188"/>
    </row>
    <row r="55" spans="6:11" x14ac:dyDescent="0.3">
      <c r="F55" s="250">
        <f>ROW()-ROW(APORTACIONESOCIOS[[#Headers],[SECUENCIA]])</f>
        <v>51</v>
      </c>
      <c r="G55" s="120">
        <v>44880</v>
      </c>
      <c r="H55" s="3">
        <v>10</v>
      </c>
      <c r="I55" s="198">
        <v>12</v>
      </c>
      <c r="J55" s="184" t="s">
        <v>20</v>
      </c>
      <c r="K55" s="188"/>
    </row>
    <row r="56" spans="6:11" x14ac:dyDescent="0.3">
      <c r="F56" s="250">
        <f>ROW()-ROW(APORTACIONESOCIOS[[#Headers],[SECUENCIA]])</f>
        <v>52</v>
      </c>
      <c r="G56" s="120">
        <v>44880</v>
      </c>
      <c r="H56" s="3">
        <v>10</v>
      </c>
      <c r="I56" s="198">
        <v>14</v>
      </c>
      <c r="J56" s="184" t="s">
        <v>21</v>
      </c>
      <c r="K56" s="188"/>
    </row>
    <row r="57" spans="6:11" x14ac:dyDescent="0.3">
      <c r="F57" s="250">
        <f>ROW()-ROW(APORTACIONESOCIOS[[#Headers],[SECUENCIA]])</f>
        <v>53</v>
      </c>
      <c r="G57" s="120">
        <v>44880</v>
      </c>
      <c r="H57" s="3">
        <v>10</v>
      </c>
      <c r="I57" s="198">
        <v>15</v>
      </c>
      <c r="J57" s="184" t="s">
        <v>22</v>
      </c>
      <c r="K57" s="188"/>
    </row>
    <row r="58" spans="6:11" x14ac:dyDescent="0.3">
      <c r="F58" s="250">
        <f>ROW()-ROW(APORTACIONESOCIOS[[#Headers],[SECUENCIA]])</f>
        <v>54</v>
      </c>
      <c r="G58" s="120">
        <v>44880</v>
      </c>
      <c r="H58" s="3">
        <v>10</v>
      </c>
      <c r="I58" s="198">
        <v>16</v>
      </c>
      <c r="J58" s="184" t="s">
        <v>23</v>
      </c>
      <c r="K58" s="188"/>
    </row>
    <row r="59" spans="6:11" x14ac:dyDescent="0.3">
      <c r="F59" s="251">
        <f>ROW()-ROW(APORTACIONESOCIOS[[#Headers],[SECUENCIA]])</f>
        <v>55</v>
      </c>
      <c r="G59" s="133">
        <v>44910</v>
      </c>
      <c r="H59" s="3">
        <v>10</v>
      </c>
      <c r="I59" s="198">
        <v>3</v>
      </c>
      <c r="J59" s="184" t="s">
        <v>13</v>
      </c>
      <c r="K59" s="190"/>
    </row>
    <row r="60" spans="6:11" x14ac:dyDescent="0.3">
      <c r="F60" s="250">
        <f>ROW()-ROW(APORTACIONESOCIOS[[#Headers],[SECUENCIA]])</f>
        <v>56</v>
      </c>
      <c r="G60" s="120">
        <v>44910</v>
      </c>
      <c r="H60" s="3">
        <v>10</v>
      </c>
      <c r="I60" s="198">
        <v>4</v>
      </c>
      <c r="J60" s="184" t="s">
        <v>12</v>
      </c>
      <c r="K60" s="188"/>
    </row>
    <row r="61" spans="6:11" x14ac:dyDescent="0.3">
      <c r="F61" s="250">
        <f>ROW()-ROW(APORTACIONESOCIOS[[#Headers],[SECUENCIA]])</f>
        <v>57</v>
      </c>
      <c r="G61" s="120">
        <v>44910</v>
      </c>
      <c r="H61" s="3">
        <v>10</v>
      </c>
      <c r="I61" s="198">
        <v>5</v>
      </c>
      <c r="J61" s="184" t="s">
        <v>14</v>
      </c>
      <c r="K61" s="188"/>
    </row>
    <row r="62" spans="6:11" x14ac:dyDescent="0.3">
      <c r="F62" s="250">
        <f>ROW()-ROW(APORTACIONESOCIOS[[#Headers],[SECUENCIA]])</f>
        <v>58</v>
      </c>
      <c r="G62" s="120">
        <v>44910</v>
      </c>
      <c r="H62" s="3">
        <v>10</v>
      </c>
      <c r="I62" s="198">
        <v>6</v>
      </c>
      <c r="J62" s="184" t="s">
        <v>24</v>
      </c>
      <c r="K62" s="188"/>
    </row>
    <row r="63" spans="6:11" x14ac:dyDescent="0.3">
      <c r="F63" s="250">
        <f>ROW()-ROW(APORTACIONESOCIOS[[#Headers],[SECUENCIA]])</f>
        <v>59</v>
      </c>
      <c r="G63" s="120">
        <v>44910</v>
      </c>
      <c r="H63" s="3">
        <v>10</v>
      </c>
      <c r="I63" s="198">
        <v>7</v>
      </c>
      <c r="J63" s="184" t="s">
        <v>15</v>
      </c>
      <c r="K63" s="188"/>
    </row>
    <row r="64" spans="6:11" x14ac:dyDescent="0.3">
      <c r="F64" s="250">
        <f>ROW()-ROW(APORTACIONESOCIOS[[#Headers],[SECUENCIA]])</f>
        <v>60</v>
      </c>
      <c r="G64" s="120">
        <v>44910</v>
      </c>
      <c r="H64" s="3">
        <v>10</v>
      </c>
      <c r="I64" s="198">
        <v>8</v>
      </c>
      <c r="J64" s="184" t="s">
        <v>16</v>
      </c>
      <c r="K64" s="188"/>
    </row>
    <row r="65" spans="6:11" x14ac:dyDescent="0.3">
      <c r="F65" s="250">
        <f>ROW()-ROW(APORTACIONESOCIOS[[#Headers],[SECUENCIA]])</f>
        <v>61</v>
      </c>
      <c r="G65" s="120">
        <v>44910</v>
      </c>
      <c r="H65" s="3">
        <v>10</v>
      </c>
      <c r="I65" s="198">
        <v>9</v>
      </c>
      <c r="J65" s="184" t="s">
        <v>17</v>
      </c>
      <c r="K65" s="188"/>
    </row>
    <row r="66" spans="6:11" x14ac:dyDescent="0.3">
      <c r="F66" s="250">
        <f>ROW()-ROW(APORTACIONESOCIOS[[#Headers],[SECUENCIA]])</f>
        <v>62</v>
      </c>
      <c r="G66" s="120">
        <v>44910</v>
      </c>
      <c r="H66" s="3">
        <v>10</v>
      </c>
      <c r="I66" s="198">
        <v>10</v>
      </c>
      <c r="J66" s="184" t="s">
        <v>18</v>
      </c>
      <c r="K66" s="188"/>
    </row>
    <row r="67" spans="6:11" x14ac:dyDescent="0.3">
      <c r="F67" s="250">
        <f>ROW()-ROW(APORTACIONESOCIOS[[#Headers],[SECUENCIA]])</f>
        <v>63</v>
      </c>
      <c r="G67" s="120">
        <v>44910</v>
      </c>
      <c r="H67" s="3">
        <v>10</v>
      </c>
      <c r="I67" s="198">
        <v>11</v>
      </c>
      <c r="J67" s="184" t="s">
        <v>19</v>
      </c>
      <c r="K67" s="188"/>
    </row>
    <row r="68" spans="6:11" x14ac:dyDescent="0.3">
      <c r="F68" s="250">
        <f>ROW()-ROW(APORTACIONESOCIOS[[#Headers],[SECUENCIA]])</f>
        <v>64</v>
      </c>
      <c r="G68" s="120">
        <v>44910</v>
      </c>
      <c r="H68" s="3">
        <v>10</v>
      </c>
      <c r="I68" s="198">
        <v>12</v>
      </c>
      <c r="J68" s="184" t="s">
        <v>20</v>
      </c>
      <c r="K68" s="188"/>
    </row>
    <row r="69" spans="6:11" x14ac:dyDescent="0.3">
      <c r="F69" s="250">
        <f>ROW()-ROW(APORTACIONESOCIOS[[#Headers],[SECUENCIA]])</f>
        <v>65</v>
      </c>
      <c r="G69" s="120">
        <v>44910</v>
      </c>
      <c r="H69" s="3">
        <v>10</v>
      </c>
      <c r="I69" s="198">
        <v>14</v>
      </c>
      <c r="J69" s="184" t="s">
        <v>21</v>
      </c>
      <c r="K69" s="188"/>
    </row>
    <row r="70" spans="6:11" x14ac:dyDescent="0.3">
      <c r="F70" s="250">
        <f>ROW()-ROW(APORTACIONESOCIOS[[#Headers],[SECUENCIA]])</f>
        <v>66</v>
      </c>
      <c r="G70" s="120">
        <v>44910</v>
      </c>
      <c r="H70" s="3">
        <v>10</v>
      </c>
      <c r="I70" s="198">
        <v>15</v>
      </c>
      <c r="J70" s="184" t="s">
        <v>22</v>
      </c>
      <c r="K70" s="188"/>
    </row>
    <row r="71" spans="6:11" x14ac:dyDescent="0.3">
      <c r="F71" s="250">
        <f>ROW()-ROW(APORTACIONESOCIOS[[#Headers],[SECUENCIA]])</f>
        <v>67</v>
      </c>
      <c r="G71" s="120">
        <v>44910</v>
      </c>
      <c r="H71" s="3">
        <v>10</v>
      </c>
      <c r="I71" s="198">
        <v>16</v>
      </c>
      <c r="J71" s="184" t="s">
        <v>23</v>
      </c>
      <c r="K71" s="188"/>
    </row>
    <row r="72" spans="6:11" x14ac:dyDescent="0.3">
      <c r="F72" s="251">
        <f>ROW()-ROW(APORTACIONESOCIOS[[#Headers],[SECUENCIA]])</f>
        <v>68</v>
      </c>
      <c r="G72" s="133">
        <v>44941</v>
      </c>
      <c r="H72" s="3">
        <v>10</v>
      </c>
      <c r="I72" s="198">
        <v>3</v>
      </c>
      <c r="J72" s="184" t="s">
        <v>13</v>
      </c>
      <c r="K72" s="190"/>
    </row>
    <row r="73" spans="6:11" x14ac:dyDescent="0.3">
      <c r="F73" s="250">
        <f>ROW()-ROW(APORTACIONESOCIOS[[#Headers],[SECUENCIA]])</f>
        <v>69</v>
      </c>
      <c r="G73" s="120">
        <v>44941</v>
      </c>
      <c r="H73" s="3">
        <v>10</v>
      </c>
      <c r="I73" s="198">
        <v>4</v>
      </c>
      <c r="J73" s="184" t="s">
        <v>12</v>
      </c>
      <c r="K73" s="188"/>
    </row>
    <row r="74" spans="6:11" x14ac:dyDescent="0.3">
      <c r="F74" s="250">
        <f>ROW()-ROW(APORTACIONESOCIOS[[#Headers],[SECUENCIA]])</f>
        <v>70</v>
      </c>
      <c r="G74" s="120">
        <v>44941</v>
      </c>
      <c r="H74" s="3">
        <v>10</v>
      </c>
      <c r="I74" s="198">
        <v>5</v>
      </c>
      <c r="J74" s="184" t="s">
        <v>14</v>
      </c>
      <c r="K74" s="188"/>
    </row>
    <row r="75" spans="6:11" x14ac:dyDescent="0.3">
      <c r="F75" s="250">
        <f>ROW()-ROW(APORTACIONESOCIOS[[#Headers],[SECUENCIA]])</f>
        <v>71</v>
      </c>
      <c r="G75" s="120">
        <v>44941</v>
      </c>
      <c r="H75" s="3">
        <v>10</v>
      </c>
      <c r="I75" s="198">
        <v>6</v>
      </c>
      <c r="J75" s="184" t="s">
        <v>24</v>
      </c>
      <c r="K75" s="188"/>
    </row>
    <row r="76" spans="6:11" x14ac:dyDescent="0.3">
      <c r="F76" s="250">
        <f>ROW()-ROW(APORTACIONESOCIOS[[#Headers],[SECUENCIA]])</f>
        <v>72</v>
      </c>
      <c r="G76" s="120">
        <v>44941</v>
      </c>
      <c r="H76" s="3">
        <v>10</v>
      </c>
      <c r="I76" s="198">
        <v>7</v>
      </c>
      <c r="J76" s="184" t="s">
        <v>15</v>
      </c>
      <c r="K76" s="188"/>
    </row>
    <row r="77" spans="6:11" x14ac:dyDescent="0.3">
      <c r="F77" s="250">
        <f>ROW()-ROW(APORTACIONESOCIOS[[#Headers],[SECUENCIA]])</f>
        <v>73</v>
      </c>
      <c r="G77" s="120">
        <v>44941</v>
      </c>
      <c r="H77" s="3">
        <v>10</v>
      </c>
      <c r="I77" s="198">
        <v>8</v>
      </c>
      <c r="J77" s="184" t="s">
        <v>16</v>
      </c>
      <c r="K77" s="188"/>
    </row>
    <row r="78" spans="6:11" x14ac:dyDescent="0.3">
      <c r="F78" s="250">
        <f>ROW()-ROW(APORTACIONESOCIOS[[#Headers],[SECUENCIA]])</f>
        <v>74</v>
      </c>
      <c r="G78" s="120">
        <v>44941</v>
      </c>
      <c r="H78" s="3">
        <v>10</v>
      </c>
      <c r="I78" s="198">
        <v>9</v>
      </c>
      <c r="J78" s="184" t="s">
        <v>17</v>
      </c>
      <c r="K78" s="188"/>
    </row>
    <row r="79" spans="6:11" x14ac:dyDescent="0.3">
      <c r="F79" s="250">
        <f>ROW()-ROW(APORTACIONESOCIOS[[#Headers],[SECUENCIA]])</f>
        <v>75</v>
      </c>
      <c r="G79" s="120">
        <v>44941</v>
      </c>
      <c r="H79" s="3">
        <v>10</v>
      </c>
      <c r="I79" s="198">
        <v>10</v>
      </c>
      <c r="J79" s="184" t="s">
        <v>18</v>
      </c>
      <c r="K79" s="188"/>
    </row>
    <row r="80" spans="6:11" x14ac:dyDescent="0.3">
      <c r="F80" s="250">
        <f>ROW()-ROW(APORTACIONESOCIOS[[#Headers],[SECUENCIA]])</f>
        <v>76</v>
      </c>
      <c r="G80" s="120">
        <v>44941</v>
      </c>
      <c r="H80" s="3">
        <v>10</v>
      </c>
      <c r="I80" s="198">
        <v>11</v>
      </c>
      <c r="J80" s="184" t="s">
        <v>19</v>
      </c>
      <c r="K80" s="188"/>
    </row>
    <row r="81" spans="6:11" x14ac:dyDescent="0.3">
      <c r="F81" s="250">
        <f>ROW()-ROW(APORTACIONESOCIOS[[#Headers],[SECUENCIA]])</f>
        <v>77</v>
      </c>
      <c r="G81" s="120">
        <v>44941</v>
      </c>
      <c r="H81" s="3">
        <v>10</v>
      </c>
      <c r="I81" s="198">
        <v>12</v>
      </c>
      <c r="J81" s="184" t="s">
        <v>20</v>
      </c>
      <c r="K81" s="188"/>
    </row>
    <row r="82" spans="6:11" x14ac:dyDescent="0.3">
      <c r="F82" s="250">
        <f>ROW()-ROW(APORTACIONESOCIOS[[#Headers],[SECUENCIA]])</f>
        <v>78</v>
      </c>
      <c r="G82" s="120">
        <v>44941</v>
      </c>
      <c r="H82" s="3">
        <v>10</v>
      </c>
      <c r="I82" s="198">
        <v>14</v>
      </c>
      <c r="J82" s="184" t="s">
        <v>21</v>
      </c>
      <c r="K82" s="188"/>
    </row>
    <row r="83" spans="6:11" x14ac:dyDescent="0.3">
      <c r="F83" s="250">
        <f>ROW()-ROW(APORTACIONESOCIOS[[#Headers],[SECUENCIA]])</f>
        <v>79</v>
      </c>
      <c r="G83" s="120">
        <v>44941</v>
      </c>
      <c r="H83" s="3">
        <v>10</v>
      </c>
      <c r="I83" s="198">
        <v>15</v>
      </c>
      <c r="J83" s="184" t="s">
        <v>22</v>
      </c>
      <c r="K83" s="188"/>
    </row>
    <row r="84" spans="6:11" x14ac:dyDescent="0.3">
      <c r="F84" s="250">
        <f>ROW()-ROW(APORTACIONESOCIOS[[#Headers],[SECUENCIA]])</f>
        <v>80</v>
      </c>
      <c r="G84" s="120">
        <v>44941</v>
      </c>
      <c r="H84" s="3">
        <v>10</v>
      </c>
      <c r="I84" s="198">
        <v>16</v>
      </c>
      <c r="J84" s="184" t="s">
        <v>23</v>
      </c>
      <c r="K84" s="188"/>
    </row>
    <row r="85" spans="6:11" x14ac:dyDescent="0.3">
      <c r="F85" s="251">
        <f>ROW()-ROW(APORTACIONESOCIOS[[#Headers],[SECUENCIA]])</f>
        <v>81</v>
      </c>
      <c r="G85" s="133">
        <v>44972</v>
      </c>
      <c r="H85" s="3">
        <v>10</v>
      </c>
      <c r="I85" s="198">
        <v>3</v>
      </c>
      <c r="J85" s="184" t="s">
        <v>13</v>
      </c>
      <c r="K85" s="190"/>
    </row>
    <row r="86" spans="6:11" x14ac:dyDescent="0.3">
      <c r="F86" s="250">
        <f>ROW()-ROW(APORTACIONESOCIOS[[#Headers],[SECUENCIA]])</f>
        <v>82</v>
      </c>
      <c r="G86" s="120">
        <v>44972</v>
      </c>
      <c r="H86" s="3">
        <v>10</v>
      </c>
      <c r="I86" s="198">
        <v>4</v>
      </c>
      <c r="J86" s="184" t="s">
        <v>12</v>
      </c>
      <c r="K86" s="188"/>
    </row>
    <row r="87" spans="6:11" x14ac:dyDescent="0.3">
      <c r="F87" s="250">
        <f>ROW()-ROW(APORTACIONESOCIOS[[#Headers],[SECUENCIA]])</f>
        <v>83</v>
      </c>
      <c r="G87" s="120">
        <v>44972</v>
      </c>
      <c r="H87" s="3">
        <v>10</v>
      </c>
      <c r="I87" s="198">
        <v>5</v>
      </c>
      <c r="J87" s="184" t="s">
        <v>14</v>
      </c>
      <c r="K87" s="188"/>
    </row>
    <row r="88" spans="6:11" x14ac:dyDescent="0.3">
      <c r="F88" s="250">
        <f>ROW()-ROW(APORTACIONESOCIOS[[#Headers],[SECUENCIA]])</f>
        <v>84</v>
      </c>
      <c r="G88" s="120">
        <v>44972</v>
      </c>
      <c r="H88" s="3">
        <v>10</v>
      </c>
      <c r="I88" s="198">
        <v>6</v>
      </c>
      <c r="J88" s="184" t="s">
        <v>24</v>
      </c>
      <c r="K88" s="188"/>
    </row>
    <row r="89" spans="6:11" x14ac:dyDescent="0.3">
      <c r="F89" s="250">
        <f>ROW()-ROW(APORTACIONESOCIOS[[#Headers],[SECUENCIA]])</f>
        <v>85</v>
      </c>
      <c r="G89" s="120">
        <v>44972</v>
      </c>
      <c r="H89" s="3">
        <v>10</v>
      </c>
      <c r="I89" s="198">
        <v>7</v>
      </c>
      <c r="J89" s="184" t="s">
        <v>15</v>
      </c>
      <c r="K89" s="188"/>
    </row>
    <row r="90" spans="6:11" x14ac:dyDescent="0.3">
      <c r="F90" s="250">
        <f>ROW()-ROW(APORTACIONESOCIOS[[#Headers],[SECUENCIA]])</f>
        <v>86</v>
      </c>
      <c r="G90" s="120">
        <v>44972</v>
      </c>
      <c r="H90" s="3">
        <v>10</v>
      </c>
      <c r="I90" s="198">
        <v>8</v>
      </c>
      <c r="J90" s="184" t="s">
        <v>16</v>
      </c>
      <c r="K90" s="188"/>
    </row>
    <row r="91" spans="6:11" x14ac:dyDescent="0.3">
      <c r="F91" s="250">
        <f>ROW()-ROW(APORTACIONESOCIOS[[#Headers],[SECUENCIA]])</f>
        <v>87</v>
      </c>
      <c r="G91" s="120">
        <v>44972</v>
      </c>
      <c r="H91" s="3">
        <v>10</v>
      </c>
      <c r="I91" s="198">
        <v>9</v>
      </c>
      <c r="J91" s="184" t="s">
        <v>17</v>
      </c>
      <c r="K91" s="188"/>
    </row>
    <row r="92" spans="6:11" x14ac:dyDescent="0.3">
      <c r="F92" s="250">
        <f>ROW()-ROW(APORTACIONESOCIOS[[#Headers],[SECUENCIA]])</f>
        <v>88</v>
      </c>
      <c r="G92" s="120">
        <v>44972</v>
      </c>
      <c r="H92" s="3">
        <v>10</v>
      </c>
      <c r="I92" s="198">
        <v>10</v>
      </c>
      <c r="J92" s="184" t="s">
        <v>18</v>
      </c>
      <c r="K92" s="188"/>
    </row>
    <row r="93" spans="6:11" x14ac:dyDescent="0.3">
      <c r="F93" s="250">
        <f>ROW()-ROW(APORTACIONESOCIOS[[#Headers],[SECUENCIA]])</f>
        <v>89</v>
      </c>
      <c r="G93" s="120">
        <v>44972</v>
      </c>
      <c r="H93" s="3">
        <v>10</v>
      </c>
      <c r="I93" s="198">
        <v>11</v>
      </c>
      <c r="J93" s="184" t="s">
        <v>19</v>
      </c>
      <c r="K93" s="188"/>
    </row>
    <row r="94" spans="6:11" x14ac:dyDescent="0.3">
      <c r="F94" s="250">
        <f>ROW()-ROW(APORTACIONESOCIOS[[#Headers],[SECUENCIA]])</f>
        <v>90</v>
      </c>
      <c r="G94" s="120">
        <v>44972</v>
      </c>
      <c r="H94" s="3">
        <v>10</v>
      </c>
      <c r="I94" s="198">
        <v>12</v>
      </c>
      <c r="J94" s="184" t="s">
        <v>20</v>
      </c>
      <c r="K94" s="188"/>
    </row>
    <row r="95" spans="6:11" x14ac:dyDescent="0.3">
      <c r="F95" s="250">
        <f>ROW()-ROW(APORTACIONESOCIOS[[#Headers],[SECUENCIA]])</f>
        <v>91</v>
      </c>
      <c r="G95" s="120">
        <v>44972</v>
      </c>
      <c r="H95" s="3">
        <v>10</v>
      </c>
      <c r="I95" s="198">
        <v>14</v>
      </c>
      <c r="J95" s="184" t="s">
        <v>21</v>
      </c>
      <c r="K95" s="188"/>
    </row>
    <row r="96" spans="6:11" x14ac:dyDescent="0.3">
      <c r="F96" s="250">
        <f>ROW()-ROW(APORTACIONESOCIOS[[#Headers],[SECUENCIA]])</f>
        <v>92</v>
      </c>
      <c r="G96" s="120">
        <v>44972</v>
      </c>
      <c r="H96" s="3">
        <v>10</v>
      </c>
      <c r="I96" s="198">
        <v>15</v>
      </c>
      <c r="J96" s="184" t="s">
        <v>22</v>
      </c>
      <c r="K96" s="188"/>
    </row>
    <row r="97" spans="6:11" x14ac:dyDescent="0.3">
      <c r="F97" s="250">
        <f>ROW()-ROW(APORTACIONESOCIOS[[#Headers],[SECUENCIA]])</f>
        <v>93</v>
      </c>
      <c r="G97" s="120">
        <v>44972</v>
      </c>
      <c r="H97" s="3">
        <v>10</v>
      </c>
      <c r="I97" s="198">
        <v>16</v>
      </c>
      <c r="J97" s="184" t="s">
        <v>23</v>
      </c>
      <c r="K97" s="188"/>
    </row>
    <row r="98" spans="6:11" x14ac:dyDescent="0.3">
      <c r="F98" s="251">
        <f>ROW()-ROW(APORTACIONESOCIOS[[#Headers],[SECUENCIA]])</f>
        <v>94</v>
      </c>
      <c r="G98" s="133">
        <v>45000</v>
      </c>
      <c r="H98" s="3">
        <v>10</v>
      </c>
      <c r="I98" s="198">
        <v>3</v>
      </c>
      <c r="J98" s="184" t="s">
        <v>13</v>
      </c>
      <c r="K98" s="190"/>
    </row>
    <row r="99" spans="6:11" x14ac:dyDescent="0.3">
      <c r="F99" s="250">
        <f>ROW()-ROW(APORTACIONESOCIOS[[#Headers],[SECUENCIA]])</f>
        <v>95</v>
      </c>
      <c r="G99" s="120">
        <v>45000</v>
      </c>
      <c r="H99" s="3">
        <v>10</v>
      </c>
      <c r="I99" s="198">
        <v>4</v>
      </c>
      <c r="J99" s="184" t="s">
        <v>12</v>
      </c>
      <c r="K99" s="188"/>
    </row>
    <row r="100" spans="6:11" x14ac:dyDescent="0.3">
      <c r="F100" s="250">
        <f>ROW()-ROW(APORTACIONESOCIOS[[#Headers],[SECUENCIA]])</f>
        <v>96</v>
      </c>
      <c r="G100" s="120">
        <v>45000</v>
      </c>
      <c r="H100" s="3">
        <v>10</v>
      </c>
      <c r="I100" s="198">
        <v>5</v>
      </c>
      <c r="J100" s="184" t="s">
        <v>14</v>
      </c>
      <c r="K100" s="188"/>
    </row>
    <row r="101" spans="6:11" x14ac:dyDescent="0.3">
      <c r="F101" s="250">
        <f>ROW()-ROW(APORTACIONESOCIOS[[#Headers],[SECUENCIA]])</f>
        <v>97</v>
      </c>
      <c r="G101" s="120">
        <v>45000</v>
      </c>
      <c r="H101" s="3">
        <v>10</v>
      </c>
      <c r="I101" s="198">
        <v>6</v>
      </c>
      <c r="J101" s="184" t="s">
        <v>24</v>
      </c>
      <c r="K101" s="188"/>
    </row>
    <row r="102" spans="6:11" x14ac:dyDescent="0.3">
      <c r="F102" s="250">
        <f>ROW()-ROW(APORTACIONESOCIOS[[#Headers],[SECUENCIA]])</f>
        <v>98</v>
      </c>
      <c r="G102" s="120">
        <v>45000</v>
      </c>
      <c r="H102" s="3">
        <v>10</v>
      </c>
      <c r="I102" s="198">
        <v>7</v>
      </c>
      <c r="J102" s="184" t="s">
        <v>15</v>
      </c>
      <c r="K102" s="188"/>
    </row>
    <row r="103" spans="6:11" x14ac:dyDescent="0.3">
      <c r="F103" s="250">
        <f>ROW()-ROW(APORTACIONESOCIOS[[#Headers],[SECUENCIA]])</f>
        <v>99</v>
      </c>
      <c r="G103" s="120">
        <v>45000</v>
      </c>
      <c r="H103" s="3">
        <v>10</v>
      </c>
      <c r="I103" s="198">
        <v>8</v>
      </c>
      <c r="J103" s="184" t="s">
        <v>16</v>
      </c>
      <c r="K103" s="188"/>
    </row>
    <row r="104" spans="6:11" x14ac:dyDescent="0.3">
      <c r="F104" s="250">
        <f>ROW()-ROW(APORTACIONESOCIOS[[#Headers],[SECUENCIA]])</f>
        <v>100</v>
      </c>
      <c r="G104" s="120">
        <v>45000</v>
      </c>
      <c r="H104" s="3">
        <v>10</v>
      </c>
      <c r="I104" s="198">
        <v>9</v>
      </c>
      <c r="J104" s="184" t="s">
        <v>17</v>
      </c>
      <c r="K104" s="188"/>
    </row>
    <row r="105" spans="6:11" x14ac:dyDescent="0.3">
      <c r="F105" s="250">
        <f>ROW()-ROW(APORTACIONESOCIOS[[#Headers],[SECUENCIA]])</f>
        <v>101</v>
      </c>
      <c r="G105" s="120">
        <v>45000</v>
      </c>
      <c r="H105" s="3">
        <v>10</v>
      </c>
      <c r="I105" s="198">
        <v>10</v>
      </c>
      <c r="J105" s="184" t="s">
        <v>18</v>
      </c>
      <c r="K105" s="188"/>
    </row>
    <row r="106" spans="6:11" x14ac:dyDescent="0.3">
      <c r="F106" s="250">
        <f>ROW()-ROW(APORTACIONESOCIOS[[#Headers],[SECUENCIA]])</f>
        <v>102</v>
      </c>
      <c r="G106" s="120">
        <v>45000</v>
      </c>
      <c r="H106" s="3">
        <v>10</v>
      </c>
      <c r="I106" s="198">
        <v>11</v>
      </c>
      <c r="J106" s="184" t="s">
        <v>19</v>
      </c>
      <c r="K106" s="188"/>
    </row>
    <row r="107" spans="6:11" x14ac:dyDescent="0.3">
      <c r="F107" s="250">
        <f>ROW()-ROW(APORTACIONESOCIOS[[#Headers],[SECUENCIA]])</f>
        <v>103</v>
      </c>
      <c r="G107" s="120">
        <v>45000</v>
      </c>
      <c r="H107" s="3">
        <v>10</v>
      </c>
      <c r="I107" s="198">
        <v>12</v>
      </c>
      <c r="J107" s="184" t="s">
        <v>20</v>
      </c>
      <c r="K107" s="188"/>
    </row>
    <row r="108" spans="6:11" x14ac:dyDescent="0.3">
      <c r="F108" s="250">
        <f>ROW()-ROW(APORTACIONESOCIOS[[#Headers],[SECUENCIA]])</f>
        <v>104</v>
      </c>
      <c r="G108" s="120">
        <v>45000</v>
      </c>
      <c r="H108" s="3">
        <v>10</v>
      </c>
      <c r="I108" s="198">
        <v>14</v>
      </c>
      <c r="J108" s="184" t="s">
        <v>21</v>
      </c>
      <c r="K108" s="188"/>
    </row>
    <row r="109" spans="6:11" x14ac:dyDescent="0.3">
      <c r="F109" s="250">
        <f>ROW()-ROW(APORTACIONESOCIOS[[#Headers],[SECUENCIA]])</f>
        <v>105</v>
      </c>
      <c r="G109" s="120">
        <v>45000</v>
      </c>
      <c r="H109" s="3">
        <v>10</v>
      </c>
      <c r="I109" s="198">
        <v>15</v>
      </c>
      <c r="J109" s="184" t="s">
        <v>22</v>
      </c>
      <c r="K109" s="188"/>
    </row>
    <row r="110" spans="6:11" x14ac:dyDescent="0.3">
      <c r="F110" s="250">
        <f>ROW()-ROW(APORTACIONESOCIOS[[#Headers],[SECUENCIA]])</f>
        <v>106</v>
      </c>
      <c r="G110" s="120">
        <v>45000</v>
      </c>
      <c r="H110" s="3">
        <v>10</v>
      </c>
      <c r="I110" s="198">
        <v>16</v>
      </c>
      <c r="J110" s="184" t="s">
        <v>23</v>
      </c>
      <c r="K110" s="188"/>
    </row>
    <row r="111" spans="6:11" x14ac:dyDescent="0.3">
      <c r="F111" s="251">
        <f>ROW()-ROW(APORTACIONESOCIOS[[#Headers],[SECUENCIA]])</f>
        <v>107</v>
      </c>
      <c r="G111" s="133">
        <v>45031</v>
      </c>
      <c r="H111" s="3">
        <v>10</v>
      </c>
      <c r="I111" s="198">
        <v>3</v>
      </c>
      <c r="J111" s="184" t="s">
        <v>13</v>
      </c>
      <c r="K111" s="190"/>
    </row>
    <row r="112" spans="6:11" x14ac:dyDescent="0.3">
      <c r="F112" s="251">
        <f>ROW()-ROW(APORTACIONESOCIOS[[#Headers],[SECUENCIA]])</f>
        <v>108</v>
      </c>
      <c r="G112" s="120">
        <v>45031</v>
      </c>
      <c r="H112" s="3">
        <v>10</v>
      </c>
      <c r="I112" s="198">
        <v>4</v>
      </c>
      <c r="J112" s="184" t="s">
        <v>12</v>
      </c>
      <c r="K112" s="190"/>
    </row>
    <row r="113" spans="6:11" x14ac:dyDescent="0.3">
      <c r="F113" s="250">
        <f>ROW()-ROW(APORTACIONESOCIOS[[#Headers],[SECUENCIA]])</f>
        <v>109</v>
      </c>
      <c r="G113" s="120">
        <v>45031</v>
      </c>
      <c r="H113" s="3">
        <v>10</v>
      </c>
      <c r="I113" s="198">
        <v>5</v>
      </c>
      <c r="J113" s="184" t="s">
        <v>14</v>
      </c>
      <c r="K113" s="188"/>
    </row>
    <row r="114" spans="6:11" x14ac:dyDescent="0.3">
      <c r="F114" s="250">
        <f>ROW()-ROW(APORTACIONESOCIOS[[#Headers],[SECUENCIA]])</f>
        <v>110</v>
      </c>
      <c r="G114" s="120">
        <v>45031</v>
      </c>
      <c r="H114" s="3">
        <v>10</v>
      </c>
      <c r="I114" s="198">
        <v>6</v>
      </c>
      <c r="J114" s="184" t="s">
        <v>24</v>
      </c>
      <c r="K114" s="188"/>
    </row>
    <row r="115" spans="6:11" x14ac:dyDescent="0.3">
      <c r="F115" s="250">
        <f>ROW()-ROW(APORTACIONESOCIOS[[#Headers],[SECUENCIA]])</f>
        <v>111</v>
      </c>
      <c r="G115" s="120">
        <v>45031</v>
      </c>
      <c r="H115" s="3">
        <v>10</v>
      </c>
      <c r="I115" s="198">
        <v>7</v>
      </c>
      <c r="J115" s="184" t="s">
        <v>15</v>
      </c>
      <c r="K115" s="188"/>
    </row>
    <row r="116" spans="6:11" x14ac:dyDescent="0.3">
      <c r="F116" s="250">
        <f>ROW()-ROW(APORTACIONESOCIOS[[#Headers],[SECUENCIA]])</f>
        <v>112</v>
      </c>
      <c r="G116" s="120">
        <v>45031</v>
      </c>
      <c r="H116" s="3">
        <v>10</v>
      </c>
      <c r="I116" s="198">
        <v>8</v>
      </c>
      <c r="J116" s="184" t="s">
        <v>16</v>
      </c>
      <c r="K116" s="188"/>
    </row>
    <row r="117" spans="6:11" x14ac:dyDescent="0.3">
      <c r="F117" s="250">
        <f>ROW()-ROW(APORTACIONESOCIOS[[#Headers],[SECUENCIA]])</f>
        <v>113</v>
      </c>
      <c r="G117" s="120">
        <v>45031</v>
      </c>
      <c r="H117" s="3">
        <v>10</v>
      </c>
      <c r="I117" s="198">
        <v>9</v>
      </c>
      <c r="J117" s="184" t="s">
        <v>17</v>
      </c>
      <c r="K117" s="188"/>
    </row>
    <row r="118" spans="6:11" x14ac:dyDescent="0.3">
      <c r="F118" s="250">
        <f>ROW()-ROW(APORTACIONESOCIOS[[#Headers],[SECUENCIA]])</f>
        <v>114</v>
      </c>
      <c r="G118" s="120">
        <v>45031</v>
      </c>
      <c r="H118" s="3">
        <v>10</v>
      </c>
      <c r="I118" s="198">
        <v>10</v>
      </c>
      <c r="J118" s="184" t="s">
        <v>18</v>
      </c>
      <c r="K118" s="188"/>
    </row>
    <row r="119" spans="6:11" x14ac:dyDescent="0.3">
      <c r="F119" s="250">
        <f>ROW()-ROW(APORTACIONESOCIOS[[#Headers],[SECUENCIA]])</f>
        <v>115</v>
      </c>
      <c r="G119" s="120">
        <v>45031</v>
      </c>
      <c r="H119" s="3">
        <v>10</v>
      </c>
      <c r="I119" s="198">
        <v>11</v>
      </c>
      <c r="J119" s="184" t="s">
        <v>19</v>
      </c>
      <c r="K119" s="188"/>
    </row>
    <row r="120" spans="6:11" x14ac:dyDescent="0.3">
      <c r="F120" s="250">
        <f>ROW()-ROW(APORTACIONESOCIOS[[#Headers],[SECUENCIA]])</f>
        <v>116</v>
      </c>
      <c r="G120" s="120">
        <v>45031</v>
      </c>
      <c r="H120" s="3">
        <v>10</v>
      </c>
      <c r="I120" s="198">
        <v>12</v>
      </c>
      <c r="J120" s="184" t="s">
        <v>20</v>
      </c>
      <c r="K120" s="188"/>
    </row>
    <row r="121" spans="6:11" x14ac:dyDescent="0.3">
      <c r="F121" s="250">
        <f>ROW()-ROW(APORTACIONESOCIOS[[#Headers],[SECUENCIA]])</f>
        <v>117</v>
      </c>
      <c r="G121" s="120">
        <v>45031</v>
      </c>
      <c r="H121" s="3">
        <v>10</v>
      </c>
      <c r="I121" s="198">
        <v>14</v>
      </c>
      <c r="J121" s="184" t="s">
        <v>21</v>
      </c>
      <c r="K121" s="188"/>
    </row>
    <row r="122" spans="6:11" x14ac:dyDescent="0.3">
      <c r="F122" s="250">
        <f>ROW()-ROW(APORTACIONESOCIOS[[#Headers],[SECUENCIA]])</f>
        <v>118</v>
      </c>
      <c r="G122" s="120">
        <v>45031</v>
      </c>
      <c r="H122" s="3">
        <v>10</v>
      </c>
      <c r="I122" s="198">
        <v>15</v>
      </c>
      <c r="J122" s="184" t="s">
        <v>22</v>
      </c>
      <c r="K122" s="188"/>
    </row>
    <row r="123" spans="6:11" x14ac:dyDescent="0.3">
      <c r="F123" s="250">
        <f>ROW()-ROW(APORTACIONESOCIOS[[#Headers],[SECUENCIA]])</f>
        <v>119</v>
      </c>
      <c r="G123" s="120">
        <v>45031</v>
      </c>
      <c r="H123" s="3">
        <v>10</v>
      </c>
      <c r="I123" s="198">
        <v>16</v>
      </c>
      <c r="J123" s="184" t="s">
        <v>23</v>
      </c>
      <c r="K123" s="188"/>
    </row>
    <row r="124" spans="6:11" x14ac:dyDescent="0.3">
      <c r="F124" s="250">
        <f>ROW()-ROW(APORTACIONESOCIOS[[#Headers],[SECUENCIA]])</f>
        <v>120</v>
      </c>
      <c r="G124" s="133">
        <v>45061</v>
      </c>
      <c r="H124" s="3">
        <v>10</v>
      </c>
      <c r="I124" s="198">
        <v>3</v>
      </c>
      <c r="J124" s="184" t="s">
        <v>13</v>
      </c>
      <c r="K124" s="188"/>
    </row>
    <row r="125" spans="6:11" x14ac:dyDescent="0.3">
      <c r="F125" s="251">
        <f>ROW()-ROW(APORTACIONESOCIOS[[#Headers],[SECUENCIA]])</f>
        <v>121</v>
      </c>
      <c r="G125" s="120">
        <v>45061</v>
      </c>
      <c r="H125" s="3">
        <v>10</v>
      </c>
      <c r="I125" s="198">
        <v>4</v>
      </c>
      <c r="J125" s="184" t="s">
        <v>12</v>
      </c>
      <c r="K125" s="190"/>
    </row>
    <row r="126" spans="6:11" x14ac:dyDescent="0.3">
      <c r="F126" s="250">
        <f>ROW()-ROW(APORTACIONESOCIOS[[#Headers],[SECUENCIA]])</f>
        <v>122</v>
      </c>
      <c r="G126" s="120">
        <v>45061</v>
      </c>
      <c r="H126" s="3">
        <v>10</v>
      </c>
      <c r="I126" s="198">
        <v>5</v>
      </c>
      <c r="J126" s="184" t="s">
        <v>14</v>
      </c>
      <c r="K126" s="188"/>
    </row>
    <row r="127" spans="6:11" x14ac:dyDescent="0.3">
      <c r="F127" s="250">
        <f>ROW()-ROW(APORTACIONESOCIOS[[#Headers],[SECUENCIA]])</f>
        <v>123</v>
      </c>
      <c r="G127" s="120">
        <v>45061</v>
      </c>
      <c r="H127" s="3">
        <v>10</v>
      </c>
      <c r="I127" s="198">
        <v>6</v>
      </c>
      <c r="J127" s="184" t="s">
        <v>24</v>
      </c>
      <c r="K127" s="188"/>
    </row>
    <row r="128" spans="6:11" x14ac:dyDescent="0.3">
      <c r="F128" s="250">
        <f>ROW()-ROW(APORTACIONESOCIOS[[#Headers],[SECUENCIA]])</f>
        <v>124</v>
      </c>
      <c r="G128" s="120">
        <v>45061</v>
      </c>
      <c r="H128" s="3">
        <v>10</v>
      </c>
      <c r="I128" s="198">
        <v>7</v>
      </c>
      <c r="J128" s="184" t="s">
        <v>15</v>
      </c>
      <c r="K128" s="188"/>
    </row>
    <row r="129" spans="6:11" x14ac:dyDescent="0.3">
      <c r="F129" s="250">
        <f>ROW()-ROW(APORTACIONESOCIOS[[#Headers],[SECUENCIA]])</f>
        <v>125</v>
      </c>
      <c r="G129" s="120">
        <v>45061</v>
      </c>
      <c r="H129" s="3">
        <v>10</v>
      </c>
      <c r="I129" s="198">
        <v>8</v>
      </c>
      <c r="J129" s="184" t="s">
        <v>16</v>
      </c>
      <c r="K129" s="188"/>
    </row>
    <row r="130" spans="6:11" x14ac:dyDescent="0.3">
      <c r="F130" s="250">
        <f>ROW()-ROW(APORTACIONESOCIOS[[#Headers],[SECUENCIA]])</f>
        <v>126</v>
      </c>
      <c r="G130" s="120">
        <v>45061</v>
      </c>
      <c r="H130" s="3">
        <v>10</v>
      </c>
      <c r="I130" s="198">
        <v>9</v>
      </c>
      <c r="J130" s="184" t="s">
        <v>17</v>
      </c>
      <c r="K130" s="188"/>
    </row>
    <row r="131" spans="6:11" x14ac:dyDescent="0.3">
      <c r="F131" s="250">
        <f>ROW()-ROW(APORTACIONESOCIOS[[#Headers],[SECUENCIA]])</f>
        <v>127</v>
      </c>
      <c r="G131" s="120">
        <v>45061</v>
      </c>
      <c r="H131" s="3">
        <v>10</v>
      </c>
      <c r="I131" s="198">
        <v>10</v>
      </c>
      <c r="J131" s="184" t="s">
        <v>18</v>
      </c>
      <c r="K131" s="188"/>
    </row>
    <row r="132" spans="6:11" x14ac:dyDescent="0.3">
      <c r="F132" s="250">
        <f>ROW()-ROW(APORTACIONESOCIOS[[#Headers],[SECUENCIA]])</f>
        <v>128</v>
      </c>
      <c r="G132" s="120">
        <v>45061</v>
      </c>
      <c r="H132" s="3">
        <v>10</v>
      </c>
      <c r="I132" s="198">
        <v>11</v>
      </c>
      <c r="J132" s="184" t="s">
        <v>19</v>
      </c>
      <c r="K132" s="188"/>
    </row>
    <row r="133" spans="6:11" x14ac:dyDescent="0.3">
      <c r="F133" s="250">
        <f>ROW()-ROW(APORTACIONESOCIOS[[#Headers],[SECUENCIA]])</f>
        <v>129</v>
      </c>
      <c r="G133" s="120">
        <v>45061</v>
      </c>
      <c r="H133" s="3">
        <v>10</v>
      </c>
      <c r="I133" s="198">
        <v>12</v>
      </c>
      <c r="J133" s="184" t="s">
        <v>20</v>
      </c>
      <c r="K133" s="188"/>
    </row>
    <row r="134" spans="6:11" x14ac:dyDescent="0.3">
      <c r="F134" s="250">
        <f>ROW()-ROW(APORTACIONESOCIOS[[#Headers],[SECUENCIA]])</f>
        <v>130</v>
      </c>
      <c r="G134" s="120">
        <v>45061</v>
      </c>
      <c r="H134" s="3">
        <v>10</v>
      </c>
      <c r="I134" s="198">
        <v>14</v>
      </c>
      <c r="J134" s="184" t="s">
        <v>21</v>
      </c>
      <c r="K134" s="188"/>
    </row>
    <row r="135" spans="6:11" x14ac:dyDescent="0.3">
      <c r="F135" s="250">
        <f>ROW()-ROW(APORTACIONESOCIOS[[#Headers],[SECUENCIA]])</f>
        <v>131</v>
      </c>
      <c r="G135" s="120">
        <v>45061</v>
      </c>
      <c r="H135" s="3">
        <v>10</v>
      </c>
      <c r="I135" s="198">
        <v>15</v>
      </c>
      <c r="J135" s="184" t="s">
        <v>22</v>
      </c>
      <c r="K135" s="188"/>
    </row>
    <row r="136" spans="6:11" x14ac:dyDescent="0.3">
      <c r="F136" s="250">
        <f>ROW()-ROW(APORTACIONESOCIOS[[#Headers],[SECUENCIA]])</f>
        <v>132</v>
      </c>
      <c r="G136" s="120">
        <v>45061</v>
      </c>
      <c r="H136" s="3">
        <v>10</v>
      </c>
      <c r="I136" s="198">
        <v>16</v>
      </c>
      <c r="J136" s="184" t="s">
        <v>23</v>
      </c>
      <c r="K136" s="188"/>
    </row>
    <row r="137" spans="6:11" x14ac:dyDescent="0.3">
      <c r="F137" s="250">
        <f>ROW()-ROW(APORTACIONESOCIOS[[#Headers],[SECUENCIA]])</f>
        <v>133</v>
      </c>
      <c r="G137" s="133">
        <v>45092</v>
      </c>
      <c r="H137" s="3">
        <v>10</v>
      </c>
      <c r="I137" s="198">
        <v>3</v>
      </c>
      <c r="J137" s="184" t="s">
        <v>13</v>
      </c>
      <c r="K137" s="188"/>
    </row>
    <row r="138" spans="6:11" x14ac:dyDescent="0.3">
      <c r="F138" s="251">
        <f>ROW()-ROW(APORTACIONESOCIOS[[#Headers],[SECUENCIA]])</f>
        <v>134</v>
      </c>
      <c r="G138" s="120">
        <v>45092</v>
      </c>
      <c r="H138" s="3">
        <v>10</v>
      </c>
      <c r="I138" s="198">
        <v>4</v>
      </c>
      <c r="J138" s="184" t="s">
        <v>12</v>
      </c>
      <c r="K138" s="190"/>
    </row>
    <row r="139" spans="6:11" x14ac:dyDescent="0.3">
      <c r="F139" s="250">
        <f>ROW()-ROW(APORTACIONESOCIOS[[#Headers],[SECUENCIA]])</f>
        <v>135</v>
      </c>
      <c r="G139" s="120">
        <v>45092</v>
      </c>
      <c r="H139" s="3">
        <v>10</v>
      </c>
      <c r="I139" s="198">
        <v>5</v>
      </c>
      <c r="J139" s="184" t="s">
        <v>14</v>
      </c>
      <c r="K139" s="188"/>
    </row>
    <row r="140" spans="6:11" x14ac:dyDescent="0.3">
      <c r="F140" s="250">
        <f>ROW()-ROW(APORTACIONESOCIOS[[#Headers],[SECUENCIA]])</f>
        <v>136</v>
      </c>
      <c r="G140" s="120">
        <v>45092</v>
      </c>
      <c r="H140" s="3">
        <v>10</v>
      </c>
      <c r="I140" s="198">
        <v>6</v>
      </c>
      <c r="J140" s="184" t="s">
        <v>24</v>
      </c>
      <c r="K140" s="188"/>
    </row>
    <row r="141" spans="6:11" x14ac:dyDescent="0.3">
      <c r="F141" s="250">
        <f>ROW()-ROW(APORTACIONESOCIOS[[#Headers],[SECUENCIA]])</f>
        <v>137</v>
      </c>
      <c r="G141" s="120">
        <v>45092</v>
      </c>
      <c r="H141" s="3">
        <v>10</v>
      </c>
      <c r="I141" s="198">
        <v>7</v>
      </c>
      <c r="J141" s="184" t="s">
        <v>15</v>
      </c>
      <c r="K141" s="188"/>
    </row>
    <row r="142" spans="6:11" x14ac:dyDescent="0.3">
      <c r="F142" s="250">
        <f>ROW()-ROW(APORTACIONESOCIOS[[#Headers],[SECUENCIA]])</f>
        <v>138</v>
      </c>
      <c r="G142" s="120">
        <v>45092</v>
      </c>
      <c r="H142" s="3">
        <v>10</v>
      </c>
      <c r="I142" s="198">
        <v>8</v>
      </c>
      <c r="J142" s="184" t="s">
        <v>16</v>
      </c>
      <c r="K142" s="188"/>
    </row>
    <row r="143" spans="6:11" x14ac:dyDescent="0.3">
      <c r="F143" s="250">
        <f>ROW()-ROW(APORTACIONESOCIOS[[#Headers],[SECUENCIA]])</f>
        <v>139</v>
      </c>
      <c r="G143" s="120">
        <v>45092</v>
      </c>
      <c r="H143" s="3">
        <v>10</v>
      </c>
      <c r="I143" s="198">
        <v>9</v>
      </c>
      <c r="J143" s="184" t="s">
        <v>17</v>
      </c>
      <c r="K143" s="188"/>
    </row>
    <row r="144" spans="6:11" x14ac:dyDescent="0.3">
      <c r="F144" s="250">
        <f>ROW()-ROW(APORTACIONESOCIOS[[#Headers],[SECUENCIA]])</f>
        <v>140</v>
      </c>
      <c r="G144" s="120">
        <v>45092</v>
      </c>
      <c r="H144" s="3">
        <v>10</v>
      </c>
      <c r="I144" s="198">
        <v>10</v>
      </c>
      <c r="J144" s="184" t="s">
        <v>18</v>
      </c>
      <c r="K144" s="188"/>
    </row>
    <row r="145" spans="6:11" x14ac:dyDescent="0.3">
      <c r="F145" s="250">
        <f>ROW()-ROW(APORTACIONESOCIOS[[#Headers],[SECUENCIA]])</f>
        <v>141</v>
      </c>
      <c r="G145" s="120">
        <v>45092</v>
      </c>
      <c r="H145" s="3">
        <v>10</v>
      </c>
      <c r="I145" s="198">
        <v>11</v>
      </c>
      <c r="J145" s="184" t="s">
        <v>19</v>
      </c>
      <c r="K145" s="188"/>
    </row>
    <row r="146" spans="6:11" x14ac:dyDescent="0.3">
      <c r="F146" s="250">
        <f>ROW()-ROW(APORTACIONESOCIOS[[#Headers],[SECUENCIA]])</f>
        <v>142</v>
      </c>
      <c r="G146" s="120">
        <v>45092</v>
      </c>
      <c r="H146" s="3">
        <v>10</v>
      </c>
      <c r="I146" s="198">
        <v>12</v>
      </c>
      <c r="J146" s="184" t="s">
        <v>20</v>
      </c>
      <c r="K146" s="188"/>
    </row>
    <row r="147" spans="6:11" x14ac:dyDescent="0.3">
      <c r="F147" s="250">
        <f>ROW()-ROW(APORTACIONESOCIOS[[#Headers],[SECUENCIA]])</f>
        <v>143</v>
      </c>
      <c r="G147" s="120">
        <v>45092</v>
      </c>
      <c r="H147" s="3">
        <v>10</v>
      </c>
      <c r="I147" s="198">
        <v>14</v>
      </c>
      <c r="J147" s="184" t="s">
        <v>21</v>
      </c>
      <c r="K147" s="188"/>
    </row>
    <row r="148" spans="6:11" x14ac:dyDescent="0.3">
      <c r="F148" s="250">
        <f>ROW()-ROW(APORTACIONESOCIOS[[#Headers],[SECUENCIA]])</f>
        <v>144</v>
      </c>
      <c r="G148" s="120">
        <v>45092</v>
      </c>
      <c r="H148" s="3">
        <v>10</v>
      </c>
      <c r="I148" s="198">
        <v>15</v>
      </c>
      <c r="J148" s="184" t="s">
        <v>22</v>
      </c>
      <c r="K148" s="188"/>
    </row>
    <row r="149" spans="6:11" x14ac:dyDescent="0.3">
      <c r="F149" s="250">
        <f>ROW()-ROW(APORTACIONESOCIOS[[#Headers],[SECUENCIA]])</f>
        <v>145</v>
      </c>
      <c r="G149" s="120">
        <v>45092</v>
      </c>
      <c r="H149" s="3">
        <v>10</v>
      </c>
      <c r="I149" s="198">
        <v>16</v>
      </c>
      <c r="J149" s="184" t="s">
        <v>23</v>
      </c>
      <c r="K149" s="188"/>
    </row>
    <row r="150" spans="6:11" x14ac:dyDescent="0.3">
      <c r="F150" s="250">
        <f>ROW()-ROW(APORTACIONESOCIOS[[#Headers],[SECUENCIA]])</f>
        <v>146</v>
      </c>
      <c r="G150" s="133">
        <v>45122</v>
      </c>
      <c r="H150" s="3">
        <v>10</v>
      </c>
      <c r="I150" s="198">
        <v>3</v>
      </c>
      <c r="J150" s="184" t="s">
        <v>13</v>
      </c>
      <c r="K150" s="188"/>
    </row>
    <row r="151" spans="6:11" x14ac:dyDescent="0.3">
      <c r="F151" s="251">
        <f>ROW()-ROW(APORTACIONESOCIOS[[#Headers],[SECUENCIA]])</f>
        <v>147</v>
      </c>
      <c r="G151" s="120">
        <v>45122</v>
      </c>
      <c r="H151" s="3">
        <v>10</v>
      </c>
      <c r="I151" s="198">
        <v>4</v>
      </c>
      <c r="J151" s="184" t="s">
        <v>12</v>
      </c>
      <c r="K151" s="190"/>
    </row>
    <row r="152" spans="6:11" x14ac:dyDescent="0.3">
      <c r="F152" s="250">
        <f>ROW()-ROW(APORTACIONESOCIOS[[#Headers],[SECUENCIA]])</f>
        <v>148</v>
      </c>
      <c r="G152" s="120">
        <v>45122</v>
      </c>
      <c r="H152" s="3">
        <v>10</v>
      </c>
      <c r="I152" s="198">
        <v>5</v>
      </c>
      <c r="J152" s="184" t="s">
        <v>14</v>
      </c>
      <c r="K152" s="188"/>
    </row>
    <row r="153" spans="6:11" x14ac:dyDescent="0.3">
      <c r="F153" s="250">
        <f>ROW()-ROW(APORTACIONESOCIOS[[#Headers],[SECUENCIA]])</f>
        <v>149</v>
      </c>
      <c r="G153" s="120">
        <v>45122</v>
      </c>
      <c r="H153" s="3">
        <v>10</v>
      </c>
      <c r="I153" s="198">
        <v>6</v>
      </c>
      <c r="J153" s="184" t="s">
        <v>24</v>
      </c>
      <c r="K153" s="188"/>
    </row>
    <row r="154" spans="6:11" x14ac:dyDescent="0.3">
      <c r="F154" s="250">
        <f>ROW()-ROW(APORTACIONESOCIOS[[#Headers],[SECUENCIA]])</f>
        <v>150</v>
      </c>
      <c r="G154" s="120">
        <v>45122</v>
      </c>
      <c r="H154" s="3">
        <v>10</v>
      </c>
      <c r="I154" s="198">
        <v>7</v>
      </c>
      <c r="J154" s="184" t="s">
        <v>15</v>
      </c>
      <c r="K154" s="188"/>
    </row>
    <row r="155" spans="6:11" x14ac:dyDescent="0.3">
      <c r="F155" s="250">
        <f>ROW()-ROW(APORTACIONESOCIOS[[#Headers],[SECUENCIA]])</f>
        <v>151</v>
      </c>
      <c r="G155" s="120">
        <v>45122</v>
      </c>
      <c r="H155" s="3">
        <v>10</v>
      </c>
      <c r="I155" s="198">
        <v>8</v>
      </c>
      <c r="J155" s="184" t="s">
        <v>16</v>
      </c>
      <c r="K155" s="188"/>
    </row>
    <row r="156" spans="6:11" x14ac:dyDescent="0.3">
      <c r="F156" s="250">
        <f>ROW()-ROW(APORTACIONESOCIOS[[#Headers],[SECUENCIA]])</f>
        <v>152</v>
      </c>
      <c r="G156" s="120">
        <v>45122</v>
      </c>
      <c r="H156" s="3">
        <v>10</v>
      </c>
      <c r="I156" s="198">
        <v>9</v>
      </c>
      <c r="J156" s="184" t="s">
        <v>17</v>
      </c>
      <c r="K156" s="188"/>
    </row>
    <row r="157" spans="6:11" x14ac:dyDescent="0.3">
      <c r="F157" s="250">
        <f>ROW()-ROW(APORTACIONESOCIOS[[#Headers],[SECUENCIA]])</f>
        <v>153</v>
      </c>
      <c r="G157" s="120">
        <v>45122</v>
      </c>
      <c r="H157" s="3">
        <v>10</v>
      </c>
      <c r="I157" s="198">
        <v>10</v>
      </c>
      <c r="J157" s="184" t="s">
        <v>18</v>
      </c>
      <c r="K157" s="188"/>
    </row>
    <row r="158" spans="6:11" x14ac:dyDescent="0.3">
      <c r="F158" s="250">
        <f>ROW()-ROW(APORTACIONESOCIOS[[#Headers],[SECUENCIA]])</f>
        <v>154</v>
      </c>
      <c r="G158" s="120">
        <v>45122</v>
      </c>
      <c r="H158" s="3">
        <v>10</v>
      </c>
      <c r="I158" s="198">
        <v>11</v>
      </c>
      <c r="J158" s="184" t="s">
        <v>19</v>
      </c>
      <c r="K158" s="188"/>
    </row>
    <row r="159" spans="6:11" x14ac:dyDescent="0.3">
      <c r="F159" s="250">
        <f>ROW()-ROW(APORTACIONESOCIOS[[#Headers],[SECUENCIA]])</f>
        <v>155</v>
      </c>
      <c r="G159" s="120">
        <v>45122</v>
      </c>
      <c r="H159" s="3">
        <v>10</v>
      </c>
      <c r="I159" s="198">
        <v>12</v>
      </c>
      <c r="J159" s="184" t="s">
        <v>20</v>
      </c>
      <c r="K159" s="188"/>
    </row>
    <row r="160" spans="6:11" x14ac:dyDescent="0.3">
      <c r="F160" s="250">
        <f>ROW()-ROW(APORTACIONESOCIOS[[#Headers],[SECUENCIA]])</f>
        <v>156</v>
      </c>
      <c r="G160" s="120">
        <v>45122</v>
      </c>
      <c r="H160" s="3">
        <v>10</v>
      </c>
      <c r="I160" s="198">
        <v>14</v>
      </c>
      <c r="J160" s="184" t="s">
        <v>21</v>
      </c>
      <c r="K160" s="188"/>
    </row>
    <row r="161" spans="6:11" x14ac:dyDescent="0.3">
      <c r="F161" s="250">
        <f>ROW()-ROW(APORTACIONESOCIOS[[#Headers],[SECUENCIA]])</f>
        <v>157</v>
      </c>
      <c r="G161" s="120">
        <v>45122</v>
      </c>
      <c r="H161" s="3">
        <v>10</v>
      </c>
      <c r="I161" s="198">
        <v>15</v>
      </c>
      <c r="J161" s="184" t="s">
        <v>22</v>
      </c>
      <c r="K161" s="188"/>
    </row>
    <row r="162" spans="6:11" x14ac:dyDescent="0.3">
      <c r="F162" s="250">
        <f>ROW()-ROW(APORTACIONESOCIOS[[#Headers],[SECUENCIA]])</f>
        <v>158</v>
      </c>
      <c r="G162" s="120">
        <v>45122</v>
      </c>
      <c r="H162" s="3">
        <v>10</v>
      </c>
      <c r="I162" s="198">
        <v>16</v>
      </c>
      <c r="J162" s="184" t="s">
        <v>23</v>
      </c>
      <c r="K162" s="188"/>
    </row>
    <row r="163" spans="6:11" x14ac:dyDescent="0.3">
      <c r="F163" s="250">
        <f>ROW()-ROW(APORTACIONESOCIOS[[#Headers],[SECUENCIA]])</f>
        <v>159</v>
      </c>
      <c r="G163" s="133">
        <v>45153</v>
      </c>
      <c r="H163" s="3">
        <v>10</v>
      </c>
      <c r="I163" s="198">
        <v>3</v>
      </c>
      <c r="J163" s="184" t="s">
        <v>13</v>
      </c>
      <c r="K163" s="188"/>
    </row>
    <row r="164" spans="6:11" x14ac:dyDescent="0.3">
      <c r="F164" s="251">
        <f>ROW()-ROW(APORTACIONESOCIOS[[#Headers],[SECUENCIA]])</f>
        <v>160</v>
      </c>
      <c r="G164" s="120">
        <v>45153</v>
      </c>
      <c r="H164" s="3">
        <v>10</v>
      </c>
      <c r="I164" s="198">
        <v>4</v>
      </c>
      <c r="J164" s="184" t="s">
        <v>12</v>
      </c>
      <c r="K164" s="190"/>
    </row>
    <row r="165" spans="6:11" x14ac:dyDescent="0.3">
      <c r="F165" s="250">
        <f>ROW()-ROW(APORTACIONESOCIOS[[#Headers],[SECUENCIA]])</f>
        <v>161</v>
      </c>
      <c r="G165" s="120">
        <v>45153</v>
      </c>
      <c r="H165" s="3">
        <v>10</v>
      </c>
      <c r="I165" s="198">
        <v>5</v>
      </c>
      <c r="J165" s="184" t="s">
        <v>14</v>
      </c>
      <c r="K165" s="188"/>
    </row>
    <row r="166" spans="6:11" x14ac:dyDescent="0.3">
      <c r="F166" s="250">
        <f>ROW()-ROW(APORTACIONESOCIOS[[#Headers],[SECUENCIA]])</f>
        <v>162</v>
      </c>
      <c r="G166" s="120">
        <v>45153</v>
      </c>
      <c r="H166" s="3">
        <v>10</v>
      </c>
      <c r="I166" s="198">
        <v>6</v>
      </c>
      <c r="J166" s="184" t="s">
        <v>24</v>
      </c>
      <c r="K166" s="188"/>
    </row>
    <row r="167" spans="6:11" x14ac:dyDescent="0.3">
      <c r="F167" s="250">
        <f>ROW()-ROW(APORTACIONESOCIOS[[#Headers],[SECUENCIA]])</f>
        <v>163</v>
      </c>
      <c r="G167" s="120">
        <v>45153</v>
      </c>
      <c r="H167" s="3">
        <v>10</v>
      </c>
      <c r="I167" s="198">
        <v>7</v>
      </c>
      <c r="J167" s="184" t="s">
        <v>15</v>
      </c>
      <c r="K167" s="188"/>
    </row>
    <row r="168" spans="6:11" x14ac:dyDescent="0.3">
      <c r="F168" s="250">
        <f>ROW()-ROW(APORTACIONESOCIOS[[#Headers],[SECUENCIA]])</f>
        <v>164</v>
      </c>
      <c r="G168" s="120">
        <v>45153</v>
      </c>
      <c r="H168" s="3">
        <v>10</v>
      </c>
      <c r="I168" s="198">
        <v>8</v>
      </c>
      <c r="J168" s="184" t="s">
        <v>16</v>
      </c>
      <c r="K168" s="188"/>
    </row>
    <row r="169" spans="6:11" x14ac:dyDescent="0.3">
      <c r="F169" s="250">
        <f>ROW()-ROW(APORTACIONESOCIOS[[#Headers],[SECUENCIA]])</f>
        <v>165</v>
      </c>
      <c r="G169" s="120">
        <v>45153</v>
      </c>
      <c r="H169" s="3">
        <v>10</v>
      </c>
      <c r="I169" s="198">
        <v>9</v>
      </c>
      <c r="J169" s="184" t="s">
        <v>17</v>
      </c>
      <c r="K169" s="188"/>
    </row>
    <row r="170" spans="6:11" x14ac:dyDescent="0.3">
      <c r="F170" s="250">
        <f>ROW()-ROW(APORTACIONESOCIOS[[#Headers],[SECUENCIA]])</f>
        <v>166</v>
      </c>
      <c r="G170" s="120">
        <v>45153</v>
      </c>
      <c r="H170" s="3">
        <v>10</v>
      </c>
      <c r="I170" s="198">
        <v>10</v>
      </c>
      <c r="J170" s="184" t="s">
        <v>18</v>
      </c>
      <c r="K170" s="188"/>
    </row>
    <row r="171" spans="6:11" x14ac:dyDescent="0.3">
      <c r="F171" s="250">
        <f>ROW()-ROW(APORTACIONESOCIOS[[#Headers],[SECUENCIA]])</f>
        <v>167</v>
      </c>
      <c r="G171" s="120">
        <v>45153</v>
      </c>
      <c r="H171" s="3">
        <v>10</v>
      </c>
      <c r="I171" s="198">
        <v>11</v>
      </c>
      <c r="J171" s="184" t="s">
        <v>19</v>
      </c>
      <c r="K171" s="188"/>
    </row>
    <row r="172" spans="6:11" x14ac:dyDescent="0.3">
      <c r="F172" s="250">
        <f>ROW()-ROW(APORTACIONESOCIOS[[#Headers],[SECUENCIA]])</f>
        <v>168</v>
      </c>
      <c r="G172" s="120">
        <v>45153</v>
      </c>
      <c r="H172" s="3">
        <v>10</v>
      </c>
      <c r="I172" s="198">
        <v>12</v>
      </c>
      <c r="J172" s="184" t="s">
        <v>20</v>
      </c>
      <c r="K172" s="188"/>
    </row>
    <row r="173" spans="6:11" x14ac:dyDescent="0.3">
      <c r="F173" s="250">
        <f>ROW()-ROW(APORTACIONESOCIOS[[#Headers],[SECUENCIA]])</f>
        <v>169</v>
      </c>
      <c r="G173" s="120">
        <v>45153</v>
      </c>
      <c r="H173" s="3">
        <v>10</v>
      </c>
      <c r="I173" s="198">
        <v>14</v>
      </c>
      <c r="J173" s="184" t="s">
        <v>21</v>
      </c>
      <c r="K173" s="188"/>
    </row>
    <row r="174" spans="6:11" x14ac:dyDescent="0.3">
      <c r="F174" s="250">
        <f>ROW()-ROW(APORTACIONESOCIOS[[#Headers],[SECUENCIA]])</f>
        <v>170</v>
      </c>
      <c r="G174" s="120">
        <v>45153</v>
      </c>
      <c r="H174" s="3">
        <v>10</v>
      </c>
      <c r="I174" s="198">
        <v>15</v>
      </c>
      <c r="J174" s="184" t="s">
        <v>22</v>
      </c>
      <c r="K174" s="188"/>
    </row>
    <row r="175" spans="6:11" x14ac:dyDescent="0.3">
      <c r="F175" s="250">
        <f>ROW()-ROW(APORTACIONESOCIOS[[#Headers],[SECUENCIA]])</f>
        <v>171</v>
      </c>
      <c r="G175" s="120">
        <v>45153</v>
      </c>
      <c r="H175" s="3">
        <v>10</v>
      </c>
      <c r="I175" s="198">
        <v>16</v>
      </c>
      <c r="J175" s="184" t="s">
        <v>23</v>
      </c>
      <c r="K175" s="188"/>
    </row>
    <row r="176" spans="6:11" x14ac:dyDescent="0.3">
      <c r="F176" s="250">
        <f>ROW()-ROW(APORTACIONESOCIOS[[#Headers],[SECUENCIA]])</f>
        <v>172</v>
      </c>
      <c r="G176" s="133">
        <v>45184</v>
      </c>
      <c r="H176" s="3">
        <v>10</v>
      </c>
      <c r="I176" s="198">
        <v>3</v>
      </c>
      <c r="J176" s="184" t="s">
        <v>13</v>
      </c>
      <c r="K176" s="188"/>
    </row>
    <row r="177" spans="6:11" x14ac:dyDescent="0.3">
      <c r="F177" s="251">
        <f>ROW()-ROW(APORTACIONESOCIOS[[#Headers],[SECUENCIA]])</f>
        <v>173</v>
      </c>
      <c r="G177" s="120">
        <v>45184</v>
      </c>
      <c r="H177" s="3">
        <v>10</v>
      </c>
      <c r="I177" s="198">
        <v>4</v>
      </c>
      <c r="J177" s="184" t="s">
        <v>12</v>
      </c>
      <c r="K177" s="190"/>
    </row>
    <row r="178" spans="6:11" x14ac:dyDescent="0.3">
      <c r="F178" s="250">
        <f>ROW()-ROW(APORTACIONESOCIOS[[#Headers],[SECUENCIA]])</f>
        <v>174</v>
      </c>
      <c r="G178" s="120">
        <v>45184</v>
      </c>
      <c r="H178" s="3">
        <v>10</v>
      </c>
      <c r="I178" s="198">
        <v>5</v>
      </c>
      <c r="J178" s="184" t="s">
        <v>14</v>
      </c>
      <c r="K178" s="188"/>
    </row>
    <row r="179" spans="6:11" x14ac:dyDescent="0.3">
      <c r="F179" s="250">
        <f>ROW()-ROW(APORTACIONESOCIOS[[#Headers],[SECUENCIA]])</f>
        <v>175</v>
      </c>
      <c r="G179" s="120">
        <v>45184</v>
      </c>
      <c r="H179" s="3">
        <v>10</v>
      </c>
      <c r="I179" s="198">
        <v>6</v>
      </c>
      <c r="J179" s="184" t="s">
        <v>24</v>
      </c>
      <c r="K179" s="188"/>
    </row>
    <row r="180" spans="6:11" x14ac:dyDescent="0.3">
      <c r="F180" s="250">
        <f>ROW()-ROW(APORTACIONESOCIOS[[#Headers],[SECUENCIA]])</f>
        <v>176</v>
      </c>
      <c r="G180" s="120">
        <v>45184</v>
      </c>
      <c r="H180" s="3">
        <v>10</v>
      </c>
      <c r="I180" s="198">
        <v>7</v>
      </c>
      <c r="J180" s="184" t="s">
        <v>15</v>
      </c>
      <c r="K180" s="188"/>
    </row>
    <row r="181" spans="6:11" x14ac:dyDescent="0.3">
      <c r="F181" s="250">
        <f>ROW()-ROW(APORTACIONESOCIOS[[#Headers],[SECUENCIA]])</f>
        <v>177</v>
      </c>
      <c r="G181" s="120">
        <v>45184</v>
      </c>
      <c r="H181" s="3">
        <v>10</v>
      </c>
      <c r="I181" s="198">
        <v>8</v>
      </c>
      <c r="J181" s="184" t="s">
        <v>16</v>
      </c>
      <c r="K181" s="188"/>
    </row>
    <row r="182" spans="6:11" x14ac:dyDescent="0.3">
      <c r="F182" s="250">
        <f>ROW()-ROW(APORTACIONESOCIOS[[#Headers],[SECUENCIA]])</f>
        <v>178</v>
      </c>
      <c r="G182" s="120">
        <v>45184</v>
      </c>
      <c r="H182" s="3">
        <v>10</v>
      </c>
      <c r="I182" s="198">
        <v>9</v>
      </c>
      <c r="J182" s="184" t="s">
        <v>17</v>
      </c>
      <c r="K182" s="188"/>
    </row>
    <row r="183" spans="6:11" x14ac:dyDescent="0.3">
      <c r="F183" s="250">
        <f>ROW()-ROW(APORTACIONESOCIOS[[#Headers],[SECUENCIA]])</f>
        <v>179</v>
      </c>
      <c r="G183" s="120">
        <v>45184</v>
      </c>
      <c r="H183" s="3">
        <v>10</v>
      </c>
      <c r="I183" s="198">
        <v>10</v>
      </c>
      <c r="J183" s="184" t="s">
        <v>18</v>
      </c>
      <c r="K183" s="188"/>
    </row>
    <row r="184" spans="6:11" x14ac:dyDescent="0.3">
      <c r="F184" s="250">
        <f>ROW()-ROW(APORTACIONESOCIOS[[#Headers],[SECUENCIA]])</f>
        <v>180</v>
      </c>
      <c r="G184" s="120">
        <v>45184</v>
      </c>
      <c r="H184" s="3">
        <v>10</v>
      </c>
      <c r="I184" s="198">
        <v>11</v>
      </c>
      <c r="J184" s="184" t="s">
        <v>19</v>
      </c>
      <c r="K184" s="188"/>
    </row>
    <row r="185" spans="6:11" x14ac:dyDescent="0.3">
      <c r="F185" s="250">
        <f>ROW()-ROW(APORTACIONESOCIOS[[#Headers],[SECUENCIA]])</f>
        <v>181</v>
      </c>
      <c r="G185" s="120">
        <v>45184</v>
      </c>
      <c r="H185" s="3">
        <v>10</v>
      </c>
      <c r="I185" s="198">
        <v>12</v>
      </c>
      <c r="J185" s="184" t="s">
        <v>20</v>
      </c>
      <c r="K185" s="188"/>
    </row>
    <row r="186" spans="6:11" x14ac:dyDescent="0.3">
      <c r="F186" s="250">
        <f>ROW()-ROW(APORTACIONESOCIOS[[#Headers],[SECUENCIA]])</f>
        <v>182</v>
      </c>
      <c r="G186" s="120">
        <v>45184</v>
      </c>
      <c r="H186" s="3">
        <v>10</v>
      </c>
      <c r="I186" s="198">
        <v>14</v>
      </c>
      <c r="J186" s="184" t="s">
        <v>21</v>
      </c>
      <c r="K186" s="188"/>
    </row>
    <row r="187" spans="6:11" x14ac:dyDescent="0.3">
      <c r="F187" s="250">
        <f>ROW()-ROW(APORTACIONESOCIOS[[#Headers],[SECUENCIA]])</f>
        <v>183</v>
      </c>
      <c r="G187" s="120">
        <v>45184</v>
      </c>
      <c r="H187" s="3">
        <v>10</v>
      </c>
      <c r="I187" s="198">
        <v>15</v>
      </c>
      <c r="J187" s="184" t="s">
        <v>22</v>
      </c>
      <c r="K187" s="188"/>
    </row>
    <row r="188" spans="6:11" x14ac:dyDescent="0.3">
      <c r="F188" s="250">
        <f>ROW()-ROW(APORTACIONESOCIOS[[#Headers],[SECUENCIA]])</f>
        <v>184</v>
      </c>
      <c r="G188" s="120">
        <v>45184</v>
      </c>
      <c r="H188" s="3">
        <v>10</v>
      </c>
      <c r="I188" s="198">
        <v>16</v>
      </c>
      <c r="J188" s="184" t="s">
        <v>23</v>
      </c>
      <c r="K188" s="188"/>
    </row>
    <row r="189" spans="6:11" x14ac:dyDescent="0.3">
      <c r="F189" s="250">
        <f>ROW()-ROW(APORTACIONESOCIOS[[#Headers],[SECUENCIA]])</f>
        <v>185</v>
      </c>
      <c r="G189" s="133">
        <v>45214</v>
      </c>
      <c r="H189" s="3">
        <v>10</v>
      </c>
      <c r="I189" s="198">
        <v>3</v>
      </c>
      <c r="J189" s="184" t="s">
        <v>13</v>
      </c>
      <c r="K189" s="188"/>
    </row>
    <row r="190" spans="6:11" x14ac:dyDescent="0.3">
      <c r="F190" s="251">
        <f>ROW()-ROW(APORTACIONESOCIOS[[#Headers],[SECUENCIA]])</f>
        <v>186</v>
      </c>
      <c r="G190" s="120">
        <v>45214</v>
      </c>
      <c r="H190" s="3">
        <v>10</v>
      </c>
      <c r="I190" s="198">
        <v>4</v>
      </c>
      <c r="J190" s="184" t="s">
        <v>12</v>
      </c>
      <c r="K190" s="190"/>
    </row>
    <row r="191" spans="6:11" x14ac:dyDescent="0.3">
      <c r="F191" s="250">
        <f>ROW()-ROW(APORTACIONESOCIOS[[#Headers],[SECUENCIA]])</f>
        <v>187</v>
      </c>
      <c r="G191" s="120">
        <v>45214</v>
      </c>
      <c r="H191" s="3">
        <v>10</v>
      </c>
      <c r="I191" s="198">
        <v>5</v>
      </c>
      <c r="J191" s="184" t="s">
        <v>14</v>
      </c>
      <c r="K191" s="188"/>
    </row>
    <row r="192" spans="6:11" x14ac:dyDescent="0.3">
      <c r="F192" s="250">
        <f>ROW()-ROW(APORTACIONESOCIOS[[#Headers],[SECUENCIA]])</f>
        <v>188</v>
      </c>
      <c r="G192" s="120">
        <v>45214</v>
      </c>
      <c r="H192" s="3">
        <v>10</v>
      </c>
      <c r="I192" s="198">
        <v>6</v>
      </c>
      <c r="J192" s="184" t="s">
        <v>24</v>
      </c>
      <c r="K192" s="188"/>
    </row>
    <row r="193" spans="6:11" x14ac:dyDescent="0.3">
      <c r="F193" s="250">
        <f>ROW()-ROW(APORTACIONESOCIOS[[#Headers],[SECUENCIA]])</f>
        <v>189</v>
      </c>
      <c r="G193" s="120">
        <v>45214</v>
      </c>
      <c r="H193" s="3">
        <v>10</v>
      </c>
      <c r="I193" s="198">
        <v>7</v>
      </c>
      <c r="J193" s="184" t="s">
        <v>15</v>
      </c>
      <c r="K193" s="188"/>
    </row>
    <row r="194" spans="6:11" x14ac:dyDescent="0.3">
      <c r="F194" s="250">
        <f>ROW()-ROW(APORTACIONESOCIOS[[#Headers],[SECUENCIA]])</f>
        <v>190</v>
      </c>
      <c r="G194" s="120">
        <v>45214</v>
      </c>
      <c r="H194" s="3">
        <v>10</v>
      </c>
      <c r="I194" s="198">
        <v>8</v>
      </c>
      <c r="J194" s="184" t="s">
        <v>16</v>
      </c>
      <c r="K194" s="188"/>
    </row>
    <row r="195" spans="6:11" x14ac:dyDescent="0.3">
      <c r="F195" s="250">
        <f>ROW()-ROW(APORTACIONESOCIOS[[#Headers],[SECUENCIA]])</f>
        <v>191</v>
      </c>
      <c r="G195" s="120">
        <v>45214</v>
      </c>
      <c r="H195" s="3">
        <v>10</v>
      </c>
      <c r="I195" s="198">
        <v>9</v>
      </c>
      <c r="J195" s="184" t="s">
        <v>17</v>
      </c>
      <c r="K195" s="188"/>
    </row>
    <row r="196" spans="6:11" x14ac:dyDescent="0.3">
      <c r="F196" s="250">
        <f>ROW()-ROW(APORTACIONESOCIOS[[#Headers],[SECUENCIA]])</f>
        <v>192</v>
      </c>
      <c r="G196" s="120">
        <v>45214</v>
      </c>
      <c r="H196" s="3">
        <v>10</v>
      </c>
      <c r="I196" s="198">
        <v>10</v>
      </c>
      <c r="J196" s="184" t="s">
        <v>18</v>
      </c>
      <c r="K196" s="188"/>
    </row>
    <row r="197" spans="6:11" x14ac:dyDescent="0.3">
      <c r="F197" s="250">
        <f>ROW()-ROW(APORTACIONESOCIOS[[#Headers],[SECUENCIA]])</f>
        <v>193</v>
      </c>
      <c r="G197" s="120">
        <v>45214</v>
      </c>
      <c r="H197" s="3">
        <v>10</v>
      </c>
      <c r="I197" s="198">
        <v>11</v>
      </c>
      <c r="J197" s="184" t="s">
        <v>19</v>
      </c>
      <c r="K197" s="188"/>
    </row>
    <row r="198" spans="6:11" x14ac:dyDescent="0.3">
      <c r="F198" s="250">
        <f>ROW()-ROW(APORTACIONESOCIOS[[#Headers],[SECUENCIA]])</f>
        <v>194</v>
      </c>
      <c r="G198" s="120">
        <v>45214</v>
      </c>
      <c r="H198" s="3">
        <v>10</v>
      </c>
      <c r="I198" s="198">
        <v>12</v>
      </c>
      <c r="J198" s="184" t="s">
        <v>20</v>
      </c>
      <c r="K198" s="188"/>
    </row>
    <row r="199" spans="6:11" x14ac:dyDescent="0.3">
      <c r="F199" s="250">
        <f>ROW()-ROW(APORTACIONESOCIOS[[#Headers],[SECUENCIA]])</f>
        <v>195</v>
      </c>
      <c r="G199" s="120">
        <v>45214</v>
      </c>
      <c r="H199" s="3">
        <v>10</v>
      </c>
      <c r="I199" s="198">
        <v>14</v>
      </c>
      <c r="J199" s="184" t="s">
        <v>21</v>
      </c>
      <c r="K199" s="188"/>
    </row>
    <row r="200" spans="6:11" x14ac:dyDescent="0.3">
      <c r="F200" s="250">
        <f>ROW()-ROW(APORTACIONESOCIOS[[#Headers],[SECUENCIA]])</f>
        <v>196</v>
      </c>
      <c r="G200" s="120">
        <v>45214</v>
      </c>
      <c r="H200" s="3">
        <v>10</v>
      </c>
      <c r="I200" s="198">
        <v>15</v>
      </c>
      <c r="J200" s="184" t="s">
        <v>22</v>
      </c>
      <c r="K200" s="188"/>
    </row>
    <row r="201" spans="6:11" x14ac:dyDescent="0.3">
      <c r="F201" s="250">
        <f>ROW()-ROW(APORTACIONESOCIOS[[#Headers],[SECUENCIA]])</f>
        <v>197</v>
      </c>
      <c r="G201" s="120">
        <v>45214</v>
      </c>
      <c r="H201" s="3">
        <v>10</v>
      </c>
      <c r="I201" s="198">
        <v>16</v>
      </c>
      <c r="J201" s="184" t="s">
        <v>23</v>
      </c>
      <c r="K201" s="188"/>
    </row>
    <row r="202" spans="6:11" x14ac:dyDescent="0.3">
      <c r="F202" s="250">
        <f>ROW()-ROW(APORTACIONESOCIOS[[#Headers],[SECUENCIA]])</f>
        <v>198</v>
      </c>
      <c r="G202" s="133">
        <v>45245</v>
      </c>
      <c r="H202" s="3">
        <v>10</v>
      </c>
      <c r="I202" s="198">
        <v>3</v>
      </c>
      <c r="J202" s="184" t="s">
        <v>13</v>
      </c>
      <c r="K202" s="188"/>
    </row>
    <row r="203" spans="6:11" x14ac:dyDescent="0.3">
      <c r="F203" s="251">
        <f>ROW()-ROW(APORTACIONESOCIOS[[#Headers],[SECUENCIA]])</f>
        <v>199</v>
      </c>
      <c r="G203" s="120">
        <v>45245</v>
      </c>
      <c r="H203" s="3">
        <v>10</v>
      </c>
      <c r="I203" s="198">
        <v>4</v>
      </c>
      <c r="J203" s="184" t="s">
        <v>12</v>
      </c>
      <c r="K203" s="190"/>
    </row>
    <row r="204" spans="6:11" x14ac:dyDescent="0.3">
      <c r="F204" s="250">
        <f>ROW()-ROW(APORTACIONESOCIOS[[#Headers],[SECUENCIA]])</f>
        <v>200</v>
      </c>
      <c r="G204" s="120">
        <v>45245</v>
      </c>
      <c r="H204" s="3">
        <v>10</v>
      </c>
      <c r="I204" s="198">
        <v>5</v>
      </c>
      <c r="J204" s="184" t="s">
        <v>14</v>
      </c>
      <c r="K204" s="188"/>
    </row>
    <row r="205" spans="6:11" x14ac:dyDescent="0.3">
      <c r="F205" s="250">
        <f>ROW()-ROW(APORTACIONESOCIOS[[#Headers],[SECUENCIA]])</f>
        <v>201</v>
      </c>
      <c r="G205" s="120">
        <v>45245</v>
      </c>
      <c r="H205" s="3">
        <v>10</v>
      </c>
      <c r="I205" s="198">
        <v>6</v>
      </c>
      <c r="J205" s="184" t="s">
        <v>24</v>
      </c>
      <c r="K205" s="188"/>
    </row>
    <row r="206" spans="6:11" x14ac:dyDescent="0.3">
      <c r="F206" s="250">
        <f>ROW()-ROW(APORTACIONESOCIOS[[#Headers],[SECUENCIA]])</f>
        <v>202</v>
      </c>
      <c r="G206" s="120">
        <v>45245</v>
      </c>
      <c r="H206" s="3">
        <v>10</v>
      </c>
      <c r="I206" s="198">
        <v>7</v>
      </c>
      <c r="J206" s="184" t="s">
        <v>15</v>
      </c>
      <c r="K206" s="188"/>
    </row>
    <row r="207" spans="6:11" x14ac:dyDescent="0.3">
      <c r="F207" s="250">
        <f>ROW()-ROW(APORTACIONESOCIOS[[#Headers],[SECUENCIA]])</f>
        <v>203</v>
      </c>
      <c r="G207" s="120">
        <v>45245</v>
      </c>
      <c r="H207" s="3">
        <v>10</v>
      </c>
      <c r="I207" s="198">
        <v>8</v>
      </c>
      <c r="J207" s="184" t="s">
        <v>16</v>
      </c>
      <c r="K207" s="188"/>
    </row>
    <row r="208" spans="6:11" x14ac:dyDescent="0.3">
      <c r="F208" s="250">
        <f>ROW()-ROW(APORTACIONESOCIOS[[#Headers],[SECUENCIA]])</f>
        <v>204</v>
      </c>
      <c r="G208" s="120">
        <v>45245</v>
      </c>
      <c r="H208" s="3">
        <v>10</v>
      </c>
      <c r="I208" s="198">
        <v>9</v>
      </c>
      <c r="J208" s="184" t="s">
        <v>17</v>
      </c>
      <c r="K208" s="188"/>
    </row>
    <row r="209" spans="6:11" x14ac:dyDescent="0.3">
      <c r="F209" s="250">
        <f>ROW()-ROW(APORTACIONESOCIOS[[#Headers],[SECUENCIA]])</f>
        <v>205</v>
      </c>
      <c r="G209" s="120">
        <v>45245</v>
      </c>
      <c r="H209" s="3">
        <v>10</v>
      </c>
      <c r="I209" s="198">
        <v>10</v>
      </c>
      <c r="J209" s="184" t="s">
        <v>18</v>
      </c>
      <c r="K209" s="188"/>
    </row>
    <row r="210" spans="6:11" x14ac:dyDescent="0.3">
      <c r="F210" s="250">
        <f>ROW()-ROW(APORTACIONESOCIOS[[#Headers],[SECUENCIA]])</f>
        <v>206</v>
      </c>
      <c r="G210" s="120">
        <v>45245</v>
      </c>
      <c r="H210" s="3">
        <v>10</v>
      </c>
      <c r="I210" s="198">
        <v>11</v>
      </c>
      <c r="J210" s="184" t="s">
        <v>19</v>
      </c>
      <c r="K210" s="188"/>
    </row>
    <row r="211" spans="6:11" x14ac:dyDescent="0.3">
      <c r="F211" s="250">
        <f>ROW()-ROW(APORTACIONESOCIOS[[#Headers],[SECUENCIA]])</f>
        <v>207</v>
      </c>
      <c r="G211" s="120">
        <v>45245</v>
      </c>
      <c r="H211" s="3">
        <v>10</v>
      </c>
      <c r="I211" s="198">
        <v>12</v>
      </c>
      <c r="J211" s="184" t="s">
        <v>20</v>
      </c>
      <c r="K211" s="188"/>
    </row>
    <row r="212" spans="6:11" x14ac:dyDescent="0.3">
      <c r="F212" s="250">
        <f>ROW()-ROW(APORTACIONESOCIOS[[#Headers],[SECUENCIA]])</f>
        <v>208</v>
      </c>
      <c r="G212" s="120">
        <v>45245</v>
      </c>
      <c r="H212" s="3">
        <v>10</v>
      </c>
      <c r="I212" s="198">
        <v>14</v>
      </c>
      <c r="J212" s="184" t="s">
        <v>21</v>
      </c>
      <c r="K212" s="188"/>
    </row>
    <row r="213" spans="6:11" x14ac:dyDescent="0.3">
      <c r="F213" s="250">
        <f>ROW()-ROW(APORTACIONESOCIOS[[#Headers],[SECUENCIA]])</f>
        <v>209</v>
      </c>
      <c r="G213" s="120">
        <v>45245</v>
      </c>
      <c r="H213" s="3">
        <v>10</v>
      </c>
      <c r="I213" s="198">
        <v>15</v>
      </c>
      <c r="J213" s="184" t="s">
        <v>22</v>
      </c>
      <c r="K213" s="188"/>
    </row>
    <row r="214" spans="6:11" x14ac:dyDescent="0.3">
      <c r="F214" s="250">
        <f>ROW()-ROW(APORTACIONESOCIOS[[#Headers],[SECUENCIA]])</f>
        <v>210</v>
      </c>
      <c r="G214" s="120">
        <v>45245</v>
      </c>
      <c r="H214" s="3">
        <v>10</v>
      </c>
      <c r="I214" s="198">
        <v>16</v>
      </c>
      <c r="J214" s="184" t="s">
        <v>23</v>
      </c>
      <c r="K214" s="188"/>
    </row>
    <row r="215" spans="6:11" x14ac:dyDescent="0.3">
      <c r="F215" s="250">
        <f>ROW()-ROW(APORTACIONESOCIOS[[#Headers],[SECUENCIA]])</f>
        <v>211</v>
      </c>
      <c r="G215" s="133">
        <v>45275</v>
      </c>
      <c r="H215" s="3">
        <v>10</v>
      </c>
      <c r="I215" s="198">
        <v>3</v>
      </c>
      <c r="J215" s="184" t="s">
        <v>13</v>
      </c>
      <c r="K215" s="188"/>
    </row>
    <row r="216" spans="6:11" x14ac:dyDescent="0.3">
      <c r="F216" s="251">
        <f>ROW()-ROW(APORTACIONESOCIOS[[#Headers],[SECUENCIA]])</f>
        <v>212</v>
      </c>
      <c r="G216" s="120">
        <v>45275</v>
      </c>
      <c r="H216" s="3">
        <v>10</v>
      </c>
      <c r="I216" s="198">
        <v>4</v>
      </c>
      <c r="J216" s="184" t="s">
        <v>12</v>
      </c>
      <c r="K216" s="190"/>
    </row>
    <row r="217" spans="6:11" x14ac:dyDescent="0.3">
      <c r="F217" s="250">
        <f>ROW()-ROW(APORTACIONESOCIOS[[#Headers],[SECUENCIA]])</f>
        <v>213</v>
      </c>
      <c r="G217" s="120">
        <v>45275</v>
      </c>
      <c r="H217" s="3">
        <v>10</v>
      </c>
      <c r="I217" s="198">
        <v>5</v>
      </c>
      <c r="J217" s="184" t="s">
        <v>14</v>
      </c>
      <c r="K217" s="188"/>
    </row>
    <row r="218" spans="6:11" x14ac:dyDescent="0.3">
      <c r="F218" s="250">
        <f>ROW()-ROW(APORTACIONESOCIOS[[#Headers],[SECUENCIA]])</f>
        <v>214</v>
      </c>
      <c r="G218" s="120">
        <v>45275</v>
      </c>
      <c r="H218" s="3">
        <v>10</v>
      </c>
      <c r="I218" s="198">
        <v>6</v>
      </c>
      <c r="J218" s="184" t="s">
        <v>24</v>
      </c>
      <c r="K218" s="188"/>
    </row>
    <row r="219" spans="6:11" x14ac:dyDescent="0.3">
      <c r="F219" s="250">
        <f>ROW()-ROW(APORTACIONESOCIOS[[#Headers],[SECUENCIA]])</f>
        <v>215</v>
      </c>
      <c r="G219" s="120">
        <v>45275</v>
      </c>
      <c r="H219" s="3">
        <v>10</v>
      </c>
      <c r="I219" s="198">
        <v>7</v>
      </c>
      <c r="J219" s="184" t="s">
        <v>15</v>
      </c>
      <c r="K219" s="188"/>
    </row>
    <row r="220" spans="6:11" x14ac:dyDescent="0.3">
      <c r="F220" s="250">
        <f>ROW()-ROW(APORTACIONESOCIOS[[#Headers],[SECUENCIA]])</f>
        <v>216</v>
      </c>
      <c r="G220" s="120">
        <v>45275</v>
      </c>
      <c r="H220" s="3">
        <v>10</v>
      </c>
      <c r="I220" s="198">
        <v>8</v>
      </c>
      <c r="J220" s="184" t="s">
        <v>16</v>
      </c>
      <c r="K220" s="188"/>
    </row>
    <row r="221" spans="6:11" x14ac:dyDescent="0.3">
      <c r="F221" s="250">
        <f>ROW()-ROW(APORTACIONESOCIOS[[#Headers],[SECUENCIA]])</f>
        <v>217</v>
      </c>
      <c r="G221" s="120">
        <v>45275</v>
      </c>
      <c r="H221" s="3">
        <v>10</v>
      </c>
      <c r="I221" s="198">
        <v>9</v>
      </c>
      <c r="J221" s="184" t="s">
        <v>17</v>
      </c>
      <c r="K221" s="188"/>
    </row>
    <row r="222" spans="6:11" x14ac:dyDescent="0.3">
      <c r="F222" s="250">
        <f>ROW()-ROW(APORTACIONESOCIOS[[#Headers],[SECUENCIA]])</f>
        <v>218</v>
      </c>
      <c r="G222" s="120">
        <v>45275</v>
      </c>
      <c r="H222" s="3">
        <v>10</v>
      </c>
      <c r="I222" s="198">
        <v>10</v>
      </c>
      <c r="J222" s="184" t="s">
        <v>18</v>
      </c>
      <c r="K222" s="188"/>
    </row>
    <row r="223" spans="6:11" x14ac:dyDescent="0.3">
      <c r="F223" s="250">
        <f>ROW()-ROW(APORTACIONESOCIOS[[#Headers],[SECUENCIA]])</f>
        <v>219</v>
      </c>
      <c r="G223" s="120">
        <v>45275</v>
      </c>
      <c r="H223" s="3">
        <v>10</v>
      </c>
      <c r="I223" s="198">
        <v>11</v>
      </c>
      <c r="J223" s="184" t="s">
        <v>19</v>
      </c>
      <c r="K223" s="188"/>
    </row>
    <row r="224" spans="6:11" x14ac:dyDescent="0.3">
      <c r="F224" s="250">
        <f>ROW()-ROW(APORTACIONESOCIOS[[#Headers],[SECUENCIA]])</f>
        <v>220</v>
      </c>
      <c r="G224" s="120">
        <v>45275</v>
      </c>
      <c r="H224" s="3">
        <v>10</v>
      </c>
      <c r="I224" s="198">
        <v>12</v>
      </c>
      <c r="J224" s="184" t="s">
        <v>20</v>
      </c>
      <c r="K224" s="188"/>
    </row>
    <row r="225" spans="6:11" x14ac:dyDescent="0.3">
      <c r="F225" s="250">
        <f>ROW()-ROW(APORTACIONESOCIOS[[#Headers],[SECUENCIA]])</f>
        <v>221</v>
      </c>
      <c r="G225" s="120">
        <v>45275</v>
      </c>
      <c r="H225" s="3">
        <v>10</v>
      </c>
      <c r="I225" s="198">
        <v>14</v>
      </c>
      <c r="J225" s="184" t="s">
        <v>21</v>
      </c>
      <c r="K225" s="188"/>
    </row>
    <row r="226" spans="6:11" x14ac:dyDescent="0.3">
      <c r="F226" s="250">
        <f>ROW()-ROW(APORTACIONESOCIOS[[#Headers],[SECUENCIA]])</f>
        <v>222</v>
      </c>
      <c r="G226" s="120">
        <v>45275</v>
      </c>
      <c r="H226" s="3">
        <v>10</v>
      </c>
      <c r="I226" s="198">
        <v>15</v>
      </c>
      <c r="J226" s="184" t="s">
        <v>22</v>
      </c>
      <c r="K226" s="188"/>
    </row>
    <row r="227" spans="6:11" x14ac:dyDescent="0.3">
      <c r="F227" s="250">
        <f>ROW()-ROW(APORTACIONESOCIOS[[#Headers],[SECUENCIA]])</f>
        <v>223</v>
      </c>
      <c r="G227" s="120">
        <v>45275</v>
      </c>
      <c r="H227" s="3">
        <v>10</v>
      </c>
      <c r="I227" s="198">
        <v>16</v>
      </c>
      <c r="J227" s="184" t="s">
        <v>23</v>
      </c>
      <c r="K227" s="188"/>
    </row>
    <row r="228" spans="6:11" x14ac:dyDescent="0.3">
      <c r="F228" s="250">
        <f>ROW()-ROW(APORTACIONESOCIOS[[#Headers],[SECUENCIA]])</f>
        <v>224</v>
      </c>
      <c r="G228" s="120">
        <v>45306</v>
      </c>
      <c r="H228" s="3">
        <v>10</v>
      </c>
      <c r="I228" s="198">
        <v>3</v>
      </c>
      <c r="J228" s="184" t="s">
        <v>13</v>
      </c>
      <c r="K228" s="188"/>
    </row>
    <row r="229" spans="6:11" x14ac:dyDescent="0.3">
      <c r="F229" s="250">
        <f>ROW()-ROW(APORTACIONESOCIOS[[#Headers],[SECUENCIA]])</f>
        <v>225</v>
      </c>
      <c r="G229" s="120">
        <v>45306</v>
      </c>
      <c r="H229" s="3">
        <v>10</v>
      </c>
      <c r="I229" s="198">
        <v>4</v>
      </c>
      <c r="J229" s="184" t="s">
        <v>12</v>
      </c>
      <c r="K229" s="188"/>
    </row>
    <row r="230" spans="6:11" x14ac:dyDescent="0.3">
      <c r="F230" s="250">
        <f>ROW()-ROW(APORTACIONESOCIOS[[#Headers],[SECUENCIA]])</f>
        <v>226</v>
      </c>
      <c r="G230" s="120">
        <v>45306</v>
      </c>
      <c r="H230" s="3">
        <v>10</v>
      </c>
      <c r="I230" s="198">
        <v>5</v>
      </c>
      <c r="J230" s="184" t="s">
        <v>14</v>
      </c>
      <c r="K230" s="188"/>
    </row>
    <row r="231" spans="6:11" x14ac:dyDescent="0.3">
      <c r="F231" s="250">
        <f>ROW()-ROW(APORTACIONESOCIOS[[#Headers],[SECUENCIA]])</f>
        <v>227</v>
      </c>
      <c r="G231" s="120">
        <v>45306</v>
      </c>
      <c r="H231" s="3">
        <v>10</v>
      </c>
      <c r="I231" s="198">
        <v>6</v>
      </c>
      <c r="J231" s="184" t="s">
        <v>24</v>
      </c>
      <c r="K231" s="188"/>
    </row>
    <row r="232" spans="6:11" x14ac:dyDescent="0.3">
      <c r="F232" s="250">
        <f>ROW()-ROW(APORTACIONESOCIOS[[#Headers],[SECUENCIA]])</f>
        <v>228</v>
      </c>
      <c r="G232" s="120">
        <v>45306</v>
      </c>
      <c r="H232" s="3">
        <v>10</v>
      </c>
      <c r="I232" s="198">
        <v>7</v>
      </c>
      <c r="J232" s="184" t="s">
        <v>15</v>
      </c>
      <c r="K232" s="188"/>
    </row>
    <row r="233" spans="6:11" x14ac:dyDescent="0.3">
      <c r="F233" s="250">
        <f>ROW()-ROW(APORTACIONESOCIOS[[#Headers],[SECUENCIA]])</f>
        <v>229</v>
      </c>
      <c r="G233" s="120">
        <v>45306</v>
      </c>
      <c r="H233" s="3">
        <v>10</v>
      </c>
      <c r="I233" s="198">
        <v>8</v>
      </c>
      <c r="J233" s="184" t="s">
        <v>16</v>
      </c>
      <c r="K233" s="188"/>
    </row>
    <row r="234" spans="6:11" x14ac:dyDescent="0.3">
      <c r="F234" s="250">
        <f>ROW()-ROW(APORTACIONESOCIOS[[#Headers],[SECUENCIA]])</f>
        <v>230</v>
      </c>
      <c r="G234" s="120">
        <v>45306</v>
      </c>
      <c r="H234" s="3">
        <v>10</v>
      </c>
      <c r="I234" s="198">
        <v>9</v>
      </c>
      <c r="J234" s="184" t="s">
        <v>17</v>
      </c>
      <c r="K234" s="188"/>
    </row>
    <row r="235" spans="6:11" x14ac:dyDescent="0.3">
      <c r="F235" s="250">
        <f>ROW()-ROW(APORTACIONESOCIOS[[#Headers],[SECUENCIA]])</f>
        <v>231</v>
      </c>
      <c r="G235" s="120">
        <v>45306</v>
      </c>
      <c r="H235" s="3">
        <v>10</v>
      </c>
      <c r="I235" s="198">
        <v>10</v>
      </c>
      <c r="J235" s="184" t="s">
        <v>18</v>
      </c>
      <c r="K235" s="188"/>
    </row>
    <row r="236" spans="6:11" x14ac:dyDescent="0.3">
      <c r="F236" s="250">
        <f>ROW()-ROW(APORTACIONESOCIOS[[#Headers],[SECUENCIA]])</f>
        <v>232</v>
      </c>
      <c r="G236" s="120">
        <v>45306</v>
      </c>
      <c r="H236" s="3">
        <v>10</v>
      </c>
      <c r="I236" s="198">
        <v>11</v>
      </c>
      <c r="J236" s="184" t="s">
        <v>19</v>
      </c>
      <c r="K236" s="188"/>
    </row>
    <row r="237" spans="6:11" x14ac:dyDescent="0.3">
      <c r="F237" s="250">
        <f>ROW()-ROW(APORTACIONESOCIOS[[#Headers],[SECUENCIA]])</f>
        <v>233</v>
      </c>
      <c r="G237" s="120">
        <v>45306</v>
      </c>
      <c r="H237" s="3">
        <v>10</v>
      </c>
      <c r="I237" s="198">
        <v>12</v>
      </c>
      <c r="J237" s="184" t="s">
        <v>20</v>
      </c>
      <c r="K237" s="188"/>
    </row>
    <row r="238" spans="6:11" x14ac:dyDescent="0.3">
      <c r="F238" s="250">
        <f>ROW()-ROW(APORTACIONESOCIOS[[#Headers],[SECUENCIA]])</f>
        <v>234</v>
      </c>
      <c r="G238" s="120">
        <v>45306</v>
      </c>
      <c r="H238" s="3">
        <v>10</v>
      </c>
      <c r="I238" s="198">
        <v>14</v>
      </c>
      <c r="J238" s="184" t="s">
        <v>21</v>
      </c>
      <c r="K238" s="188"/>
    </row>
    <row r="239" spans="6:11" x14ac:dyDescent="0.3">
      <c r="F239" s="250">
        <f>ROW()-ROW(APORTACIONESOCIOS[[#Headers],[SECUENCIA]])</f>
        <v>235</v>
      </c>
      <c r="G239" s="120">
        <v>45306</v>
      </c>
      <c r="H239" s="3">
        <v>10</v>
      </c>
      <c r="I239" s="198">
        <v>15</v>
      </c>
      <c r="J239" s="184" t="s">
        <v>22</v>
      </c>
      <c r="K239" s="188"/>
    </row>
    <row r="240" spans="6:11" x14ac:dyDescent="0.3">
      <c r="F240" s="250">
        <f>ROW()-ROW(APORTACIONESOCIOS[[#Headers],[SECUENCIA]])</f>
        <v>236</v>
      </c>
      <c r="G240" s="120">
        <v>45306</v>
      </c>
      <c r="H240" s="3">
        <v>10</v>
      </c>
      <c r="I240" s="198">
        <v>16</v>
      </c>
      <c r="J240" s="184" t="s">
        <v>23</v>
      </c>
      <c r="K240" s="188"/>
    </row>
    <row r="241" spans="6:11" x14ac:dyDescent="0.3">
      <c r="F241" s="250">
        <f>ROW()-ROW(APORTACIONESOCIOS[[#Headers],[SECUENCIA]])</f>
        <v>237</v>
      </c>
      <c r="G241" s="120">
        <v>45337</v>
      </c>
      <c r="H241" s="3">
        <v>10</v>
      </c>
      <c r="I241" s="198">
        <v>3</v>
      </c>
      <c r="J241" s="184" t="s">
        <v>13</v>
      </c>
      <c r="K241" s="188"/>
    </row>
    <row r="242" spans="6:11" x14ac:dyDescent="0.3">
      <c r="F242" s="250">
        <f>ROW()-ROW(APORTACIONESOCIOS[[#Headers],[SECUENCIA]])</f>
        <v>238</v>
      </c>
      <c r="G242" s="120">
        <v>45337</v>
      </c>
      <c r="H242" s="3">
        <v>10</v>
      </c>
      <c r="I242" s="198">
        <v>4</v>
      </c>
      <c r="J242" s="184" t="s">
        <v>12</v>
      </c>
      <c r="K242" s="188"/>
    </row>
    <row r="243" spans="6:11" x14ac:dyDescent="0.3">
      <c r="F243" s="250">
        <f>ROW()-ROW(APORTACIONESOCIOS[[#Headers],[SECUENCIA]])</f>
        <v>239</v>
      </c>
      <c r="G243" s="120">
        <v>45337</v>
      </c>
      <c r="H243" s="3">
        <v>10</v>
      </c>
      <c r="I243" s="198">
        <v>5</v>
      </c>
      <c r="J243" s="184" t="s">
        <v>14</v>
      </c>
      <c r="K243" s="188"/>
    </row>
    <row r="244" spans="6:11" x14ac:dyDescent="0.3">
      <c r="F244" s="250">
        <f>ROW()-ROW(APORTACIONESOCIOS[[#Headers],[SECUENCIA]])</f>
        <v>240</v>
      </c>
      <c r="G244" s="120">
        <v>45337</v>
      </c>
      <c r="H244" s="3">
        <v>10</v>
      </c>
      <c r="I244" s="198">
        <v>6</v>
      </c>
      <c r="J244" s="184" t="s">
        <v>24</v>
      </c>
      <c r="K244" s="188"/>
    </row>
    <row r="245" spans="6:11" x14ac:dyDescent="0.3">
      <c r="F245" s="250">
        <f>ROW()-ROW(APORTACIONESOCIOS[[#Headers],[SECUENCIA]])</f>
        <v>241</v>
      </c>
      <c r="G245" s="120">
        <v>45337</v>
      </c>
      <c r="H245" s="3">
        <v>10</v>
      </c>
      <c r="I245" s="198">
        <v>7</v>
      </c>
      <c r="J245" s="184" t="s">
        <v>15</v>
      </c>
      <c r="K245" s="188"/>
    </row>
    <row r="246" spans="6:11" x14ac:dyDescent="0.3">
      <c r="F246" s="250">
        <f>ROW()-ROW(APORTACIONESOCIOS[[#Headers],[SECUENCIA]])</f>
        <v>242</v>
      </c>
      <c r="G246" s="120">
        <v>45337</v>
      </c>
      <c r="H246" s="3">
        <v>10</v>
      </c>
      <c r="I246" s="198">
        <v>8</v>
      </c>
      <c r="J246" s="184" t="s">
        <v>16</v>
      </c>
      <c r="K246" s="188"/>
    </row>
    <row r="247" spans="6:11" x14ac:dyDescent="0.3">
      <c r="F247" s="250">
        <f>ROW()-ROW(APORTACIONESOCIOS[[#Headers],[SECUENCIA]])</f>
        <v>243</v>
      </c>
      <c r="G247" s="120">
        <v>45337</v>
      </c>
      <c r="H247" s="3">
        <v>10</v>
      </c>
      <c r="I247" s="198">
        <v>9</v>
      </c>
      <c r="J247" s="184" t="s">
        <v>17</v>
      </c>
      <c r="K247" s="188"/>
    </row>
    <row r="248" spans="6:11" x14ac:dyDescent="0.3">
      <c r="F248" s="250">
        <f>ROW()-ROW(APORTACIONESOCIOS[[#Headers],[SECUENCIA]])</f>
        <v>244</v>
      </c>
      <c r="G248" s="120">
        <v>45337</v>
      </c>
      <c r="H248" s="3">
        <v>10</v>
      </c>
      <c r="I248" s="198">
        <v>10</v>
      </c>
      <c r="J248" s="184" t="s">
        <v>18</v>
      </c>
      <c r="K248" s="188"/>
    </row>
    <row r="249" spans="6:11" x14ac:dyDescent="0.3">
      <c r="F249" s="250">
        <f>ROW()-ROW(APORTACIONESOCIOS[[#Headers],[SECUENCIA]])</f>
        <v>245</v>
      </c>
      <c r="G249" s="120">
        <v>45337</v>
      </c>
      <c r="H249" s="3">
        <v>10</v>
      </c>
      <c r="I249" s="198">
        <v>11</v>
      </c>
      <c r="J249" s="184" t="s">
        <v>19</v>
      </c>
      <c r="K249" s="188"/>
    </row>
    <row r="250" spans="6:11" x14ac:dyDescent="0.3">
      <c r="F250" s="250">
        <f>ROW()-ROW(APORTACIONESOCIOS[[#Headers],[SECUENCIA]])</f>
        <v>246</v>
      </c>
      <c r="G250" s="120">
        <v>45337</v>
      </c>
      <c r="H250" s="3">
        <v>10</v>
      </c>
      <c r="I250" s="198">
        <v>12</v>
      </c>
      <c r="J250" s="184" t="s">
        <v>20</v>
      </c>
      <c r="K250" s="188"/>
    </row>
    <row r="251" spans="6:11" x14ac:dyDescent="0.3">
      <c r="F251" s="250">
        <f>ROW()-ROW(APORTACIONESOCIOS[[#Headers],[SECUENCIA]])</f>
        <v>247</v>
      </c>
      <c r="G251" s="120">
        <v>45337</v>
      </c>
      <c r="H251" s="3">
        <v>10</v>
      </c>
      <c r="I251" s="198">
        <v>14</v>
      </c>
      <c r="J251" s="184" t="s">
        <v>21</v>
      </c>
      <c r="K251" s="188"/>
    </row>
    <row r="252" spans="6:11" x14ac:dyDescent="0.3">
      <c r="F252" s="250">
        <f>ROW()-ROW(APORTACIONESOCIOS[[#Headers],[SECUENCIA]])</f>
        <v>248</v>
      </c>
      <c r="G252" s="120">
        <v>45337</v>
      </c>
      <c r="H252" s="3">
        <v>10</v>
      </c>
      <c r="I252" s="198">
        <v>15</v>
      </c>
      <c r="J252" s="184" t="s">
        <v>22</v>
      </c>
      <c r="K252" s="188"/>
    </row>
    <row r="253" spans="6:11" x14ac:dyDescent="0.3">
      <c r="F253" s="250">
        <f>ROW()-ROW(APORTACIONESOCIOS[[#Headers],[SECUENCIA]])</f>
        <v>249</v>
      </c>
      <c r="G253" s="120">
        <v>45337</v>
      </c>
      <c r="H253" s="3">
        <v>10</v>
      </c>
      <c r="I253" s="198">
        <v>16</v>
      </c>
      <c r="J253" s="184" t="s">
        <v>23</v>
      </c>
      <c r="K253" s="188"/>
    </row>
    <row r="254" spans="6:11" x14ac:dyDescent="0.3">
      <c r="F254" s="250">
        <f>ROW()-ROW(APORTACIONESOCIOS[[#Headers],[SECUENCIA]])</f>
        <v>250</v>
      </c>
      <c r="G254" s="133">
        <v>45366</v>
      </c>
      <c r="H254" s="3">
        <v>10</v>
      </c>
      <c r="I254" s="198">
        <v>3</v>
      </c>
      <c r="J254" s="184" t="s">
        <v>13</v>
      </c>
      <c r="K254" s="188"/>
    </row>
    <row r="255" spans="6:11" x14ac:dyDescent="0.3">
      <c r="F255" s="250">
        <f>ROW()-ROW(APORTACIONESOCIOS[[#Headers],[SECUENCIA]])</f>
        <v>251</v>
      </c>
      <c r="G255" s="120">
        <v>45366</v>
      </c>
      <c r="H255" s="3">
        <v>10</v>
      </c>
      <c r="I255" s="198">
        <v>4</v>
      </c>
      <c r="J255" s="184" t="s">
        <v>12</v>
      </c>
      <c r="K255" s="188"/>
    </row>
    <row r="256" spans="6:11" x14ac:dyDescent="0.3">
      <c r="F256" s="250">
        <f>ROW()-ROW(APORTACIONESOCIOS[[#Headers],[SECUENCIA]])</f>
        <v>252</v>
      </c>
      <c r="G256" s="120">
        <v>45366</v>
      </c>
      <c r="H256" s="3">
        <v>10</v>
      </c>
      <c r="I256" s="198">
        <v>5</v>
      </c>
      <c r="J256" s="184" t="s">
        <v>14</v>
      </c>
      <c r="K256" s="188"/>
    </row>
    <row r="257" spans="6:11" x14ac:dyDescent="0.3">
      <c r="F257" s="250">
        <f>ROW()-ROW(APORTACIONESOCIOS[[#Headers],[SECUENCIA]])</f>
        <v>253</v>
      </c>
      <c r="G257" s="120">
        <v>45366</v>
      </c>
      <c r="H257" s="3">
        <v>10</v>
      </c>
      <c r="I257" s="198">
        <v>6</v>
      </c>
      <c r="J257" s="184" t="s">
        <v>24</v>
      </c>
      <c r="K257" s="188"/>
    </row>
    <row r="258" spans="6:11" x14ac:dyDescent="0.3">
      <c r="F258" s="250">
        <f>ROW()-ROW(APORTACIONESOCIOS[[#Headers],[SECUENCIA]])</f>
        <v>254</v>
      </c>
      <c r="G258" s="120">
        <v>45366</v>
      </c>
      <c r="H258" s="3">
        <v>10</v>
      </c>
      <c r="I258" s="198">
        <v>7</v>
      </c>
      <c r="J258" s="184" t="s">
        <v>15</v>
      </c>
      <c r="K258" s="188"/>
    </row>
    <row r="259" spans="6:11" x14ac:dyDescent="0.3">
      <c r="F259" s="250">
        <f>ROW()-ROW(APORTACIONESOCIOS[[#Headers],[SECUENCIA]])</f>
        <v>255</v>
      </c>
      <c r="G259" s="120">
        <v>45366</v>
      </c>
      <c r="H259" s="3">
        <v>10</v>
      </c>
      <c r="I259" s="198">
        <v>8</v>
      </c>
      <c r="J259" s="184" t="s">
        <v>16</v>
      </c>
      <c r="K259" s="188"/>
    </row>
    <row r="260" spans="6:11" x14ac:dyDescent="0.3">
      <c r="F260" s="250">
        <f>ROW()-ROW(APORTACIONESOCIOS[[#Headers],[SECUENCIA]])</f>
        <v>256</v>
      </c>
      <c r="G260" s="120">
        <v>45366</v>
      </c>
      <c r="H260" s="3">
        <v>10</v>
      </c>
      <c r="I260" s="198">
        <v>9</v>
      </c>
      <c r="J260" s="184" t="s">
        <v>17</v>
      </c>
      <c r="K260" s="188"/>
    </row>
    <row r="261" spans="6:11" x14ac:dyDescent="0.3">
      <c r="F261" s="250">
        <f>ROW()-ROW(APORTACIONESOCIOS[[#Headers],[SECUENCIA]])</f>
        <v>257</v>
      </c>
      <c r="G261" s="120">
        <v>45366</v>
      </c>
      <c r="H261" s="3">
        <v>10</v>
      </c>
      <c r="I261" s="198">
        <v>10</v>
      </c>
      <c r="J261" s="184" t="s">
        <v>18</v>
      </c>
      <c r="K261" s="188"/>
    </row>
    <row r="262" spans="6:11" x14ac:dyDescent="0.3">
      <c r="F262" s="250">
        <f>ROW()-ROW(APORTACIONESOCIOS[[#Headers],[SECUENCIA]])</f>
        <v>258</v>
      </c>
      <c r="G262" s="120">
        <v>45366</v>
      </c>
      <c r="H262" s="3">
        <v>10</v>
      </c>
      <c r="I262" s="198">
        <v>11</v>
      </c>
      <c r="J262" s="184" t="s">
        <v>19</v>
      </c>
      <c r="K262" s="188"/>
    </row>
    <row r="263" spans="6:11" x14ac:dyDescent="0.3">
      <c r="F263" s="250">
        <f>ROW()-ROW(APORTACIONESOCIOS[[#Headers],[SECUENCIA]])</f>
        <v>259</v>
      </c>
      <c r="G263" s="120">
        <v>45366</v>
      </c>
      <c r="H263" s="3">
        <v>10</v>
      </c>
      <c r="I263" s="198">
        <v>12</v>
      </c>
      <c r="J263" s="184" t="s">
        <v>20</v>
      </c>
      <c r="K263" s="188"/>
    </row>
    <row r="264" spans="6:11" x14ac:dyDescent="0.3">
      <c r="F264" s="250">
        <f>ROW()-ROW(APORTACIONESOCIOS[[#Headers],[SECUENCIA]])</f>
        <v>260</v>
      </c>
      <c r="G264" s="120">
        <v>45366</v>
      </c>
      <c r="H264" s="3">
        <v>10</v>
      </c>
      <c r="I264" s="198">
        <v>14</v>
      </c>
      <c r="J264" s="184" t="s">
        <v>21</v>
      </c>
      <c r="K264" s="188"/>
    </row>
    <row r="265" spans="6:11" x14ac:dyDescent="0.3">
      <c r="F265" s="250">
        <f>ROW()-ROW(APORTACIONESOCIOS[[#Headers],[SECUENCIA]])</f>
        <v>261</v>
      </c>
      <c r="G265" s="120">
        <v>45366</v>
      </c>
      <c r="H265" s="3">
        <v>10</v>
      </c>
      <c r="I265" s="198">
        <v>15</v>
      </c>
      <c r="J265" s="184" t="s">
        <v>22</v>
      </c>
      <c r="K265" s="188"/>
    </row>
    <row r="266" spans="6:11" x14ac:dyDescent="0.3">
      <c r="F266" s="250">
        <f>ROW()-ROW(APORTACIONESOCIOS[[#Headers],[SECUENCIA]])</f>
        <v>262</v>
      </c>
      <c r="G266" s="120">
        <v>45366</v>
      </c>
      <c r="H266" s="3">
        <v>10</v>
      </c>
      <c r="I266" s="198">
        <v>16</v>
      </c>
      <c r="J266" s="184" t="s">
        <v>23</v>
      </c>
      <c r="K266" s="188"/>
    </row>
    <row r="267" spans="6:11" x14ac:dyDescent="0.3">
      <c r="F267" s="250">
        <f>ROW()-ROW(APORTACIONESOCIOS[[#Headers],[SECUENCIA]])</f>
        <v>263</v>
      </c>
      <c r="G267" s="133">
        <v>45397</v>
      </c>
      <c r="H267" s="3">
        <v>10</v>
      </c>
      <c r="I267" s="198">
        <v>3</v>
      </c>
      <c r="J267" s="184" t="s">
        <v>13</v>
      </c>
      <c r="K267" s="188"/>
    </row>
    <row r="268" spans="6:11" x14ac:dyDescent="0.3">
      <c r="F268" s="250">
        <f>ROW()-ROW(APORTACIONESOCIOS[[#Headers],[SECUENCIA]])</f>
        <v>264</v>
      </c>
      <c r="G268" s="120">
        <v>45397</v>
      </c>
      <c r="H268" s="3">
        <v>10</v>
      </c>
      <c r="I268" s="198">
        <v>4</v>
      </c>
      <c r="J268" s="184" t="s">
        <v>12</v>
      </c>
      <c r="K268" s="188"/>
    </row>
    <row r="269" spans="6:11" x14ac:dyDescent="0.3">
      <c r="F269" s="250">
        <f>ROW()-ROW(APORTACIONESOCIOS[[#Headers],[SECUENCIA]])</f>
        <v>265</v>
      </c>
      <c r="G269" s="120">
        <v>45397</v>
      </c>
      <c r="H269" s="3">
        <v>10</v>
      </c>
      <c r="I269" s="198">
        <v>5</v>
      </c>
      <c r="J269" s="184" t="s">
        <v>14</v>
      </c>
      <c r="K269" s="188"/>
    </row>
    <row r="270" spans="6:11" x14ac:dyDescent="0.3">
      <c r="F270" s="250">
        <f>ROW()-ROW(APORTACIONESOCIOS[[#Headers],[SECUENCIA]])</f>
        <v>266</v>
      </c>
      <c r="G270" s="120">
        <v>45397</v>
      </c>
      <c r="H270" s="3">
        <v>10</v>
      </c>
      <c r="I270" s="198">
        <v>6</v>
      </c>
      <c r="J270" s="184" t="s">
        <v>24</v>
      </c>
      <c r="K270" s="188"/>
    </row>
    <row r="271" spans="6:11" x14ac:dyDescent="0.3">
      <c r="F271" s="250">
        <f>ROW()-ROW(APORTACIONESOCIOS[[#Headers],[SECUENCIA]])</f>
        <v>267</v>
      </c>
      <c r="G271" s="120">
        <v>45397</v>
      </c>
      <c r="H271" s="3">
        <v>10</v>
      </c>
      <c r="I271" s="198">
        <v>7</v>
      </c>
      <c r="J271" s="184" t="s">
        <v>15</v>
      </c>
      <c r="K271" s="188"/>
    </row>
    <row r="272" spans="6:11" x14ac:dyDescent="0.3">
      <c r="F272" s="250">
        <f>ROW()-ROW(APORTACIONESOCIOS[[#Headers],[SECUENCIA]])</f>
        <v>268</v>
      </c>
      <c r="G272" s="120">
        <v>45397</v>
      </c>
      <c r="H272" s="3">
        <v>10</v>
      </c>
      <c r="I272" s="198">
        <v>8</v>
      </c>
      <c r="J272" s="184" t="s">
        <v>16</v>
      </c>
      <c r="K272" s="188"/>
    </row>
    <row r="273" spans="6:11" x14ac:dyDescent="0.3">
      <c r="F273" s="250">
        <f>ROW()-ROW(APORTACIONESOCIOS[[#Headers],[SECUENCIA]])</f>
        <v>269</v>
      </c>
      <c r="G273" s="120">
        <v>45397</v>
      </c>
      <c r="H273" s="3">
        <v>10</v>
      </c>
      <c r="I273" s="198">
        <v>9</v>
      </c>
      <c r="J273" s="184" t="s">
        <v>17</v>
      </c>
      <c r="K273" s="188"/>
    </row>
    <row r="274" spans="6:11" x14ac:dyDescent="0.3">
      <c r="F274" s="250">
        <f>ROW()-ROW(APORTACIONESOCIOS[[#Headers],[SECUENCIA]])</f>
        <v>270</v>
      </c>
      <c r="G274" s="120">
        <v>45397</v>
      </c>
      <c r="H274" s="3">
        <v>10</v>
      </c>
      <c r="I274" s="198">
        <v>10</v>
      </c>
      <c r="J274" s="184" t="s">
        <v>18</v>
      </c>
      <c r="K274" s="188"/>
    </row>
    <row r="275" spans="6:11" x14ac:dyDescent="0.3">
      <c r="F275" s="250">
        <f>ROW()-ROW(APORTACIONESOCIOS[[#Headers],[SECUENCIA]])</f>
        <v>271</v>
      </c>
      <c r="G275" s="120">
        <v>45397</v>
      </c>
      <c r="H275" s="3">
        <v>10</v>
      </c>
      <c r="I275" s="198">
        <v>11</v>
      </c>
      <c r="J275" s="184" t="s">
        <v>19</v>
      </c>
      <c r="K275" s="188"/>
    </row>
    <row r="276" spans="6:11" x14ac:dyDescent="0.3">
      <c r="F276" s="250">
        <f>ROW()-ROW(APORTACIONESOCIOS[[#Headers],[SECUENCIA]])</f>
        <v>272</v>
      </c>
      <c r="G276" s="120">
        <v>45397</v>
      </c>
      <c r="H276" s="3">
        <v>10</v>
      </c>
      <c r="I276" s="198">
        <v>12</v>
      </c>
      <c r="J276" s="184" t="s">
        <v>20</v>
      </c>
      <c r="K276" s="188"/>
    </row>
    <row r="277" spans="6:11" x14ac:dyDescent="0.3">
      <c r="F277" s="250">
        <f>ROW()-ROW(APORTACIONESOCIOS[[#Headers],[SECUENCIA]])</f>
        <v>273</v>
      </c>
      <c r="G277" s="120">
        <v>45397</v>
      </c>
      <c r="H277" s="3">
        <v>10</v>
      </c>
      <c r="I277" s="198">
        <v>14</v>
      </c>
      <c r="J277" s="184" t="s">
        <v>21</v>
      </c>
      <c r="K277" s="188"/>
    </row>
    <row r="278" spans="6:11" x14ac:dyDescent="0.3">
      <c r="F278" s="250">
        <f>ROW()-ROW(APORTACIONESOCIOS[[#Headers],[SECUENCIA]])</f>
        <v>274</v>
      </c>
      <c r="G278" s="120">
        <v>45397</v>
      </c>
      <c r="H278" s="3">
        <v>10</v>
      </c>
      <c r="I278" s="198">
        <v>15</v>
      </c>
      <c r="J278" s="184" t="s">
        <v>22</v>
      </c>
      <c r="K278" s="188"/>
    </row>
    <row r="279" spans="6:11" x14ac:dyDescent="0.3">
      <c r="F279" s="250">
        <f>ROW()-ROW(APORTACIONESOCIOS[[#Headers],[SECUENCIA]])</f>
        <v>275</v>
      </c>
      <c r="G279" s="120">
        <v>45397</v>
      </c>
      <c r="H279" s="3">
        <v>10</v>
      </c>
      <c r="I279" s="198">
        <v>16</v>
      </c>
      <c r="J279" s="184" t="s">
        <v>23</v>
      </c>
      <c r="K279" s="188"/>
    </row>
    <row r="280" spans="6:11" x14ac:dyDescent="0.3">
      <c r="F280" s="250">
        <f>ROW()-ROW(APORTACIONESOCIOS[[#Headers],[SECUENCIA]])</f>
        <v>276</v>
      </c>
      <c r="G280" s="133">
        <v>45427</v>
      </c>
      <c r="H280" s="3">
        <v>10</v>
      </c>
      <c r="I280" s="198">
        <v>3</v>
      </c>
      <c r="J280" s="184" t="s">
        <v>13</v>
      </c>
      <c r="K280" s="188"/>
    </row>
    <row r="281" spans="6:11" x14ac:dyDescent="0.3">
      <c r="F281" s="250">
        <f>ROW()-ROW(APORTACIONESOCIOS[[#Headers],[SECUENCIA]])</f>
        <v>277</v>
      </c>
      <c r="G281" s="120">
        <v>45427</v>
      </c>
      <c r="H281" s="3">
        <v>10</v>
      </c>
      <c r="I281" s="198">
        <v>4</v>
      </c>
      <c r="J281" s="184" t="s">
        <v>12</v>
      </c>
      <c r="K281" s="188"/>
    </row>
    <row r="282" spans="6:11" x14ac:dyDescent="0.3">
      <c r="F282" s="250">
        <f>ROW()-ROW(APORTACIONESOCIOS[[#Headers],[SECUENCIA]])</f>
        <v>278</v>
      </c>
      <c r="G282" s="120">
        <v>45427</v>
      </c>
      <c r="H282" s="3">
        <v>10</v>
      </c>
      <c r="I282" s="198">
        <v>5</v>
      </c>
      <c r="J282" s="184" t="s">
        <v>14</v>
      </c>
      <c r="K282" s="188"/>
    </row>
    <row r="283" spans="6:11" x14ac:dyDescent="0.3">
      <c r="F283" s="250">
        <f>ROW()-ROW(APORTACIONESOCIOS[[#Headers],[SECUENCIA]])</f>
        <v>279</v>
      </c>
      <c r="G283" s="120">
        <v>45427</v>
      </c>
      <c r="H283" s="3">
        <v>10</v>
      </c>
      <c r="I283" s="198">
        <v>6</v>
      </c>
      <c r="J283" s="184" t="s">
        <v>24</v>
      </c>
      <c r="K283" s="188"/>
    </row>
    <row r="284" spans="6:11" x14ac:dyDescent="0.3">
      <c r="F284" s="250">
        <f>ROW()-ROW(APORTACIONESOCIOS[[#Headers],[SECUENCIA]])</f>
        <v>280</v>
      </c>
      <c r="G284" s="120">
        <v>45427</v>
      </c>
      <c r="H284" s="3">
        <v>10</v>
      </c>
      <c r="I284" s="198">
        <v>7</v>
      </c>
      <c r="J284" s="184" t="s">
        <v>15</v>
      </c>
      <c r="K284" s="188"/>
    </row>
    <row r="285" spans="6:11" x14ac:dyDescent="0.3">
      <c r="F285" s="250">
        <f>ROW()-ROW(APORTACIONESOCIOS[[#Headers],[SECUENCIA]])</f>
        <v>281</v>
      </c>
      <c r="G285" s="120">
        <v>45427</v>
      </c>
      <c r="H285" s="3">
        <v>10</v>
      </c>
      <c r="I285" s="198">
        <v>8</v>
      </c>
      <c r="J285" s="184" t="s">
        <v>16</v>
      </c>
      <c r="K285" s="188"/>
    </row>
    <row r="286" spans="6:11" x14ac:dyDescent="0.3">
      <c r="F286" s="250">
        <f>ROW()-ROW(APORTACIONESOCIOS[[#Headers],[SECUENCIA]])</f>
        <v>282</v>
      </c>
      <c r="G286" s="120">
        <v>45427</v>
      </c>
      <c r="H286" s="3">
        <v>10</v>
      </c>
      <c r="I286" s="198">
        <v>9</v>
      </c>
      <c r="J286" s="184" t="s">
        <v>17</v>
      </c>
      <c r="K286" s="188"/>
    </row>
    <row r="287" spans="6:11" x14ac:dyDescent="0.3">
      <c r="F287" s="250">
        <f>ROW()-ROW(APORTACIONESOCIOS[[#Headers],[SECUENCIA]])</f>
        <v>283</v>
      </c>
      <c r="G287" s="120">
        <v>45427</v>
      </c>
      <c r="H287" s="3">
        <v>10</v>
      </c>
      <c r="I287" s="198">
        <v>10</v>
      </c>
      <c r="J287" s="184" t="s">
        <v>18</v>
      </c>
      <c r="K287" s="188"/>
    </row>
    <row r="288" spans="6:11" x14ac:dyDescent="0.3">
      <c r="F288" s="250">
        <f>ROW()-ROW(APORTACIONESOCIOS[[#Headers],[SECUENCIA]])</f>
        <v>284</v>
      </c>
      <c r="G288" s="120">
        <v>45427</v>
      </c>
      <c r="H288" s="3">
        <v>10</v>
      </c>
      <c r="I288" s="198">
        <v>11</v>
      </c>
      <c r="J288" s="184" t="s">
        <v>19</v>
      </c>
      <c r="K288" s="188"/>
    </row>
    <row r="289" spans="6:11" x14ac:dyDescent="0.3">
      <c r="F289" s="250">
        <f>ROW()-ROW(APORTACIONESOCIOS[[#Headers],[SECUENCIA]])</f>
        <v>285</v>
      </c>
      <c r="G289" s="120">
        <v>45427</v>
      </c>
      <c r="H289" s="3">
        <v>10</v>
      </c>
      <c r="I289" s="198">
        <v>12</v>
      </c>
      <c r="J289" s="184" t="s">
        <v>20</v>
      </c>
      <c r="K289" s="188"/>
    </row>
    <row r="290" spans="6:11" x14ac:dyDescent="0.3">
      <c r="F290" s="250">
        <f>ROW()-ROW(APORTACIONESOCIOS[[#Headers],[SECUENCIA]])</f>
        <v>286</v>
      </c>
      <c r="G290" s="120">
        <v>45427</v>
      </c>
      <c r="H290" s="3">
        <v>10</v>
      </c>
      <c r="I290" s="198">
        <v>14</v>
      </c>
      <c r="J290" s="184" t="s">
        <v>21</v>
      </c>
      <c r="K290" s="188"/>
    </row>
    <row r="291" spans="6:11" x14ac:dyDescent="0.3">
      <c r="F291" s="250">
        <f>ROW()-ROW(APORTACIONESOCIOS[[#Headers],[SECUENCIA]])</f>
        <v>287</v>
      </c>
      <c r="G291" s="120">
        <v>45427</v>
      </c>
      <c r="H291" s="3">
        <v>10</v>
      </c>
      <c r="I291" s="198">
        <v>15</v>
      </c>
      <c r="J291" s="184" t="s">
        <v>22</v>
      </c>
      <c r="K291" s="188"/>
    </row>
    <row r="292" spans="6:11" x14ac:dyDescent="0.3">
      <c r="F292" s="250">
        <f>ROW()-ROW(APORTACIONESOCIOS[[#Headers],[SECUENCIA]])</f>
        <v>288</v>
      </c>
      <c r="G292" s="120">
        <v>45427</v>
      </c>
      <c r="H292" s="3">
        <v>10</v>
      </c>
      <c r="I292" s="198">
        <v>16</v>
      </c>
      <c r="J292" s="184" t="s">
        <v>23</v>
      </c>
      <c r="K292" s="188"/>
    </row>
    <row r="293" spans="6:11" x14ac:dyDescent="0.3">
      <c r="F293" s="250">
        <f>ROW()-ROW(APORTACIONESOCIOS[[#Headers],[SECUENCIA]])</f>
        <v>289</v>
      </c>
      <c r="G293" s="133">
        <v>45458</v>
      </c>
      <c r="H293" s="3">
        <v>10</v>
      </c>
      <c r="I293" s="198">
        <v>3</v>
      </c>
      <c r="J293" s="184" t="s">
        <v>13</v>
      </c>
      <c r="K293" s="188"/>
    </row>
    <row r="294" spans="6:11" x14ac:dyDescent="0.3">
      <c r="F294" s="250">
        <f>ROW()-ROW(APORTACIONESOCIOS[[#Headers],[SECUENCIA]])</f>
        <v>290</v>
      </c>
      <c r="G294" s="120">
        <v>45458</v>
      </c>
      <c r="H294" s="3">
        <v>10</v>
      </c>
      <c r="I294" s="198">
        <v>4</v>
      </c>
      <c r="J294" s="184" t="s">
        <v>12</v>
      </c>
      <c r="K294" s="188"/>
    </row>
    <row r="295" spans="6:11" x14ac:dyDescent="0.3">
      <c r="F295" s="250">
        <f>ROW()-ROW(APORTACIONESOCIOS[[#Headers],[SECUENCIA]])</f>
        <v>291</v>
      </c>
      <c r="G295" s="120">
        <v>45458</v>
      </c>
      <c r="H295" s="3">
        <v>10</v>
      </c>
      <c r="I295" s="198">
        <v>5</v>
      </c>
      <c r="J295" s="184" t="s">
        <v>14</v>
      </c>
      <c r="K295" s="188"/>
    </row>
    <row r="296" spans="6:11" x14ac:dyDescent="0.3">
      <c r="F296" s="250">
        <f>ROW()-ROW(APORTACIONESOCIOS[[#Headers],[SECUENCIA]])</f>
        <v>292</v>
      </c>
      <c r="G296" s="120">
        <v>45458</v>
      </c>
      <c r="H296" s="3">
        <v>10</v>
      </c>
      <c r="I296" s="198">
        <v>6</v>
      </c>
      <c r="J296" s="184" t="s">
        <v>24</v>
      </c>
      <c r="K296" s="188"/>
    </row>
    <row r="297" spans="6:11" x14ac:dyDescent="0.3">
      <c r="F297" s="250">
        <f>ROW()-ROW(APORTACIONESOCIOS[[#Headers],[SECUENCIA]])</f>
        <v>293</v>
      </c>
      <c r="G297" s="120">
        <v>45458</v>
      </c>
      <c r="H297" s="3">
        <v>10</v>
      </c>
      <c r="I297" s="198">
        <v>7</v>
      </c>
      <c r="J297" s="184" t="s">
        <v>15</v>
      </c>
      <c r="K297" s="188"/>
    </row>
    <row r="298" spans="6:11" x14ac:dyDescent="0.3">
      <c r="F298" s="250">
        <f>ROW()-ROW(APORTACIONESOCIOS[[#Headers],[SECUENCIA]])</f>
        <v>294</v>
      </c>
      <c r="G298" s="120">
        <v>45458</v>
      </c>
      <c r="H298" s="3">
        <v>10</v>
      </c>
      <c r="I298" s="198">
        <v>8</v>
      </c>
      <c r="J298" s="184" t="s">
        <v>16</v>
      </c>
      <c r="K298" s="188"/>
    </row>
    <row r="299" spans="6:11" x14ac:dyDescent="0.3">
      <c r="F299" s="250">
        <f>ROW()-ROW(APORTACIONESOCIOS[[#Headers],[SECUENCIA]])</f>
        <v>295</v>
      </c>
      <c r="G299" s="120">
        <v>45458</v>
      </c>
      <c r="H299" s="3">
        <v>10</v>
      </c>
      <c r="I299" s="198">
        <v>9</v>
      </c>
      <c r="J299" s="184" t="s">
        <v>17</v>
      </c>
      <c r="K299" s="188"/>
    </row>
    <row r="300" spans="6:11" x14ac:dyDescent="0.3">
      <c r="F300" s="250">
        <f>ROW()-ROW(APORTACIONESOCIOS[[#Headers],[SECUENCIA]])</f>
        <v>296</v>
      </c>
      <c r="G300" s="120">
        <v>45458</v>
      </c>
      <c r="H300" s="3">
        <v>10</v>
      </c>
      <c r="I300" s="198">
        <v>10</v>
      </c>
      <c r="J300" s="184" t="s">
        <v>18</v>
      </c>
      <c r="K300" s="188"/>
    </row>
    <row r="301" spans="6:11" x14ac:dyDescent="0.3">
      <c r="F301" s="250">
        <f>ROW()-ROW(APORTACIONESOCIOS[[#Headers],[SECUENCIA]])</f>
        <v>297</v>
      </c>
      <c r="G301" s="120">
        <v>45458</v>
      </c>
      <c r="H301" s="3">
        <v>10</v>
      </c>
      <c r="I301" s="198">
        <v>11</v>
      </c>
      <c r="J301" s="184" t="s">
        <v>19</v>
      </c>
      <c r="K301" s="188"/>
    </row>
    <row r="302" spans="6:11" x14ac:dyDescent="0.3">
      <c r="F302" s="250">
        <f>ROW()-ROW(APORTACIONESOCIOS[[#Headers],[SECUENCIA]])</f>
        <v>298</v>
      </c>
      <c r="G302" s="120">
        <v>45458</v>
      </c>
      <c r="H302" s="3">
        <v>10</v>
      </c>
      <c r="I302" s="198">
        <v>12</v>
      </c>
      <c r="J302" s="184" t="s">
        <v>20</v>
      </c>
      <c r="K302" s="188"/>
    </row>
    <row r="303" spans="6:11" x14ac:dyDescent="0.3">
      <c r="F303" s="250">
        <f>ROW()-ROW(APORTACIONESOCIOS[[#Headers],[SECUENCIA]])</f>
        <v>299</v>
      </c>
      <c r="G303" s="120">
        <v>45458</v>
      </c>
      <c r="H303" s="3">
        <v>10</v>
      </c>
      <c r="I303" s="198">
        <v>14</v>
      </c>
      <c r="J303" s="184" t="s">
        <v>21</v>
      </c>
      <c r="K303" s="188"/>
    </row>
    <row r="304" spans="6:11" x14ac:dyDescent="0.3">
      <c r="F304" s="250">
        <f>ROW()-ROW(APORTACIONESOCIOS[[#Headers],[SECUENCIA]])</f>
        <v>300</v>
      </c>
      <c r="G304" s="120">
        <v>45458</v>
      </c>
      <c r="H304" s="3">
        <v>10</v>
      </c>
      <c r="I304" s="198">
        <v>15</v>
      </c>
      <c r="J304" s="184" t="s">
        <v>22</v>
      </c>
      <c r="K304" s="188"/>
    </row>
    <row r="305" spans="6:11" x14ac:dyDescent="0.3">
      <c r="F305" s="250">
        <f>ROW()-ROW(APORTACIONESOCIOS[[#Headers],[SECUENCIA]])</f>
        <v>301</v>
      </c>
      <c r="G305" s="120">
        <v>45458</v>
      </c>
      <c r="H305" s="3">
        <v>10</v>
      </c>
      <c r="I305" s="198">
        <v>16</v>
      </c>
      <c r="J305" s="184" t="s">
        <v>23</v>
      </c>
      <c r="K305" s="188"/>
    </row>
    <row r="306" spans="6:11" x14ac:dyDescent="0.3">
      <c r="F306" s="250">
        <f>ROW()-ROW(APORTACIONESOCIOS[[#Headers],[SECUENCIA]])</f>
        <v>302</v>
      </c>
      <c r="G306" s="133">
        <v>45488</v>
      </c>
      <c r="H306" s="3">
        <v>10</v>
      </c>
      <c r="I306" s="198">
        <v>3</v>
      </c>
      <c r="J306" s="184" t="s">
        <v>13</v>
      </c>
      <c r="K306" s="188"/>
    </row>
    <row r="307" spans="6:11" x14ac:dyDescent="0.3">
      <c r="F307" s="250">
        <f>ROW()-ROW(APORTACIONESOCIOS[[#Headers],[SECUENCIA]])</f>
        <v>303</v>
      </c>
      <c r="G307" s="120">
        <v>45488</v>
      </c>
      <c r="H307" s="3">
        <v>10</v>
      </c>
      <c r="I307" s="198">
        <v>4</v>
      </c>
      <c r="J307" s="184" t="s">
        <v>12</v>
      </c>
      <c r="K307" s="188"/>
    </row>
    <row r="308" spans="6:11" x14ac:dyDescent="0.3">
      <c r="F308" s="250">
        <f>ROW()-ROW(APORTACIONESOCIOS[[#Headers],[SECUENCIA]])</f>
        <v>304</v>
      </c>
      <c r="G308" s="120">
        <v>45488</v>
      </c>
      <c r="H308" s="3">
        <v>10</v>
      </c>
      <c r="I308" s="198">
        <v>5</v>
      </c>
      <c r="J308" s="184" t="s">
        <v>14</v>
      </c>
      <c r="K308" s="188"/>
    </row>
    <row r="309" spans="6:11" x14ac:dyDescent="0.3">
      <c r="F309" s="250">
        <f>ROW()-ROW(APORTACIONESOCIOS[[#Headers],[SECUENCIA]])</f>
        <v>305</v>
      </c>
      <c r="G309" s="120">
        <v>45488</v>
      </c>
      <c r="H309" s="3">
        <v>10</v>
      </c>
      <c r="I309" s="198">
        <v>6</v>
      </c>
      <c r="J309" s="184" t="s">
        <v>24</v>
      </c>
      <c r="K309" s="188"/>
    </row>
    <row r="310" spans="6:11" x14ac:dyDescent="0.3">
      <c r="F310" s="250">
        <f>ROW()-ROW(APORTACIONESOCIOS[[#Headers],[SECUENCIA]])</f>
        <v>306</v>
      </c>
      <c r="G310" s="120">
        <v>45488</v>
      </c>
      <c r="H310" s="3">
        <v>10</v>
      </c>
      <c r="I310" s="198">
        <v>7</v>
      </c>
      <c r="J310" s="184" t="s">
        <v>15</v>
      </c>
      <c r="K310" s="188"/>
    </row>
    <row r="311" spans="6:11" x14ac:dyDescent="0.3">
      <c r="F311" s="250">
        <f>ROW()-ROW(APORTACIONESOCIOS[[#Headers],[SECUENCIA]])</f>
        <v>307</v>
      </c>
      <c r="G311" s="120">
        <v>45488</v>
      </c>
      <c r="H311" s="3">
        <v>10</v>
      </c>
      <c r="I311" s="198">
        <v>8</v>
      </c>
      <c r="J311" s="184" t="s">
        <v>16</v>
      </c>
      <c r="K311" s="188"/>
    </row>
    <row r="312" spans="6:11" x14ac:dyDescent="0.3">
      <c r="F312" s="250">
        <f>ROW()-ROW(APORTACIONESOCIOS[[#Headers],[SECUENCIA]])</f>
        <v>308</v>
      </c>
      <c r="G312" s="120">
        <v>45488</v>
      </c>
      <c r="H312" s="3">
        <v>10</v>
      </c>
      <c r="I312" s="198">
        <v>9</v>
      </c>
      <c r="J312" s="184" t="s">
        <v>17</v>
      </c>
      <c r="K312" s="188"/>
    </row>
    <row r="313" spans="6:11" x14ac:dyDescent="0.3">
      <c r="F313" s="250">
        <f>ROW()-ROW(APORTACIONESOCIOS[[#Headers],[SECUENCIA]])</f>
        <v>309</v>
      </c>
      <c r="G313" s="120">
        <v>45488</v>
      </c>
      <c r="H313" s="3">
        <v>10</v>
      </c>
      <c r="I313" s="198">
        <v>10</v>
      </c>
      <c r="J313" s="184" t="s">
        <v>18</v>
      </c>
      <c r="K313" s="188"/>
    </row>
    <row r="314" spans="6:11" x14ac:dyDescent="0.3">
      <c r="F314" s="250">
        <f>ROW()-ROW(APORTACIONESOCIOS[[#Headers],[SECUENCIA]])</f>
        <v>310</v>
      </c>
      <c r="G314" s="120">
        <v>45488</v>
      </c>
      <c r="H314" s="3">
        <v>10</v>
      </c>
      <c r="I314" s="198">
        <v>11</v>
      </c>
      <c r="J314" s="184" t="s">
        <v>19</v>
      </c>
      <c r="K314" s="188"/>
    </row>
    <row r="315" spans="6:11" x14ac:dyDescent="0.3">
      <c r="F315" s="250">
        <f>ROW()-ROW(APORTACIONESOCIOS[[#Headers],[SECUENCIA]])</f>
        <v>311</v>
      </c>
      <c r="G315" s="120">
        <v>45488</v>
      </c>
      <c r="H315" s="3">
        <v>10</v>
      </c>
      <c r="I315" s="198">
        <v>12</v>
      </c>
      <c r="J315" s="184" t="s">
        <v>20</v>
      </c>
      <c r="K315" s="188"/>
    </row>
    <row r="316" spans="6:11" x14ac:dyDescent="0.3">
      <c r="F316" s="250">
        <f>ROW()-ROW(APORTACIONESOCIOS[[#Headers],[SECUENCIA]])</f>
        <v>312</v>
      </c>
      <c r="G316" s="120">
        <v>45488</v>
      </c>
      <c r="H316" s="3">
        <v>10</v>
      </c>
      <c r="I316" s="198">
        <v>14</v>
      </c>
      <c r="J316" s="184" t="s">
        <v>21</v>
      </c>
      <c r="K316" s="188"/>
    </row>
    <row r="317" spans="6:11" x14ac:dyDescent="0.3">
      <c r="F317" s="250">
        <f>ROW()-ROW(APORTACIONESOCIOS[[#Headers],[SECUENCIA]])</f>
        <v>313</v>
      </c>
      <c r="G317" s="120">
        <v>45488</v>
      </c>
      <c r="H317" s="3">
        <v>10</v>
      </c>
      <c r="I317" s="198">
        <v>15</v>
      </c>
      <c r="J317" s="184" t="s">
        <v>22</v>
      </c>
      <c r="K317" s="188"/>
    </row>
    <row r="318" spans="6:11" x14ac:dyDescent="0.3">
      <c r="F318" s="250">
        <f>ROW()-ROW(APORTACIONESOCIOS[[#Headers],[SECUENCIA]])</f>
        <v>314</v>
      </c>
      <c r="G318" s="120">
        <v>45488</v>
      </c>
      <c r="H318" s="3">
        <v>10</v>
      </c>
      <c r="I318" s="198">
        <v>16</v>
      </c>
      <c r="J318" s="184" t="s">
        <v>23</v>
      </c>
      <c r="K318" s="188"/>
    </row>
    <row r="319" spans="6:11" x14ac:dyDescent="0.3">
      <c r="F319" s="250">
        <f>ROW()-ROW(APORTACIONESOCIOS[[#Headers],[SECUENCIA]])</f>
        <v>315</v>
      </c>
      <c r="G319" s="133">
        <v>45519</v>
      </c>
      <c r="H319" s="3">
        <v>10</v>
      </c>
      <c r="I319" s="198">
        <v>3</v>
      </c>
      <c r="J319" s="184" t="s">
        <v>13</v>
      </c>
      <c r="K319" s="188"/>
    </row>
    <row r="320" spans="6:11" x14ac:dyDescent="0.3">
      <c r="F320" s="250">
        <f>ROW()-ROW(APORTACIONESOCIOS[[#Headers],[SECUENCIA]])</f>
        <v>316</v>
      </c>
      <c r="G320" s="120">
        <v>45519</v>
      </c>
      <c r="H320" s="3">
        <v>10</v>
      </c>
      <c r="I320" s="198">
        <v>4</v>
      </c>
      <c r="J320" s="184" t="s">
        <v>12</v>
      </c>
      <c r="K320" s="188"/>
    </row>
    <row r="321" spans="6:11" x14ac:dyDescent="0.3">
      <c r="F321" s="250">
        <f>ROW()-ROW(APORTACIONESOCIOS[[#Headers],[SECUENCIA]])</f>
        <v>317</v>
      </c>
      <c r="G321" s="120">
        <v>45519</v>
      </c>
      <c r="H321" s="3">
        <v>10</v>
      </c>
      <c r="I321" s="198">
        <v>5</v>
      </c>
      <c r="J321" s="184" t="s">
        <v>14</v>
      </c>
      <c r="K321" s="188"/>
    </row>
    <row r="322" spans="6:11" x14ac:dyDescent="0.3">
      <c r="F322" s="250">
        <f>ROW()-ROW(APORTACIONESOCIOS[[#Headers],[SECUENCIA]])</f>
        <v>318</v>
      </c>
      <c r="G322" s="120">
        <v>45519</v>
      </c>
      <c r="H322" s="3">
        <v>10</v>
      </c>
      <c r="I322" s="198">
        <v>6</v>
      </c>
      <c r="J322" s="184" t="s">
        <v>24</v>
      </c>
      <c r="K322" s="188"/>
    </row>
    <row r="323" spans="6:11" x14ac:dyDescent="0.3">
      <c r="F323" s="250">
        <f>ROW()-ROW(APORTACIONESOCIOS[[#Headers],[SECUENCIA]])</f>
        <v>319</v>
      </c>
      <c r="G323" s="120">
        <v>45519</v>
      </c>
      <c r="H323" s="3">
        <v>10</v>
      </c>
      <c r="I323" s="198">
        <v>7</v>
      </c>
      <c r="J323" s="184" t="s">
        <v>15</v>
      </c>
      <c r="K323" s="188"/>
    </row>
    <row r="324" spans="6:11" x14ac:dyDescent="0.3">
      <c r="F324" s="250">
        <f>ROW()-ROW(APORTACIONESOCIOS[[#Headers],[SECUENCIA]])</f>
        <v>320</v>
      </c>
      <c r="G324" s="120">
        <v>45519</v>
      </c>
      <c r="H324" s="3">
        <v>10</v>
      </c>
      <c r="I324" s="198">
        <v>8</v>
      </c>
      <c r="J324" s="184" t="s">
        <v>16</v>
      </c>
      <c r="K324" s="188"/>
    </row>
    <row r="325" spans="6:11" x14ac:dyDescent="0.3">
      <c r="F325" s="250">
        <f>ROW()-ROW(APORTACIONESOCIOS[[#Headers],[SECUENCIA]])</f>
        <v>321</v>
      </c>
      <c r="G325" s="120">
        <v>45519</v>
      </c>
      <c r="H325" s="3">
        <v>10</v>
      </c>
      <c r="I325" s="198">
        <v>9</v>
      </c>
      <c r="J325" s="184" t="s">
        <v>17</v>
      </c>
      <c r="K325" s="188"/>
    </row>
    <row r="326" spans="6:11" x14ac:dyDescent="0.3">
      <c r="F326" s="250">
        <f>ROW()-ROW(APORTACIONESOCIOS[[#Headers],[SECUENCIA]])</f>
        <v>322</v>
      </c>
      <c r="G326" s="120">
        <v>45519</v>
      </c>
      <c r="H326" s="3">
        <v>10</v>
      </c>
      <c r="I326" s="198">
        <v>10</v>
      </c>
      <c r="J326" s="184" t="s">
        <v>18</v>
      </c>
      <c r="K326" s="188"/>
    </row>
    <row r="327" spans="6:11" x14ac:dyDescent="0.3">
      <c r="F327" s="250">
        <f>ROW()-ROW(APORTACIONESOCIOS[[#Headers],[SECUENCIA]])</f>
        <v>323</v>
      </c>
      <c r="G327" s="120">
        <v>45519</v>
      </c>
      <c r="H327" s="3">
        <v>10</v>
      </c>
      <c r="I327" s="198">
        <v>11</v>
      </c>
      <c r="J327" s="184" t="s">
        <v>19</v>
      </c>
      <c r="K327" s="188"/>
    </row>
    <row r="328" spans="6:11" x14ac:dyDescent="0.3">
      <c r="F328" s="250">
        <f>ROW()-ROW(APORTACIONESOCIOS[[#Headers],[SECUENCIA]])</f>
        <v>324</v>
      </c>
      <c r="G328" s="120">
        <v>45519</v>
      </c>
      <c r="H328" s="3">
        <v>10</v>
      </c>
      <c r="I328" s="198">
        <v>12</v>
      </c>
      <c r="J328" s="184" t="s">
        <v>20</v>
      </c>
      <c r="K328" s="188"/>
    </row>
    <row r="329" spans="6:11" x14ac:dyDescent="0.3">
      <c r="F329" s="250">
        <f>ROW()-ROW(APORTACIONESOCIOS[[#Headers],[SECUENCIA]])</f>
        <v>325</v>
      </c>
      <c r="G329" s="120">
        <v>45519</v>
      </c>
      <c r="H329" s="3">
        <v>10</v>
      </c>
      <c r="I329" s="198">
        <v>14</v>
      </c>
      <c r="J329" s="184" t="s">
        <v>21</v>
      </c>
      <c r="K329" s="188"/>
    </row>
    <row r="330" spans="6:11" x14ac:dyDescent="0.3">
      <c r="F330" s="250">
        <f>ROW()-ROW(APORTACIONESOCIOS[[#Headers],[SECUENCIA]])</f>
        <v>326</v>
      </c>
      <c r="G330" s="120">
        <v>45519</v>
      </c>
      <c r="H330" s="3">
        <v>10</v>
      </c>
      <c r="I330" s="198">
        <v>15</v>
      </c>
      <c r="J330" s="184" t="s">
        <v>22</v>
      </c>
      <c r="K330" s="188"/>
    </row>
    <row r="331" spans="6:11" x14ac:dyDescent="0.3">
      <c r="F331" s="250">
        <f>ROW()-ROW(APORTACIONESOCIOS[[#Headers],[SECUENCIA]])</f>
        <v>327</v>
      </c>
      <c r="G331" s="120">
        <v>45519</v>
      </c>
      <c r="H331" s="3">
        <v>10</v>
      </c>
      <c r="I331" s="198">
        <v>16</v>
      </c>
      <c r="J331" s="184" t="s">
        <v>23</v>
      </c>
      <c r="K331" s="188"/>
    </row>
    <row r="332" spans="6:11" x14ac:dyDescent="0.3">
      <c r="F332" s="250">
        <f>ROW()-ROW(APORTACIONESOCIOS[[#Headers],[SECUENCIA]])</f>
        <v>328</v>
      </c>
      <c r="G332" s="133">
        <v>45550</v>
      </c>
      <c r="H332" s="3">
        <v>10</v>
      </c>
      <c r="I332" s="198">
        <v>3</v>
      </c>
      <c r="J332" s="184" t="s">
        <v>13</v>
      </c>
      <c r="K332" s="188"/>
    </row>
    <row r="333" spans="6:11" x14ac:dyDescent="0.3">
      <c r="F333" s="250">
        <f>ROW()-ROW(APORTACIONESOCIOS[[#Headers],[SECUENCIA]])</f>
        <v>329</v>
      </c>
      <c r="G333" s="120">
        <v>45550</v>
      </c>
      <c r="H333" s="3">
        <v>10</v>
      </c>
      <c r="I333" s="198">
        <v>4</v>
      </c>
      <c r="J333" s="184" t="s">
        <v>12</v>
      </c>
      <c r="K333" s="188"/>
    </row>
    <row r="334" spans="6:11" x14ac:dyDescent="0.3">
      <c r="F334" s="250">
        <f>ROW()-ROW(APORTACIONESOCIOS[[#Headers],[SECUENCIA]])</f>
        <v>330</v>
      </c>
      <c r="G334" s="120">
        <v>45550</v>
      </c>
      <c r="H334" s="3">
        <v>10</v>
      </c>
      <c r="I334" s="198">
        <v>5</v>
      </c>
      <c r="J334" s="184" t="s">
        <v>14</v>
      </c>
      <c r="K334" s="188"/>
    </row>
    <row r="335" spans="6:11" x14ac:dyDescent="0.3">
      <c r="F335" s="250">
        <f>ROW()-ROW(APORTACIONESOCIOS[[#Headers],[SECUENCIA]])</f>
        <v>331</v>
      </c>
      <c r="G335" s="120">
        <v>45550</v>
      </c>
      <c r="H335" s="3">
        <v>10</v>
      </c>
      <c r="I335" s="198">
        <v>6</v>
      </c>
      <c r="J335" s="184" t="s">
        <v>24</v>
      </c>
      <c r="K335" s="188"/>
    </row>
    <row r="336" spans="6:11" x14ac:dyDescent="0.3">
      <c r="F336" s="250">
        <f>ROW()-ROW(APORTACIONESOCIOS[[#Headers],[SECUENCIA]])</f>
        <v>332</v>
      </c>
      <c r="G336" s="120">
        <v>45550</v>
      </c>
      <c r="H336" s="3">
        <v>10</v>
      </c>
      <c r="I336" s="198">
        <v>7</v>
      </c>
      <c r="J336" s="184" t="s">
        <v>15</v>
      </c>
      <c r="K336" s="188"/>
    </row>
    <row r="337" spans="6:11" x14ac:dyDescent="0.3">
      <c r="F337" s="250">
        <f>ROW()-ROW(APORTACIONESOCIOS[[#Headers],[SECUENCIA]])</f>
        <v>333</v>
      </c>
      <c r="G337" s="120">
        <v>45550</v>
      </c>
      <c r="H337" s="3">
        <v>10</v>
      </c>
      <c r="I337" s="198">
        <v>8</v>
      </c>
      <c r="J337" s="184" t="s">
        <v>16</v>
      </c>
      <c r="K337" s="188"/>
    </row>
    <row r="338" spans="6:11" x14ac:dyDescent="0.3">
      <c r="F338" s="250">
        <f>ROW()-ROW(APORTACIONESOCIOS[[#Headers],[SECUENCIA]])</f>
        <v>334</v>
      </c>
      <c r="G338" s="120">
        <v>45550</v>
      </c>
      <c r="H338" s="3">
        <v>10</v>
      </c>
      <c r="I338" s="198">
        <v>9</v>
      </c>
      <c r="J338" s="184" t="s">
        <v>17</v>
      </c>
      <c r="K338" s="188"/>
    </row>
    <row r="339" spans="6:11" x14ac:dyDescent="0.3">
      <c r="F339" s="250">
        <f>ROW()-ROW(APORTACIONESOCIOS[[#Headers],[SECUENCIA]])</f>
        <v>335</v>
      </c>
      <c r="G339" s="120">
        <v>45550</v>
      </c>
      <c r="H339" s="3">
        <v>10</v>
      </c>
      <c r="I339" s="198">
        <v>10</v>
      </c>
      <c r="J339" s="184" t="s">
        <v>18</v>
      </c>
      <c r="K339" s="188"/>
    </row>
    <row r="340" spans="6:11" x14ac:dyDescent="0.3">
      <c r="F340" s="250">
        <f>ROW()-ROW(APORTACIONESOCIOS[[#Headers],[SECUENCIA]])</f>
        <v>336</v>
      </c>
      <c r="G340" s="120">
        <v>45550</v>
      </c>
      <c r="H340" s="3">
        <v>10</v>
      </c>
      <c r="I340" s="198">
        <v>11</v>
      </c>
      <c r="J340" s="184" t="s">
        <v>19</v>
      </c>
      <c r="K340" s="188"/>
    </row>
    <row r="341" spans="6:11" x14ac:dyDescent="0.3">
      <c r="F341" s="250">
        <f>ROW()-ROW(APORTACIONESOCIOS[[#Headers],[SECUENCIA]])</f>
        <v>337</v>
      </c>
      <c r="G341" s="120">
        <v>45550</v>
      </c>
      <c r="H341" s="3">
        <v>10</v>
      </c>
      <c r="I341" s="198">
        <v>12</v>
      </c>
      <c r="J341" s="184" t="s">
        <v>20</v>
      </c>
      <c r="K341" s="188"/>
    </row>
    <row r="342" spans="6:11" x14ac:dyDescent="0.3">
      <c r="F342" s="250">
        <f>ROW()-ROW(APORTACIONESOCIOS[[#Headers],[SECUENCIA]])</f>
        <v>338</v>
      </c>
      <c r="G342" s="120">
        <v>45550</v>
      </c>
      <c r="H342" s="3">
        <v>10</v>
      </c>
      <c r="I342" s="198">
        <v>14</v>
      </c>
      <c r="J342" s="184" t="s">
        <v>21</v>
      </c>
      <c r="K342" s="188"/>
    </row>
    <row r="343" spans="6:11" x14ac:dyDescent="0.3">
      <c r="F343" s="250">
        <f>ROW()-ROW(APORTACIONESOCIOS[[#Headers],[SECUENCIA]])</f>
        <v>339</v>
      </c>
      <c r="G343" s="120">
        <v>45550</v>
      </c>
      <c r="H343" s="3">
        <v>10</v>
      </c>
      <c r="I343" s="198">
        <v>15</v>
      </c>
      <c r="J343" s="184" t="s">
        <v>22</v>
      </c>
      <c r="K343" s="188"/>
    </row>
    <row r="344" spans="6:11" x14ac:dyDescent="0.3">
      <c r="F344" s="250">
        <f>ROW()-ROW(APORTACIONESOCIOS[[#Headers],[SECUENCIA]])</f>
        <v>340</v>
      </c>
      <c r="G344" s="120">
        <v>45550</v>
      </c>
      <c r="H344" s="3">
        <v>10</v>
      </c>
      <c r="I344" s="198">
        <v>16</v>
      </c>
      <c r="J344" s="184" t="s">
        <v>23</v>
      </c>
      <c r="K344" s="188"/>
    </row>
    <row r="345" spans="6:11" x14ac:dyDescent="0.3">
      <c r="F345" s="250">
        <f>ROW()-ROW(APORTACIONESOCIOS[[#Headers],[SECUENCIA]])</f>
        <v>341</v>
      </c>
      <c r="G345" s="133">
        <v>45580</v>
      </c>
      <c r="H345" s="3">
        <v>10</v>
      </c>
      <c r="I345" s="198">
        <v>3</v>
      </c>
      <c r="J345" s="184" t="s">
        <v>13</v>
      </c>
      <c r="K345" s="188"/>
    </row>
    <row r="346" spans="6:11" x14ac:dyDescent="0.3">
      <c r="F346" s="250">
        <f>ROW()-ROW(APORTACIONESOCIOS[[#Headers],[SECUENCIA]])</f>
        <v>342</v>
      </c>
      <c r="G346" s="120">
        <v>45580</v>
      </c>
      <c r="H346" s="3">
        <v>10</v>
      </c>
      <c r="I346" s="198">
        <v>4</v>
      </c>
      <c r="J346" s="184" t="s">
        <v>12</v>
      </c>
      <c r="K346" s="188"/>
    </row>
    <row r="347" spans="6:11" x14ac:dyDescent="0.3">
      <c r="F347" s="250">
        <f>ROW()-ROW(APORTACIONESOCIOS[[#Headers],[SECUENCIA]])</f>
        <v>343</v>
      </c>
      <c r="G347" s="120">
        <v>45580</v>
      </c>
      <c r="H347" s="3">
        <v>10</v>
      </c>
      <c r="I347" s="198">
        <v>5</v>
      </c>
      <c r="J347" s="184" t="s">
        <v>14</v>
      </c>
      <c r="K347" s="188"/>
    </row>
    <row r="348" spans="6:11" x14ac:dyDescent="0.3">
      <c r="F348" s="250">
        <f>ROW()-ROW(APORTACIONESOCIOS[[#Headers],[SECUENCIA]])</f>
        <v>344</v>
      </c>
      <c r="G348" s="120">
        <v>45580</v>
      </c>
      <c r="H348" s="3">
        <v>10</v>
      </c>
      <c r="I348" s="198">
        <v>6</v>
      </c>
      <c r="J348" s="184" t="s">
        <v>24</v>
      </c>
      <c r="K348" s="188"/>
    </row>
    <row r="349" spans="6:11" x14ac:dyDescent="0.3">
      <c r="F349" s="250">
        <f>ROW()-ROW(APORTACIONESOCIOS[[#Headers],[SECUENCIA]])</f>
        <v>345</v>
      </c>
      <c r="G349" s="120">
        <v>45580</v>
      </c>
      <c r="H349" s="3">
        <v>10</v>
      </c>
      <c r="I349" s="198">
        <v>7</v>
      </c>
      <c r="J349" s="184" t="s">
        <v>15</v>
      </c>
      <c r="K349" s="188"/>
    </row>
    <row r="350" spans="6:11" x14ac:dyDescent="0.3">
      <c r="F350" s="250">
        <f>ROW()-ROW(APORTACIONESOCIOS[[#Headers],[SECUENCIA]])</f>
        <v>346</v>
      </c>
      <c r="G350" s="120">
        <v>45580</v>
      </c>
      <c r="H350" s="3">
        <v>10</v>
      </c>
      <c r="I350" s="198">
        <v>8</v>
      </c>
      <c r="J350" s="184" t="s">
        <v>16</v>
      </c>
      <c r="K350" s="188"/>
    </row>
    <row r="351" spans="6:11" x14ac:dyDescent="0.3">
      <c r="F351" s="250">
        <f>ROW()-ROW(APORTACIONESOCIOS[[#Headers],[SECUENCIA]])</f>
        <v>347</v>
      </c>
      <c r="G351" s="120">
        <v>45580</v>
      </c>
      <c r="H351" s="3">
        <v>10</v>
      </c>
      <c r="I351" s="198">
        <v>9</v>
      </c>
      <c r="J351" s="184" t="s">
        <v>17</v>
      </c>
      <c r="K351" s="188"/>
    </row>
    <row r="352" spans="6:11" x14ac:dyDescent="0.3">
      <c r="F352" s="250">
        <f>ROW()-ROW(APORTACIONESOCIOS[[#Headers],[SECUENCIA]])</f>
        <v>348</v>
      </c>
      <c r="G352" s="120">
        <v>45580</v>
      </c>
      <c r="H352" s="3">
        <v>10</v>
      </c>
      <c r="I352" s="198">
        <v>10</v>
      </c>
      <c r="J352" s="184" t="s">
        <v>18</v>
      </c>
      <c r="K352" s="188"/>
    </row>
    <row r="353" spans="6:11" x14ac:dyDescent="0.3">
      <c r="F353" s="250">
        <f>ROW()-ROW(APORTACIONESOCIOS[[#Headers],[SECUENCIA]])</f>
        <v>349</v>
      </c>
      <c r="G353" s="120">
        <v>45580</v>
      </c>
      <c r="H353" s="3">
        <v>10</v>
      </c>
      <c r="I353" s="198">
        <v>11</v>
      </c>
      <c r="J353" s="184" t="s">
        <v>19</v>
      </c>
      <c r="K353" s="188"/>
    </row>
    <row r="354" spans="6:11" x14ac:dyDescent="0.3">
      <c r="F354" s="250">
        <f>ROW()-ROW(APORTACIONESOCIOS[[#Headers],[SECUENCIA]])</f>
        <v>350</v>
      </c>
      <c r="G354" s="120">
        <v>45580</v>
      </c>
      <c r="H354" s="3">
        <v>10</v>
      </c>
      <c r="I354" s="198">
        <v>12</v>
      </c>
      <c r="J354" s="184" t="s">
        <v>20</v>
      </c>
      <c r="K354" s="188"/>
    </row>
    <row r="355" spans="6:11" x14ac:dyDescent="0.3">
      <c r="F355" s="250">
        <f>ROW()-ROW(APORTACIONESOCIOS[[#Headers],[SECUENCIA]])</f>
        <v>351</v>
      </c>
      <c r="G355" s="120">
        <v>45580</v>
      </c>
      <c r="H355" s="3">
        <v>10</v>
      </c>
      <c r="I355" s="198">
        <v>14</v>
      </c>
      <c r="J355" s="184" t="s">
        <v>21</v>
      </c>
      <c r="K355" s="188"/>
    </row>
    <row r="356" spans="6:11" x14ac:dyDescent="0.3">
      <c r="F356" s="250">
        <f>ROW()-ROW(APORTACIONESOCIOS[[#Headers],[SECUENCIA]])</f>
        <v>352</v>
      </c>
      <c r="G356" s="120">
        <v>45580</v>
      </c>
      <c r="H356" s="3">
        <v>10</v>
      </c>
      <c r="I356" s="198">
        <v>15</v>
      </c>
      <c r="J356" s="184" t="s">
        <v>22</v>
      </c>
      <c r="K356" s="188"/>
    </row>
    <row r="357" spans="6:11" x14ac:dyDescent="0.3">
      <c r="F357" s="250">
        <f>ROW()-ROW(APORTACIONESOCIOS[[#Headers],[SECUENCIA]])</f>
        <v>353</v>
      </c>
      <c r="G357" s="120">
        <v>45580</v>
      </c>
      <c r="H357" s="3">
        <v>10</v>
      </c>
      <c r="I357" s="198">
        <v>16</v>
      </c>
      <c r="J357" s="184" t="s">
        <v>23</v>
      </c>
      <c r="K357" s="188"/>
    </row>
    <row r="358" spans="6:11" x14ac:dyDescent="0.3">
      <c r="F358" s="250">
        <f>ROW()-ROW(APORTACIONESOCIOS[[#Headers],[SECUENCIA]])</f>
        <v>354</v>
      </c>
      <c r="G358" s="133">
        <v>45611</v>
      </c>
      <c r="H358" s="3">
        <v>10</v>
      </c>
      <c r="I358" s="198">
        <v>3</v>
      </c>
      <c r="J358" s="184" t="s">
        <v>13</v>
      </c>
      <c r="K358" s="188"/>
    </row>
    <row r="359" spans="6:11" x14ac:dyDescent="0.3">
      <c r="F359" s="250">
        <f>ROW()-ROW(APORTACIONESOCIOS[[#Headers],[SECUENCIA]])</f>
        <v>355</v>
      </c>
      <c r="G359" s="120">
        <v>45611</v>
      </c>
      <c r="H359" s="3">
        <v>10</v>
      </c>
      <c r="I359" s="198">
        <v>4</v>
      </c>
      <c r="J359" s="184" t="s">
        <v>12</v>
      </c>
      <c r="K359" s="188"/>
    </row>
    <row r="360" spans="6:11" x14ac:dyDescent="0.3">
      <c r="F360" s="250">
        <f>ROW()-ROW(APORTACIONESOCIOS[[#Headers],[SECUENCIA]])</f>
        <v>356</v>
      </c>
      <c r="G360" s="120">
        <v>45611</v>
      </c>
      <c r="H360" s="3">
        <v>10</v>
      </c>
      <c r="I360" s="198">
        <v>5</v>
      </c>
      <c r="J360" s="184" t="s">
        <v>14</v>
      </c>
      <c r="K360" s="188"/>
    </row>
    <row r="361" spans="6:11" x14ac:dyDescent="0.3">
      <c r="F361" s="250">
        <f>ROW()-ROW(APORTACIONESOCIOS[[#Headers],[SECUENCIA]])</f>
        <v>357</v>
      </c>
      <c r="G361" s="120">
        <v>45611</v>
      </c>
      <c r="H361" s="3">
        <v>10</v>
      </c>
      <c r="I361" s="198">
        <v>6</v>
      </c>
      <c r="J361" s="184" t="s">
        <v>24</v>
      </c>
      <c r="K361" s="188"/>
    </row>
    <row r="362" spans="6:11" x14ac:dyDescent="0.3">
      <c r="F362" s="250">
        <f>ROW()-ROW(APORTACIONESOCIOS[[#Headers],[SECUENCIA]])</f>
        <v>358</v>
      </c>
      <c r="G362" s="120">
        <v>45611</v>
      </c>
      <c r="H362" s="3">
        <v>10</v>
      </c>
      <c r="I362" s="198">
        <v>7</v>
      </c>
      <c r="J362" s="184" t="s">
        <v>15</v>
      </c>
      <c r="K362" s="188"/>
    </row>
    <row r="363" spans="6:11" x14ac:dyDescent="0.3">
      <c r="F363" s="250">
        <f>ROW()-ROW(APORTACIONESOCIOS[[#Headers],[SECUENCIA]])</f>
        <v>359</v>
      </c>
      <c r="G363" s="120">
        <v>45611</v>
      </c>
      <c r="H363" s="3">
        <v>10</v>
      </c>
      <c r="I363" s="198">
        <v>8</v>
      </c>
      <c r="J363" s="184" t="s">
        <v>16</v>
      </c>
      <c r="K363" s="188"/>
    </row>
    <row r="364" spans="6:11" x14ac:dyDescent="0.3">
      <c r="F364" s="250">
        <f>ROW()-ROW(APORTACIONESOCIOS[[#Headers],[SECUENCIA]])</f>
        <v>360</v>
      </c>
      <c r="G364" s="120">
        <v>45611</v>
      </c>
      <c r="H364" s="3">
        <v>10</v>
      </c>
      <c r="I364" s="198">
        <v>9</v>
      </c>
      <c r="J364" s="184" t="s">
        <v>17</v>
      </c>
      <c r="K364" s="188"/>
    </row>
    <row r="365" spans="6:11" x14ac:dyDescent="0.3">
      <c r="F365" s="250">
        <f>ROW()-ROW(APORTACIONESOCIOS[[#Headers],[SECUENCIA]])</f>
        <v>361</v>
      </c>
      <c r="G365" s="120">
        <v>45611</v>
      </c>
      <c r="H365" s="3">
        <v>10</v>
      </c>
      <c r="I365" s="198">
        <v>10</v>
      </c>
      <c r="J365" s="184" t="s">
        <v>18</v>
      </c>
      <c r="K365" s="188"/>
    </row>
    <row r="366" spans="6:11" x14ac:dyDescent="0.3">
      <c r="F366" s="250">
        <f>ROW()-ROW(APORTACIONESOCIOS[[#Headers],[SECUENCIA]])</f>
        <v>362</v>
      </c>
      <c r="G366" s="120">
        <v>45611</v>
      </c>
      <c r="H366" s="3">
        <v>10</v>
      </c>
      <c r="I366" s="198">
        <v>11</v>
      </c>
      <c r="J366" s="184" t="s">
        <v>19</v>
      </c>
      <c r="K366" s="188"/>
    </row>
    <row r="367" spans="6:11" x14ac:dyDescent="0.3">
      <c r="F367" s="250">
        <f>ROW()-ROW(APORTACIONESOCIOS[[#Headers],[SECUENCIA]])</f>
        <v>363</v>
      </c>
      <c r="G367" s="120">
        <v>45611</v>
      </c>
      <c r="H367" s="3">
        <v>10</v>
      </c>
      <c r="I367" s="198">
        <v>12</v>
      </c>
      <c r="J367" s="184" t="s">
        <v>20</v>
      </c>
      <c r="K367" s="188"/>
    </row>
    <row r="368" spans="6:11" x14ac:dyDescent="0.3">
      <c r="F368" s="250">
        <f>ROW()-ROW(APORTACIONESOCIOS[[#Headers],[SECUENCIA]])</f>
        <v>364</v>
      </c>
      <c r="G368" s="120">
        <v>45611</v>
      </c>
      <c r="H368" s="3">
        <v>10</v>
      </c>
      <c r="I368" s="198">
        <v>14</v>
      </c>
      <c r="J368" s="184" t="s">
        <v>21</v>
      </c>
      <c r="K368" s="188"/>
    </row>
    <row r="369" spans="6:11" x14ac:dyDescent="0.3">
      <c r="F369" s="250">
        <f>ROW()-ROW(APORTACIONESOCIOS[[#Headers],[SECUENCIA]])</f>
        <v>365</v>
      </c>
      <c r="G369" s="120">
        <v>45611</v>
      </c>
      <c r="H369" s="3">
        <v>10</v>
      </c>
      <c r="I369" s="198">
        <v>15</v>
      </c>
      <c r="J369" s="184" t="s">
        <v>22</v>
      </c>
      <c r="K369" s="188"/>
    </row>
    <row r="370" spans="6:11" x14ac:dyDescent="0.3">
      <c r="F370" s="250">
        <f>ROW()-ROW(APORTACIONESOCIOS[[#Headers],[SECUENCIA]])</f>
        <v>366</v>
      </c>
      <c r="G370" s="120">
        <v>45611</v>
      </c>
      <c r="H370" s="3">
        <v>10</v>
      </c>
      <c r="I370" s="198">
        <v>16</v>
      </c>
      <c r="J370" s="184" t="s">
        <v>23</v>
      </c>
      <c r="K370" s="188"/>
    </row>
    <row r="371" spans="6:11" x14ac:dyDescent="0.3">
      <c r="F371" s="250">
        <f>ROW()-ROW(APORTACIONESOCIOS[[#Headers],[SECUENCIA]])</f>
        <v>367</v>
      </c>
      <c r="G371" s="133">
        <v>45641</v>
      </c>
      <c r="H371" s="3">
        <v>10</v>
      </c>
      <c r="I371" s="198">
        <v>3</v>
      </c>
      <c r="J371" s="184" t="s">
        <v>13</v>
      </c>
      <c r="K371" s="188"/>
    </row>
    <row r="372" spans="6:11" x14ac:dyDescent="0.3">
      <c r="F372" s="250">
        <f>ROW()-ROW(APORTACIONESOCIOS[[#Headers],[SECUENCIA]])</f>
        <v>368</v>
      </c>
      <c r="G372" s="120">
        <v>45641</v>
      </c>
      <c r="H372" s="3">
        <v>10</v>
      </c>
      <c r="I372" s="198">
        <v>4</v>
      </c>
      <c r="J372" s="184" t="s">
        <v>12</v>
      </c>
      <c r="K372" s="188"/>
    </row>
    <row r="373" spans="6:11" x14ac:dyDescent="0.3">
      <c r="F373" s="250">
        <f>ROW()-ROW(APORTACIONESOCIOS[[#Headers],[SECUENCIA]])</f>
        <v>369</v>
      </c>
      <c r="G373" s="120">
        <v>45641</v>
      </c>
      <c r="H373" s="3">
        <v>10</v>
      </c>
      <c r="I373" s="198">
        <v>5</v>
      </c>
      <c r="J373" s="184" t="s">
        <v>14</v>
      </c>
      <c r="K373" s="188"/>
    </row>
    <row r="374" spans="6:11" x14ac:dyDescent="0.3">
      <c r="F374" s="250">
        <f>ROW()-ROW(APORTACIONESOCIOS[[#Headers],[SECUENCIA]])</f>
        <v>370</v>
      </c>
      <c r="G374" s="120">
        <v>45641</v>
      </c>
      <c r="H374" s="3">
        <v>10</v>
      </c>
      <c r="I374" s="198">
        <v>6</v>
      </c>
      <c r="J374" s="184" t="s">
        <v>24</v>
      </c>
      <c r="K374" s="188"/>
    </row>
    <row r="375" spans="6:11" x14ac:dyDescent="0.3">
      <c r="F375" s="250">
        <f>ROW()-ROW(APORTACIONESOCIOS[[#Headers],[SECUENCIA]])</f>
        <v>371</v>
      </c>
      <c r="G375" s="120">
        <v>45641</v>
      </c>
      <c r="H375" s="3">
        <v>10</v>
      </c>
      <c r="I375" s="198">
        <v>7</v>
      </c>
      <c r="J375" s="184" t="s">
        <v>15</v>
      </c>
      <c r="K375" s="188"/>
    </row>
    <row r="376" spans="6:11" x14ac:dyDescent="0.3">
      <c r="F376" s="250">
        <f>ROW()-ROW(APORTACIONESOCIOS[[#Headers],[SECUENCIA]])</f>
        <v>372</v>
      </c>
      <c r="G376" s="120">
        <v>45641</v>
      </c>
      <c r="H376" s="3">
        <v>10</v>
      </c>
      <c r="I376" s="198">
        <v>8</v>
      </c>
      <c r="J376" s="184" t="s">
        <v>16</v>
      </c>
      <c r="K376" s="188"/>
    </row>
    <row r="377" spans="6:11" x14ac:dyDescent="0.3">
      <c r="F377" s="250">
        <f>ROW()-ROW(APORTACIONESOCIOS[[#Headers],[SECUENCIA]])</f>
        <v>373</v>
      </c>
      <c r="G377" s="120">
        <v>45641</v>
      </c>
      <c r="H377" s="3">
        <v>10</v>
      </c>
      <c r="I377" s="198">
        <v>9</v>
      </c>
      <c r="J377" s="184" t="s">
        <v>17</v>
      </c>
      <c r="K377" s="188"/>
    </row>
    <row r="378" spans="6:11" x14ac:dyDescent="0.3">
      <c r="F378" s="250">
        <f>ROW()-ROW(APORTACIONESOCIOS[[#Headers],[SECUENCIA]])</f>
        <v>374</v>
      </c>
      <c r="G378" s="120">
        <v>45641</v>
      </c>
      <c r="H378" s="3">
        <v>10</v>
      </c>
      <c r="I378" s="198">
        <v>10</v>
      </c>
      <c r="J378" s="184" t="s">
        <v>18</v>
      </c>
      <c r="K378" s="188"/>
    </row>
    <row r="379" spans="6:11" x14ac:dyDescent="0.3">
      <c r="F379" s="250">
        <f>ROW()-ROW(APORTACIONESOCIOS[[#Headers],[SECUENCIA]])</f>
        <v>375</v>
      </c>
      <c r="G379" s="120">
        <v>45641</v>
      </c>
      <c r="H379" s="3">
        <v>10</v>
      </c>
      <c r="I379" s="198">
        <v>11</v>
      </c>
      <c r="J379" s="184" t="s">
        <v>19</v>
      </c>
      <c r="K379" s="188"/>
    </row>
    <row r="380" spans="6:11" x14ac:dyDescent="0.3">
      <c r="F380" s="250">
        <f>ROW()-ROW(APORTACIONESOCIOS[[#Headers],[SECUENCIA]])</f>
        <v>376</v>
      </c>
      <c r="G380" s="120">
        <v>45641</v>
      </c>
      <c r="H380" s="3">
        <v>10</v>
      </c>
      <c r="I380" s="198">
        <v>12</v>
      </c>
      <c r="J380" s="184" t="s">
        <v>20</v>
      </c>
      <c r="K380" s="188"/>
    </row>
    <row r="381" spans="6:11" x14ac:dyDescent="0.3">
      <c r="F381" s="250">
        <f>ROW()-ROW(APORTACIONESOCIOS[[#Headers],[SECUENCIA]])</f>
        <v>377</v>
      </c>
      <c r="G381" s="120">
        <v>45641</v>
      </c>
      <c r="H381" s="3">
        <v>10</v>
      </c>
      <c r="I381" s="198">
        <v>14</v>
      </c>
      <c r="J381" s="184" t="s">
        <v>21</v>
      </c>
      <c r="K381" s="188"/>
    </row>
    <row r="382" spans="6:11" x14ac:dyDescent="0.3">
      <c r="F382" s="250">
        <f>ROW()-ROW(APORTACIONESOCIOS[[#Headers],[SECUENCIA]])</f>
        <v>378</v>
      </c>
      <c r="G382" s="120">
        <v>45641</v>
      </c>
      <c r="H382" s="3">
        <v>10</v>
      </c>
      <c r="I382" s="198">
        <v>15</v>
      </c>
      <c r="J382" s="184" t="s">
        <v>22</v>
      </c>
      <c r="K382" s="188"/>
    </row>
    <row r="383" spans="6:11" x14ac:dyDescent="0.3">
      <c r="F383" s="250">
        <f>ROW()-ROW(APORTACIONESOCIOS[[#Headers],[SECUENCIA]])</f>
        <v>379</v>
      </c>
      <c r="G383" s="120">
        <v>45641</v>
      </c>
      <c r="H383" s="3">
        <v>10</v>
      </c>
      <c r="I383" s="198">
        <v>16</v>
      </c>
      <c r="J383" s="184" t="s">
        <v>23</v>
      </c>
      <c r="K383" s="188"/>
    </row>
    <row r="384" spans="6:11" x14ac:dyDescent="0.3">
      <c r="F384" s="250">
        <f>ROW()-ROW(APORTACIONESOCIOS[[#Headers],[SECUENCIA]])</f>
        <v>380</v>
      </c>
      <c r="G384" s="120">
        <v>45672</v>
      </c>
      <c r="H384" s="3">
        <v>10</v>
      </c>
      <c r="I384" s="198">
        <v>3</v>
      </c>
      <c r="J384" s="184" t="s">
        <v>13</v>
      </c>
      <c r="K384" s="188"/>
    </row>
    <row r="385" spans="6:11" x14ac:dyDescent="0.3">
      <c r="F385" s="251">
        <f>ROW()-ROW(APORTACIONESOCIOS[[#Headers],[SECUENCIA]])</f>
        <v>381</v>
      </c>
      <c r="G385" s="120">
        <v>45672</v>
      </c>
      <c r="H385" s="3">
        <v>10</v>
      </c>
      <c r="I385" s="198">
        <v>4</v>
      </c>
      <c r="J385" s="184" t="s">
        <v>12</v>
      </c>
      <c r="K385" s="190"/>
    </row>
    <row r="386" spans="6:11" x14ac:dyDescent="0.3">
      <c r="F386" s="250">
        <f>ROW()-ROW(APORTACIONESOCIOS[[#Headers],[SECUENCIA]])</f>
        <v>382</v>
      </c>
      <c r="G386" s="120">
        <v>45672</v>
      </c>
      <c r="H386" s="3">
        <v>10</v>
      </c>
      <c r="I386" s="198">
        <v>5</v>
      </c>
      <c r="J386" s="184" t="s">
        <v>14</v>
      </c>
      <c r="K386" s="188"/>
    </row>
    <row r="387" spans="6:11" x14ac:dyDescent="0.3">
      <c r="F387" s="250">
        <f>ROW()-ROW(APORTACIONESOCIOS[[#Headers],[SECUENCIA]])</f>
        <v>383</v>
      </c>
      <c r="G387" s="120">
        <v>45672</v>
      </c>
      <c r="H387" s="3">
        <v>10</v>
      </c>
      <c r="I387" s="198">
        <v>6</v>
      </c>
      <c r="J387" s="184" t="s">
        <v>24</v>
      </c>
      <c r="K387" s="188"/>
    </row>
    <row r="388" spans="6:11" x14ac:dyDescent="0.3">
      <c r="F388" s="250">
        <f>ROW()-ROW(APORTACIONESOCIOS[[#Headers],[SECUENCIA]])</f>
        <v>384</v>
      </c>
      <c r="G388" s="120">
        <v>45672</v>
      </c>
      <c r="H388" s="3">
        <v>10</v>
      </c>
      <c r="I388" s="198">
        <v>7</v>
      </c>
      <c r="J388" s="184" t="s">
        <v>15</v>
      </c>
      <c r="K388" s="188"/>
    </row>
    <row r="389" spans="6:11" x14ac:dyDescent="0.3">
      <c r="F389" s="250">
        <f>ROW()-ROW(APORTACIONESOCIOS[[#Headers],[SECUENCIA]])</f>
        <v>385</v>
      </c>
      <c r="G389" s="120">
        <v>45672</v>
      </c>
      <c r="H389" s="3">
        <v>10</v>
      </c>
      <c r="I389" s="198">
        <v>8</v>
      </c>
      <c r="J389" s="184" t="s">
        <v>16</v>
      </c>
      <c r="K389" s="188"/>
    </row>
    <row r="390" spans="6:11" x14ac:dyDescent="0.3">
      <c r="F390" s="250">
        <f>ROW()-ROW(APORTACIONESOCIOS[[#Headers],[SECUENCIA]])</f>
        <v>386</v>
      </c>
      <c r="G390" s="120">
        <v>45672</v>
      </c>
      <c r="H390" s="3">
        <v>10</v>
      </c>
      <c r="I390" s="198">
        <v>9</v>
      </c>
      <c r="J390" s="184" t="s">
        <v>17</v>
      </c>
      <c r="K390" s="188"/>
    </row>
    <row r="391" spans="6:11" x14ac:dyDescent="0.3">
      <c r="F391" s="250">
        <f>ROW()-ROW(APORTACIONESOCIOS[[#Headers],[SECUENCIA]])</f>
        <v>387</v>
      </c>
      <c r="G391" s="120">
        <v>45672</v>
      </c>
      <c r="H391" s="3">
        <v>10</v>
      </c>
      <c r="I391" s="198">
        <v>10</v>
      </c>
      <c r="J391" s="184" t="s">
        <v>18</v>
      </c>
      <c r="K391" s="188"/>
    </row>
    <row r="392" spans="6:11" x14ac:dyDescent="0.3">
      <c r="F392" s="250">
        <f>ROW()-ROW(APORTACIONESOCIOS[[#Headers],[SECUENCIA]])</f>
        <v>388</v>
      </c>
      <c r="G392" s="120">
        <v>45672</v>
      </c>
      <c r="H392" s="3">
        <v>10</v>
      </c>
      <c r="I392" s="198">
        <v>11</v>
      </c>
      <c r="J392" s="184" t="s">
        <v>19</v>
      </c>
      <c r="K392" s="188"/>
    </row>
    <row r="393" spans="6:11" x14ac:dyDescent="0.3">
      <c r="F393" s="250">
        <f>ROW()-ROW(APORTACIONESOCIOS[[#Headers],[SECUENCIA]])</f>
        <v>389</v>
      </c>
      <c r="G393" s="120">
        <v>45672</v>
      </c>
      <c r="H393" s="3">
        <v>10</v>
      </c>
      <c r="I393" s="198">
        <v>12</v>
      </c>
      <c r="J393" s="184" t="s">
        <v>20</v>
      </c>
      <c r="K393" s="188"/>
    </row>
    <row r="394" spans="6:11" x14ac:dyDescent="0.3">
      <c r="F394" s="250">
        <f>ROW()-ROW(APORTACIONESOCIOS[[#Headers],[SECUENCIA]])</f>
        <v>390</v>
      </c>
      <c r="G394" s="120">
        <v>45672</v>
      </c>
      <c r="H394" s="3">
        <v>10</v>
      </c>
      <c r="I394" s="198">
        <v>14</v>
      </c>
      <c r="J394" s="184" t="s">
        <v>21</v>
      </c>
      <c r="K394" s="188"/>
    </row>
    <row r="395" spans="6:11" x14ac:dyDescent="0.3">
      <c r="F395" s="250">
        <f>ROW()-ROW(APORTACIONESOCIOS[[#Headers],[SECUENCIA]])</f>
        <v>391</v>
      </c>
      <c r="G395" s="120">
        <v>45672</v>
      </c>
      <c r="H395" s="3">
        <v>10</v>
      </c>
      <c r="I395" s="198">
        <v>15</v>
      </c>
      <c r="J395" s="184" t="s">
        <v>22</v>
      </c>
      <c r="K395" s="188"/>
    </row>
    <row r="396" spans="6:11" x14ac:dyDescent="0.3">
      <c r="F396" s="250">
        <f>ROW()-ROW(APORTACIONESOCIOS[[#Headers],[SECUENCIA]])</f>
        <v>392</v>
      </c>
      <c r="G396" s="120">
        <v>45672</v>
      </c>
      <c r="H396" s="3">
        <v>10</v>
      </c>
      <c r="I396" s="198">
        <v>16</v>
      </c>
      <c r="J396" s="184" t="s">
        <v>23</v>
      </c>
      <c r="K396" s="188"/>
    </row>
    <row r="397" spans="6:11" x14ac:dyDescent="0.3">
      <c r="F397" s="250">
        <f>ROW()-ROW(APORTACIONESOCIOS[[#Headers],[SECUENCIA]])</f>
        <v>393</v>
      </c>
      <c r="G397" s="120">
        <v>45703</v>
      </c>
      <c r="H397" s="3">
        <v>10</v>
      </c>
      <c r="I397" s="198">
        <v>3</v>
      </c>
      <c r="J397" s="184" t="s">
        <v>13</v>
      </c>
      <c r="K397" s="188"/>
    </row>
    <row r="398" spans="6:11" x14ac:dyDescent="0.3">
      <c r="F398" s="250">
        <f>ROW()-ROW(APORTACIONESOCIOS[[#Headers],[SECUENCIA]])</f>
        <v>394</v>
      </c>
      <c r="G398" s="120">
        <v>45703</v>
      </c>
      <c r="H398" s="3">
        <v>10</v>
      </c>
      <c r="I398" s="198">
        <v>4</v>
      </c>
      <c r="J398" s="184" t="s">
        <v>12</v>
      </c>
      <c r="K398" s="188"/>
    </row>
    <row r="399" spans="6:11" x14ac:dyDescent="0.3">
      <c r="F399" s="250">
        <f>ROW()-ROW(APORTACIONESOCIOS[[#Headers],[SECUENCIA]])</f>
        <v>395</v>
      </c>
      <c r="G399" s="120">
        <v>45703</v>
      </c>
      <c r="H399" s="3">
        <v>10</v>
      </c>
      <c r="I399" s="198">
        <v>5</v>
      </c>
      <c r="J399" s="184" t="s">
        <v>14</v>
      </c>
      <c r="K399" s="188"/>
    </row>
    <row r="400" spans="6:11" x14ac:dyDescent="0.3">
      <c r="F400" s="250">
        <f>ROW()-ROW(APORTACIONESOCIOS[[#Headers],[SECUENCIA]])</f>
        <v>396</v>
      </c>
      <c r="G400" s="120">
        <v>45703</v>
      </c>
      <c r="H400" s="3">
        <v>10</v>
      </c>
      <c r="I400" s="198">
        <v>6</v>
      </c>
      <c r="J400" s="184" t="s">
        <v>24</v>
      </c>
      <c r="K400" s="188"/>
    </row>
    <row r="401" spans="6:11" x14ac:dyDescent="0.3">
      <c r="F401" s="250">
        <f>ROW()-ROW(APORTACIONESOCIOS[[#Headers],[SECUENCIA]])</f>
        <v>397</v>
      </c>
      <c r="G401" s="120">
        <v>45703</v>
      </c>
      <c r="H401" s="3">
        <v>10</v>
      </c>
      <c r="I401" s="198">
        <v>7</v>
      </c>
      <c r="J401" s="184" t="s">
        <v>15</v>
      </c>
      <c r="K401" s="188"/>
    </row>
    <row r="402" spans="6:11" x14ac:dyDescent="0.3">
      <c r="F402" s="250">
        <f>ROW()-ROW(APORTACIONESOCIOS[[#Headers],[SECUENCIA]])</f>
        <v>398</v>
      </c>
      <c r="G402" s="120">
        <v>45703</v>
      </c>
      <c r="H402" s="3">
        <v>10</v>
      </c>
      <c r="I402" s="198">
        <v>8</v>
      </c>
      <c r="J402" s="184" t="s">
        <v>16</v>
      </c>
      <c r="K402" s="188"/>
    </row>
    <row r="403" spans="6:11" x14ac:dyDescent="0.3">
      <c r="F403" s="250">
        <f>ROW()-ROW(APORTACIONESOCIOS[[#Headers],[SECUENCIA]])</f>
        <v>399</v>
      </c>
      <c r="G403" s="120">
        <v>45703</v>
      </c>
      <c r="H403" s="3">
        <v>10</v>
      </c>
      <c r="I403" s="198">
        <v>9</v>
      </c>
      <c r="J403" s="184" t="s">
        <v>17</v>
      </c>
      <c r="K403" s="188"/>
    </row>
    <row r="404" spans="6:11" x14ac:dyDescent="0.3">
      <c r="F404" s="250">
        <f>ROW()-ROW(APORTACIONESOCIOS[[#Headers],[SECUENCIA]])</f>
        <v>400</v>
      </c>
      <c r="G404" s="120">
        <v>45703</v>
      </c>
      <c r="H404" s="3">
        <v>10</v>
      </c>
      <c r="I404" s="198">
        <v>10</v>
      </c>
      <c r="J404" s="184" t="s">
        <v>18</v>
      </c>
      <c r="K404" s="188"/>
    </row>
    <row r="405" spans="6:11" x14ac:dyDescent="0.3">
      <c r="F405" s="250">
        <f>ROW()-ROW(APORTACIONESOCIOS[[#Headers],[SECUENCIA]])</f>
        <v>401</v>
      </c>
      <c r="G405" s="120">
        <v>45703</v>
      </c>
      <c r="H405" s="3">
        <v>10</v>
      </c>
      <c r="I405" s="198">
        <v>11</v>
      </c>
      <c r="J405" s="184" t="s">
        <v>19</v>
      </c>
      <c r="K405" s="188"/>
    </row>
    <row r="406" spans="6:11" x14ac:dyDescent="0.3">
      <c r="F406" s="250">
        <f>ROW()-ROW(APORTACIONESOCIOS[[#Headers],[SECUENCIA]])</f>
        <v>402</v>
      </c>
      <c r="G406" s="120">
        <v>45703</v>
      </c>
      <c r="H406" s="3">
        <v>10</v>
      </c>
      <c r="I406" s="198">
        <v>12</v>
      </c>
      <c r="J406" s="184" t="s">
        <v>20</v>
      </c>
      <c r="K406" s="188"/>
    </row>
    <row r="407" spans="6:11" x14ac:dyDescent="0.3">
      <c r="F407" s="250">
        <f>ROW()-ROW(APORTACIONESOCIOS[[#Headers],[SECUENCIA]])</f>
        <v>403</v>
      </c>
      <c r="G407" s="120">
        <v>45703</v>
      </c>
      <c r="H407" s="3">
        <v>10</v>
      </c>
      <c r="I407" s="198">
        <v>14</v>
      </c>
      <c r="J407" s="184" t="s">
        <v>21</v>
      </c>
      <c r="K407" s="188"/>
    </row>
    <row r="408" spans="6:11" x14ac:dyDescent="0.3">
      <c r="F408" s="250">
        <f>ROW()-ROW(APORTACIONESOCIOS[[#Headers],[SECUENCIA]])</f>
        <v>404</v>
      </c>
      <c r="G408" s="120">
        <v>45703</v>
      </c>
      <c r="H408" s="3">
        <v>10</v>
      </c>
      <c r="I408" s="198">
        <v>15</v>
      </c>
      <c r="J408" s="184" t="s">
        <v>22</v>
      </c>
      <c r="K408" s="188"/>
    </row>
    <row r="409" spans="6:11" x14ac:dyDescent="0.3">
      <c r="F409" s="250">
        <f>ROW()-ROW(APORTACIONESOCIOS[[#Headers],[SECUENCIA]])</f>
        <v>405</v>
      </c>
      <c r="G409" s="120">
        <v>45703</v>
      </c>
      <c r="H409" s="3">
        <v>10</v>
      </c>
      <c r="I409" s="198">
        <v>16</v>
      </c>
      <c r="J409" s="184" t="s">
        <v>23</v>
      </c>
      <c r="K409" s="188"/>
    </row>
    <row r="410" spans="6:11" x14ac:dyDescent="0.3">
      <c r="F410" s="250">
        <f>ROW()-ROW(APORTACIONESOCIOS[[#Headers],[SECUENCIA]])</f>
        <v>406</v>
      </c>
      <c r="G410" s="133">
        <v>45731</v>
      </c>
      <c r="H410" s="3">
        <v>10</v>
      </c>
      <c r="I410" s="198">
        <v>3</v>
      </c>
      <c r="J410" s="184" t="s">
        <v>13</v>
      </c>
      <c r="K410" s="188"/>
    </row>
    <row r="411" spans="6:11" x14ac:dyDescent="0.3">
      <c r="F411" s="250">
        <f>ROW()-ROW(APORTACIONESOCIOS[[#Headers],[SECUENCIA]])</f>
        <v>407</v>
      </c>
      <c r="G411" s="120">
        <v>45731</v>
      </c>
      <c r="H411" s="3">
        <v>10</v>
      </c>
      <c r="I411" s="198">
        <v>4</v>
      </c>
      <c r="J411" s="184" t="s">
        <v>12</v>
      </c>
      <c r="K411" s="188"/>
    </row>
    <row r="412" spans="6:11" x14ac:dyDescent="0.3">
      <c r="F412" s="250">
        <f>ROW()-ROW(APORTACIONESOCIOS[[#Headers],[SECUENCIA]])</f>
        <v>408</v>
      </c>
      <c r="G412" s="120">
        <v>45731</v>
      </c>
      <c r="H412" s="3">
        <v>10</v>
      </c>
      <c r="I412" s="198">
        <v>5</v>
      </c>
      <c r="J412" s="184" t="s">
        <v>14</v>
      </c>
      <c r="K412" s="188"/>
    </row>
    <row r="413" spans="6:11" x14ac:dyDescent="0.3">
      <c r="F413" s="250">
        <f>ROW()-ROW(APORTACIONESOCIOS[[#Headers],[SECUENCIA]])</f>
        <v>409</v>
      </c>
      <c r="G413" s="120">
        <v>45731</v>
      </c>
      <c r="H413" s="3">
        <v>10</v>
      </c>
      <c r="I413" s="198">
        <v>6</v>
      </c>
      <c r="J413" s="184" t="s">
        <v>24</v>
      </c>
      <c r="K413" s="188"/>
    </row>
    <row r="414" spans="6:11" x14ac:dyDescent="0.3">
      <c r="F414" s="250">
        <f>ROW()-ROW(APORTACIONESOCIOS[[#Headers],[SECUENCIA]])</f>
        <v>410</v>
      </c>
      <c r="G414" s="120">
        <v>45731</v>
      </c>
      <c r="H414" s="3">
        <v>10</v>
      </c>
      <c r="I414" s="198">
        <v>7</v>
      </c>
      <c r="J414" s="184" t="s">
        <v>15</v>
      </c>
      <c r="K414" s="188"/>
    </row>
    <row r="415" spans="6:11" x14ac:dyDescent="0.3">
      <c r="F415" s="250">
        <f>ROW()-ROW(APORTACIONESOCIOS[[#Headers],[SECUENCIA]])</f>
        <v>411</v>
      </c>
      <c r="G415" s="120">
        <v>45731</v>
      </c>
      <c r="H415" s="3">
        <v>10</v>
      </c>
      <c r="I415" s="198">
        <v>8</v>
      </c>
      <c r="J415" s="184" t="s">
        <v>16</v>
      </c>
      <c r="K415" s="188"/>
    </row>
    <row r="416" spans="6:11" x14ac:dyDescent="0.3">
      <c r="F416" s="250">
        <f>ROW()-ROW(APORTACIONESOCIOS[[#Headers],[SECUENCIA]])</f>
        <v>412</v>
      </c>
      <c r="G416" s="120">
        <v>45731</v>
      </c>
      <c r="H416" s="3">
        <v>10</v>
      </c>
      <c r="I416" s="198">
        <v>9</v>
      </c>
      <c r="J416" s="184" t="s">
        <v>17</v>
      </c>
      <c r="K416" s="188"/>
    </row>
    <row r="417" spans="6:11" x14ac:dyDescent="0.3">
      <c r="F417" s="250">
        <f>ROW()-ROW(APORTACIONESOCIOS[[#Headers],[SECUENCIA]])</f>
        <v>413</v>
      </c>
      <c r="G417" s="120">
        <v>45731</v>
      </c>
      <c r="H417" s="3">
        <v>10</v>
      </c>
      <c r="I417" s="198">
        <v>10</v>
      </c>
      <c r="J417" s="184" t="s">
        <v>18</v>
      </c>
      <c r="K417" s="188"/>
    </row>
    <row r="418" spans="6:11" x14ac:dyDescent="0.3">
      <c r="F418" s="250">
        <f>ROW()-ROW(APORTACIONESOCIOS[[#Headers],[SECUENCIA]])</f>
        <v>414</v>
      </c>
      <c r="G418" s="120">
        <v>45731</v>
      </c>
      <c r="H418" s="3">
        <v>10</v>
      </c>
      <c r="I418" s="198">
        <v>11</v>
      </c>
      <c r="J418" s="184" t="s">
        <v>19</v>
      </c>
      <c r="K418" s="188"/>
    </row>
    <row r="419" spans="6:11" x14ac:dyDescent="0.3">
      <c r="F419" s="250">
        <f>ROW()-ROW(APORTACIONESOCIOS[[#Headers],[SECUENCIA]])</f>
        <v>415</v>
      </c>
      <c r="G419" s="120">
        <v>45731</v>
      </c>
      <c r="H419" s="3">
        <v>10</v>
      </c>
      <c r="I419" s="198">
        <v>12</v>
      </c>
      <c r="J419" s="184" t="s">
        <v>20</v>
      </c>
      <c r="K419" s="188"/>
    </row>
    <row r="420" spans="6:11" x14ac:dyDescent="0.3">
      <c r="F420" s="250">
        <f>ROW()-ROW(APORTACIONESOCIOS[[#Headers],[SECUENCIA]])</f>
        <v>416</v>
      </c>
      <c r="G420" s="120">
        <v>45731</v>
      </c>
      <c r="H420" s="3">
        <v>10</v>
      </c>
      <c r="I420" s="198">
        <v>14</v>
      </c>
      <c r="J420" s="184" t="s">
        <v>21</v>
      </c>
      <c r="K420" s="188"/>
    </row>
    <row r="421" spans="6:11" x14ac:dyDescent="0.3">
      <c r="F421" s="250">
        <f>ROW()-ROW(APORTACIONESOCIOS[[#Headers],[SECUENCIA]])</f>
        <v>417</v>
      </c>
      <c r="G421" s="120">
        <v>45731</v>
      </c>
      <c r="H421" s="3">
        <v>10</v>
      </c>
      <c r="I421" s="198">
        <v>15</v>
      </c>
      <c r="J421" s="184" t="s">
        <v>22</v>
      </c>
      <c r="K421" s="188"/>
    </row>
    <row r="422" spans="6:11" x14ac:dyDescent="0.3">
      <c r="F422" s="250">
        <f>ROW()-ROW(APORTACIONESOCIOS[[#Headers],[SECUENCIA]])</f>
        <v>418</v>
      </c>
      <c r="G422" s="120">
        <v>45731</v>
      </c>
      <c r="H422" s="3">
        <v>10</v>
      </c>
      <c r="I422" s="198">
        <v>16</v>
      </c>
      <c r="J422" s="184" t="s">
        <v>23</v>
      </c>
      <c r="K422" s="188"/>
    </row>
    <row r="423" spans="6:11" x14ac:dyDescent="0.3">
      <c r="F423" s="250">
        <f>ROW()-ROW(APORTACIONESOCIOS[[#Headers],[SECUENCIA]])</f>
        <v>419</v>
      </c>
      <c r="G423" s="120">
        <v>45762</v>
      </c>
      <c r="H423" s="3">
        <v>10</v>
      </c>
      <c r="I423" s="198">
        <v>3</v>
      </c>
      <c r="J423" s="184" t="s">
        <v>13</v>
      </c>
      <c r="K423" s="188"/>
    </row>
    <row r="424" spans="6:11" x14ac:dyDescent="0.3">
      <c r="F424" s="250">
        <f>ROW()-ROW(APORTACIONESOCIOS[[#Headers],[SECUENCIA]])</f>
        <v>420</v>
      </c>
      <c r="G424" s="120">
        <v>45762</v>
      </c>
      <c r="H424" s="3">
        <v>10</v>
      </c>
      <c r="I424" s="198">
        <v>4</v>
      </c>
      <c r="J424" s="184" t="s">
        <v>12</v>
      </c>
      <c r="K424" s="188"/>
    </row>
    <row r="425" spans="6:11" x14ac:dyDescent="0.3">
      <c r="F425" s="250">
        <f>ROW()-ROW(APORTACIONESOCIOS[[#Headers],[SECUENCIA]])</f>
        <v>421</v>
      </c>
      <c r="G425" s="120">
        <v>45762</v>
      </c>
      <c r="H425" s="3">
        <v>10</v>
      </c>
      <c r="I425" s="198">
        <v>5</v>
      </c>
      <c r="J425" s="184" t="s">
        <v>14</v>
      </c>
      <c r="K425" s="188"/>
    </row>
    <row r="426" spans="6:11" x14ac:dyDescent="0.3">
      <c r="F426" s="250">
        <f>ROW()-ROW(APORTACIONESOCIOS[[#Headers],[SECUENCIA]])</f>
        <v>422</v>
      </c>
      <c r="G426" s="120">
        <v>45762</v>
      </c>
      <c r="H426" s="3">
        <v>10</v>
      </c>
      <c r="I426" s="198">
        <v>6</v>
      </c>
      <c r="J426" s="184" t="s">
        <v>24</v>
      </c>
      <c r="K426" s="188"/>
    </row>
    <row r="427" spans="6:11" x14ac:dyDescent="0.3">
      <c r="F427" s="250">
        <f>ROW()-ROW(APORTACIONESOCIOS[[#Headers],[SECUENCIA]])</f>
        <v>423</v>
      </c>
      <c r="G427" s="120">
        <v>45762</v>
      </c>
      <c r="H427" s="3">
        <v>10</v>
      </c>
      <c r="I427" s="198">
        <v>7</v>
      </c>
      <c r="J427" s="184" t="s">
        <v>15</v>
      </c>
      <c r="K427" s="188"/>
    </row>
    <row r="428" spans="6:11" x14ac:dyDescent="0.3">
      <c r="F428" s="250">
        <f>ROW()-ROW(APORTACIONESOCIOS[[#Headers],[SECUENCIA]])</f>
        <v>424</v>
      </c>
      <c r="G428" s="120">
        <v>45762</v>
      </c>
      <c r="H428" s="3">
        <v>10</v>
      </c>
      <c r="I428" s="198">
        <v>8</v>
      </c>
      <c r="J428" s="184" t="s">
        <v>16</v>
      </c>
      <c r="K428" s="188"/>
    </row>
    <row r="429" spans="6:11" x14ac:dyDescent="0.3">
      <c r="F429" s="250">
        <f>ROW()-ROW(APORTACIONESOCIOS[[#Headers],[SECUENCIA]])</f>
        <v>425</v>
      </c>
      <c r="G429" s="120">
        <v>45762</v>
      </c>
      <c r="H429" s="3">
        <v>10</v>
      </c>
      <c r="I429" s="198">
        <v>9</v>
      </c>
      <c r="J429" s="184" t="s">
        <v>17</v>
      </c>
      <c r="K429" s="188"/>
    </row>
    <row r="430" spans="6:11" x14ac:dyDescent="0.3">
      <c r="F430" s="250">
        <f>ROW()-ROW(APORTACIONESOCIOS[[#Headers],[SECUENCIA]])</f>
        <v>426</v>
      </c>
      <c r="G430" s="120">
        <v>45762</v>
      </c>
      <c r="H430" s="3">
        <v>10</v>
      </c>
      <c r="I430" s="198">
        <v>10</v>
      </c>
      <c r="J430" s="184" t="s">
        <v>18</v>
      </c>
      <c r="K430" s="188"/>
    </row>
    <row r="431" spans="6:11" x14ac:dyDescent="0.3">
      <c r="F431" s="250">
        <f>ROW()-ROW(APORTACIONESOCIOS[[#Headers],[SECUENCIA]])</f>
        <v>427</v>
      </c>
      <c r="G431" s="120">
        <v>45762</v>
      </c>
      <c r="H431" s="3">
        <v>10</v>
      </c>
      <c r="I431" s="198">
        <v>11</v>
      </c>
      <c r="J431" s="184" t="s">
        <v>19</v>
      </c>
      <c r="K431" s="188"/>
    </row>
    <row r="432" spans="6:11" x14ac:dyDescent="0.3">
      <c r="F432" s="250">
        <f>ROW()-ROW(APORTACIONESOCIOS[[#Headers],[SECUENCIA]])</f>
        <v>428</v>
      </c>
      <c r="G432" s="120">
        <v>45762</v>
      </c>
      <c r="H432" s="3">
        <v>10</v>
      </c>
      <c r="I432" s="198">
        <v>12</v>
      </c>
      <c r="J432" s="184" t="s">
        <v>20</v>
      </c>
      <c r="K432" s="188"/>
    </row>
    <row r="433" spans="6:11" x14ac:dyDescent="0.3">
      <c r="F433" s="250">
        <f>ROW()-ROW(APORTACIONESOCIOS[[#Headers],[SECUENCIA]])</f>
        <v>429</v>
      </c>
      <c r="G433" s="120">
        <v>45762</v>
      </c>
      <c r="H433" s="3">
        <v>110</v>
      </c>
      <c r="I433" s="198">
        <v>13</v>
      </c>
      <c r="J433" s="184" t="s">
        <v>339</v>
      </c>
      <c r="K433" s="188"/>
    </row>
    <row r="434" spans="6:11" x14ac:dyDescent="0.3">
      <c r="F434" s="250">
        <f>ROW()-ROW(APORTACIONESOCIOS[[#Headers],[SECUENCIA]])</f>
        <v>430</v>
      </c>
      <c r="G434" s="120">
        <v>45762</v>
      </c>
      <c r="H434" s="3">
        <v>10</v>
      </c>
      <c r="I434" s="198">
        <v>14</v>
      </c>
      <c r="J434" s="184" t="s">
        <v>21</v>
      </c>
      <c r="K434" s="188"/>
    </row>
    <row r="435" spans="6:11" x14ac:dyDescent="0.3">
      <c r="F435" s="250">
        <f>ROW()-ROW(APORTACIONESOCIOS[[#Headers],[SECUENCIA]])</f>
        <v>431</v>
      </c>
      <c r="G435" s="120">
        <v>45762</v>
      </c>
      <c r="H435" s="3">
        <v>10</v>
      </c>
      <c r="I435" s="198">
        <v>15</v>
      </c>
      <c r="J435" s="184" t="s">
        <v>22</v>
      </c>
      <c r="K435" s="188"/>
    </row>
    <row r="436" spans="6:11" x14ac:dyDescent="0.3">
      <c r="F436" s="250">
        <f>ROW()-ROW(APORTACIONESOCIOS[[#Headers],[SECUENCIA]])</f>
        <v>432</v>
      </c>
      <c r="G436" s="120">
        <v>45762</v>
      </c>
      <c r="H436" s="3">
        <v>10</v>
      </c>
      <c r="I436" s="198">
        <v>16</v>
      </c>
      <c r="J436" s="184" t="s">
        <v>23</v>
      </c>
      <c r="K436" s="188"/>
    </row>
    <row r="437" spans="6:11" x14ac:dyDescent="0.3">
      <c r="F437" s="250">
        <f>ROW()-ROW(APORTACIONESOCIOS[[#Headers],[SECUENCIA]])</f>
        <v>433</v>
      </c>
      <c r="G437" s="120">
        <v>45762</v>
      </c>
      <c r="H437" s="3">
        <v>330</v>
      </c>
      <c r="I437" s="198">
        <v>17</v>
      </c>
      <c r="J437" s="184" t="s">
        <v>337</v>
      </c>
      <c r="K437" s="188"/>
    </row>
    <row r="438" spans="6:11" x14ac:dyDescent="0.3">
      <c r="F438" s="251">
        <f>ROW()-ROW(APORTACIONESOCIOS[[#Headers],[SECUENCIA]])</f>
        <v>434</v>
      </c>
      <c r="G438" s="120">
        <v>45762</v>
      </c>
      <c r="H438" s="3">
        <v>80</v>
      </c>
      <c r="I438" s="199">
        <v>18</v>
      </c>
      <c r="J438" s="189" t="s">
        <v>338</v>
      </c>
      <c r="K438" s="190"/>
    </row>
    <row r="439" spans="6:11" x14ac:dyDescent="0.3">
      <c r="F439" s="250">
        <f>ROW()-ROW(APORTACIONESOCIOS[[#Headers],[SECUENCIA]])</f>
        <v>435</v>
      </c>
      <c r="G439" s="120">
        <v>45792</v>
      </c>
      <c r="H439" s="3">
        <v>10</v>
      </c>
      <c r="I439" s="198">
        <v>3</v>
      </c>
      <c r="J439" s="184" t="s">
        <v>13</v>
      </c>
      <c r="K439" s="188"/>
    </row>
    <row r="440" spans="6:11" x14ac:dyDescent="0.3">
      <c r="F440" s="250">
        <f>ROW()-ROW(APORTACIONESOCIOS[[#Headers],[SECUENCIA]])</f>
        <v>436</v>
      </c>
      <c r="G440" s="120">
        <v>45792</v>
      </c>
      <c r="H440" s="3">
        <v>10</v>
      </c>
      <c r="I440" s="198">
        <v>4</v>
      </c>
      <c r="J440" s="184" t="s">
        <v>12</v>
      </c>
      <c r="K440" s="188"/>
    </row>
    <row r="441" spans="6:11" x14ac:dyDescent="0.3">
      <c r="F441" s="250">
        <f>ROW()-ROW(APORTACIONESOCIOS[[#Headers],[SECUENCIA]])</f>
        <v>437</v>
      </c>
      <c r="G441" s="120">
        <v>45792</v>
      </c>
      <c r="H441" s="3">
        <v>10</v>
      </c>
      <c r="I441" s="198">
        <v>5</v>
      </c>
      <c r="J441" s="184" t="s">
        <v>14</v>
      </c>
      <c r="K441" s="188"/>
    </row>
    <row r="442" spans="6:11" x14ac:dyDescent="0.3">
      <c r="F442" s="250">
        <f>ROW()-ROW(APORTACIONESOCIOS[[#Headers],[SECUENCIA]])</f>
        <v>438</v>
      </c>
      <c r="G442" s="120">
        <v>45792</v>
      </c>
      <c r="H442" s="3">
        <v>10</v>
      </c>
      <c r="I442" s="198">
        <v>6</v>
      </c>
      <c r="J442" s="184" t="s">
        <v>24</v>
      </c>
      <c r="K442" s="188"/>
    </row>
    <row r="443" spans="6:11" x14ac:dyDescent="0.3">
      <c r="F443" s="250">
        <f>ROW()-ROW(APORTACIONESOCIOS[[#Headers],[SECUENCIA]])</f>
        <v>439</v>
      </c>
      <c r="G443" s="120">
        <v>45792</v>
      </c>
      <c r="H443" s="3">
        <v>10</v>
      </c>
      <c r="I443" s="198">
        <v>7</v>
      </c>
      <c r="J443" s="184" t="s">
        <v>15</v>
      </c>
      <c r="K443" s="188"/>
    </row>
    <row r="444" spans="6:11" x14ac:dyDescent="0.3">
      <c r="F444" s="250">
        <f>ROW()-ROW(APORTACIONESOCIOS[[#Headers],[SECUENCIA]])</f>
        <v>440</v>
      </c>
      <c r="G444" s="120">
        <v>45792</v>
      </c>
      <c r="H444" s="3">
        <v>10</v>
      </c>
      <c r="I444" s="198">
        <v>8</v>
      </c>
      <c r="J444" s="184" t="s">
        <v>16</v>
      </c>
      <c r="K444" s="188"/>
    </row>
    <row r="445" spans="6:11" x14ac:dyDescent="0.3">
      <c r="F445" s="250">
        <f>ROW()-ROW(APORTACIONESOCIOS[[#Headers],[SECUENCIA]])</f>
        <v>441</v>
      </c>
      <c r="G445" s="120">
        <v>45792</v>
      </c>
      <c r="H445" s="3">
        <v>10</v>
      </c>
      <c r="I445" s="198">
        <v>9</v>
      </c>
      <c r="J445" s="184" t="s">
        <v>17</v>
      </c>
      <c r="K445" s="188"/>
    </row>
    <row r="446" spans="6:11" x14ac:dyDescent="0.3">
      <c r="F446" s="250">
        <f>ROW()-ROW(APORTACIONESOCIOS[[#Headers],[SECUENCIA]])</f>
        <v>442</v>
      </c>
      <c r="G446" s="120">
        <v>45792</v>
      </c>
      <c r="H446" s="3">
        <v>10</v>
      </c>
      <c r="I446" s="198">
        <v>10</v>
      </c>
      <c r="J446" s="184" t="s">
        <v>18</v>
      </c>
      <c r="K446" s="188"/>
    </row>
    <row r="447" spans="6:11" x14ac:dyDescent="0.3">
      <c r="F447" s="250">
        <f>ROW()-ROW(APORTACIONESOCIOS[[#Headers],[SECUENCIA]])</f>
        <v>443</v>
      </c>
      <c r="G447" s="120">
        <v>45792</v>
      </c>
      <c r="H447" s="3">
        <v>10</v>
      </c>
      <c r="I447" s="198">
        <v>11</v>
      </c>
      <c r="J447" s="184" t="s">
        <v>19</v>
      </c>
      <c r="K447" s="188"/>
    </row>
    <row r="448" spans="6:11" x14ac:dyDescent="0.3">
      <c r="F448" s="250">
        <f>ROW()-ROW(APORTACIONESOCIOS[[#Headers],[SECUENCIA]])</f>
        <v>444</v>
      </c>
      <c r="G448" s="120">
        <v>45792</v>
      </c>
      <c r="H448" s="3">
        <v>10</v>
      </c>
      <c r="I448" s="198">
        <v>12</v>
      </c>
      <c r="J448" s="184" t="s">
        <v>20</v>
      </c>
      <c r="K448" s="188"/>
    </row>
    <row r="449" spans="6:11" x14ac:dyDescent="0.3">
      <c r="F449" s="250">
        <f>ROW()-ROW(APORTACIONESOCIOS[[#Headers],[SECUENCIA]])</f>
        <v>445</v>
      </c>
      <c r="G449" s="120">
        <v>45792</v>
      </c>
      <c r="H449" s="3">
        <v>120</v>
      </c>
      <c r="I449" s="198">
        <v>13</v>
      </c>
      <c r="J449" s="184" t="s">
        <v>339</v>
      </c>
      <c r="K449" s="188"/>
    </row>
    <row r="450" spans="6:11" x14ac:dyDescent="0.3">
      <c r="F450" s="250">
        <f>ROW()-ROW(APORTACIONESOCIOS[[#Headers],[SECUENCIA]])</f>
        <v>446</v>
      </c>
      <c r="G450" s="120">
        <v>45792</v>
      </c>
      <c r="H450" s="3">
        <v>10</v>
      </c>
      <c r="I450" s="198">
        <v>14</v>
      </c>
      <c r="J450" s="184" t="s">
        <v>21</v>
      </c>
      <c r="K450" s="188"/>
    </row>
    <row r="451" spans="6:11" x14ac:dyDescent="0.3">
      <c r="F451" s="250">
        <f>ROW()-ROW(APORTACIONESOCIOS[[#Headers],[SECUENCIA]])</f>
        <v>447</v>
      </c>
      <c r="G451" s="120">
        <v>45792</v>
      </c>
      <c r="H451" s="3">
        <v>10</v>
      </c>
      <c r="I451" s="198">
        <v>15</v>
      </c>
      <c r="J451" s="184" t="s">
        <v>22</v>
      </c>
      <c r="K451" s="188"/>
    </row>
    <row r="452" spans="6:11" x14ac:dyDescent="0.3">
      <c r="F452" s="250">
        <f>ROW()-ROW(APORTACIONESOCIOS[[#Headers],[SECUENCIA]])</f>
        <v>448</v>
      </c>
      <c r="G452" s="120">
        <v>45792</v>
      </c>
      <c r="H452" s="3">
        <v>10</v>
      </c>
      <c r="I452" s="198">
        <v>16</v>
      </c>
      <c r="J452" s="184" t="s">
        <v>23</v>
      </c>
      <c r="K452" s="188"/>
    </row>
    <row r="453" spans="6:11" x14ac:dyDescent="0.3">
      <c r="F453" s="250">
        <f>ROW()-ROW(APORTACIONESOCIOS[[#Headers],[SECUENCIA]])</f>
        <v>449</v>
      </c>
      <c r="G453" s="120">
        <v>45792</v>
      </c>
      <c r="H453" s="3">
        <v>10</v>
      </c>
      <c r="I453" s="198">
        <v>17</v>
      </c>
      <c r="J453" s="184" t="s">
        <v>337</v>
      </c>
      <c r="K453" s="188"/>
    </row>
    <row r="454" spans="6:11" x14ac:dyDescent="0.3">
      <c r="F454" s="251">
        <f>ROW()-ROW(APORTACIONESOCIOS[[#Headers],[SECUENCIA]])</f>
        <v>450</v>
      </c>
      <c r="G454" s="120">
        <v>45792</v>
      </c>
      <c r="H454" s="3">
        <v>220</v>
      </c>
      <c r="I454" s="199">
        <v>18</v>
      </c>
      <c r="J454" s="189" t="s">
        <v>338</v>
      </c>
      <c r="K454" s="190"/>
    </row>
    <row r="455" spans="6:11" x14ac:dyDescent="0.3">
      <c r="F455" s="250">
        <f>ROW()-ROW(APORTACIONESOCIOS[[#Headers],[SECUENCIA]])</f>
        <v>451</v>
      </c>
      <c r="G455" s="120">
        <v>45823</v>
      </c>
      <c r="H455" s="3">
        <v>10</v>
      </c>
      <c r="I455" s="198">
        <v>3</v>
      </c>
      <c r="J455" s="184" t="s">
        <v>13</v>
      </c>
      <c r="K455" s="188"/>
    </row>
    <row r="456" spans="6:11" x14ac:dyDescent="0.3">
      <c r="F456" s="250">
        <f>ROW()-ROW(APORTACIONESOCIOS[[#Headers],[SECUENCIA]])</f>
        <v>452</v>
      </c>
      <c r="G456" s="120">
        <v>45823</v>
      </c>
      <c r="H456" s="3">
        <v>10</v>
      </c>
      <c r="I456" s="198">
        <v>4</v>
      </c>
      <c r="J456" s="184" t="s">
        <v>12</v>
      </c>
      <c r="K456" s="188"/>
    </row>
    <row r="457" spans="6:11" x14ac:dyDescent="0.3">
      <c r="F457" s="250">
        <f>ROW()-ROW(APORTACIONESOCIOS[[#Headers],[SECUENCIA]])</f>
        <v>453</v>
      </c>
      <c r="G457" s="120">
        <v>45823</v>
      </c>
      <c r="H457" s="3">
        <v>10</v>
      </c>
      <c r="I457" s="198">
        <v>5</v>
      </c>
      <c r="J457" s="184" t="s">
        <v>14</v>
      </c>
      <c r="K457" s="188"/>
    </row>
    <row r="458" spans="6:11" x14ac:dyDescent="0.3">
      <c r="F458" s="250">
        <f>ROW()-ROW(APORTACIONESOCIOS[[#Headers],[SECUENCIA]])</f>
        <v>454</v>
      </c>
      <c r="G458" s="120">
        <v>45823</v>
      </c>
      <c r="H458" s="3">
        <v>10</v>
      </c>
      <c r="I458" s="198">
        <v>6</v>
      </c>
      <c r="J458" s="184" t="s">
        <v>24</v>
      </c>
      <c r="K458" s="188"/>
    </row>
    <row r="459" spans="6:11" x14ac:dyDescent="0.3">
      <c r="F459" s="250">
        <f>ROW()-ROW(APORTACIONESOCIOS[[#Headers],[SECUENCIA]])</f>
        <v>455</v>
      </c>
      <c r="G459" s="120">
        <v>45823</v>
      </c>
      <c r="H459" s="3">
        <v>10</v>
      </c>
      <c r="I459" s="198">
        <v>7</v>
      </c>
      <c r="J459" s="184" t="s">
        <v>15</v>
      </c>
      <c r="K459" s="188"/>
    </row>
    <row r="460" spans="6:11" x14ac:dyDescent="0.3">
      <c r="F460" s="250">
        <f>ROW()-ROW(APORTACIONESOCIOS[[#Headers],[SECUENCIA]])</f>
        <v>456</v>
      </c>
      <c r="G460" s="120">
        <v>45823</v>
      </c>
      <c r="H460" s="3">
        <v>10</v>
      </c>
      <c r="I460" s="198">
        <v>8</v>
      </c>
      <c r="J460" s="184" t="s">
        <v>16</v>
      </c>
      <c r="K460" s="188"/>
    </row>
    <row r="461" spans="6:11" x14ac:dyDescent="0.3">
      <c r="F461" s="250">
        <f>ROW()-ROW(APORTACIONESOCIOS[[#Headers],[SECUENCIA]])</f>
        <v>457</v>
      </c>
      <c r="G461" s="120">
        <v>45823</v>
      </c>
      <c r="H461" s="3">
        <v>10</v>
      </c>
      <c r="I461" s="198">
        <v>9</v>
      </c>
      <c r="J461" s="184" t="s">
        <v>17</v>
      </c>
      <c r="K461" s="188"/>
    </row>
    <row r="462" spans="6:11" x14ac:dyDescent="0.3">
      <c r="F462" s="250">
        <f>ROW()-ROW(APORTACIONESOCIOS[[#Headers],[SECUENCIA]])</f>
        <v>458</v>
      </c>
      <c r="G462" s="120">
        <v>45823</v>
      </c>
      <c r="H462" s="3">
        <v>10</v>
      </c>
      <c r="I462" s="198">
        <v>10</v>
      </c>
      <c r="J462" s="184" t="s">
        <v>18</v>
      </c>
      <c r="K462" s="188"/>
    </row>
    <row r="463" spans="6:11" x14ac:dyDescent="0.3">
      <c r="F463" s="250">
        <f>ROW()-ROW(APORTACIONESOCIOS[[#Headers],[SECUENCIA]])</f>
        <v>459</v>
      </c>
      <c r="G463" s="120">
        <v>45823</v>
      </c>
      <c r="H463" s="3">
        <v>10</v>
      </c>
      <c r="I463" s="198">
        <v>11</v>
      </c>
      <c r="J463" s="184" t="s">
        <v>19</v>
      </c>
      <c r="K463" s="188"/>
    </row>
    <row r="464" spans="6:11" x14ac:dyDescent="0.3">
      <c r="F464" s="250">
        <f>ROW()-ROW(APORTACIONESOCIOS[[#Headers],[SECUENCIA]])</f>
        <v>460</v>
      </c>
      <c r="G464" s="120">
        <v>45823</v>
      </c>
      <c r="H464" s="3">
        <v>10</v>
      </c>
      <c r="I464" s="198">
        <v>12</v>
      </c>
      <c r="J464" s="184" t="s">
        <v>20</v>
      </c>
      <c r="K464" s="188"/>
    </row>
    <row r="465" spans="6:11" x14ac:dyDescent="0.3">
      <c r="F465" s="250">
        <f>ROW()-ROW(APORTACIONESOCIOS[[#Headers],[SECUENCIA]])</f>
        <v>461</v>
      </c>
      <c r="G465" s="120">
        <v>45823</v>
      </c>
      <c r="H465" s="3">
        <v>10</v>
      </c>
      <c r="I465" s="198">
        <v>13</v>
      </c>
      <c r="J465" s="184" t="s">
        <v>339</v>
      </c>
      <c r="K465" s="188"/>
    </row>
    <row r="466" spans="6:11" x14ac:dyDescent="0.3">
      <c r="F466" s="250">
        <f>ROW()-ROW(APORTACIONESOCIOS[[#Headers],[SECUENCIA]])</f>
        <v>462</v>
      </c>
      <c r="G466" s="120">
        <v>45823</v>
      </c>
      <c r="H466" s="3">
        <v>10</v>
      </c>
      <c r="I466" s="198">
        <v>14</v>
      </c>
      <c r="J466" s="184" t="s">
        <v>21</v>
      </c>
      <c r="K466" s="188"/>
    </row>
    <row r="467" spans="6:11" x14ac:dyDescent="0.3">
      <c r="F467" s="250">
        <f>ROW()-ROW(APORTACIONESOCIOS[[#Headers],[SECUENCIA]])</f>
        <v>463</v>
      </c>
      <c r="G467" s="120">
        <v>45823</v>
      </c>
      <c r="H467" s="3">
        <v>10</v>
      </c>
      <c r="I467" s="198">
        <v>15</v>
      </c>
      <c r="J467" s="184" t="s">
        <v>22</v>
      </c>
      <c r="K467" s="188"/>
    </row>
    <row r="468" spans="6:11" x14ac:dyDescent="0.3">
      <c r="F468" s="250">
        <f>ROW()-ROW(APORTACIONESOCIOS[[#Headers],[SECUENCIA]])</f>
        <v>464</v>
      </c>
      <c r="G468" s="120">
        <v>45823</v>
      </c>
      <c r="H468" s="3">
        <v>10</v>
      </c>
      <c r="I468" s="198">
        <v>16</v>
      </c>
      <c r="J468" s="184" t="s">
        <v>23</v>
      </c>
      <c r="K468" s="188"/>
    </row>
    <row r="469" spans="6:11" x14ac:dyDescent="0.3">
      <c r="F469" s="250">
        <f>ROW()-ROW(APORTACIONESOCIOS[[#Headers],[SECUENCIA]])</f>
        <v>465</v>
      </c>
      <c r="G469" s="120">
        <v>45823</v>
      </c>
      <c r="H469" s="3">
        <v>10</v>
      </c>
      <c r="I469" s="198">
        <v>17</v>
      </c>
      <c r="J469" s="184" t="s">
        <v>337</v>
      </c>
      <c r="K469" s="188"/>
    </row>
    <row r="470" spans="6:11" x14ac:dyDescent="0.3">
      <c r="F470" s="251">
        <f>ROW()-ROW(APORTACIONESOCIOS[[#Headers],[SECUENCIA]])</f>
        <v>466</v>
      </c>
      <c r="G470" s="120">
        <v>45823</v>
      </c>
      <c r="H470" s="3">
        <v>10</v>
      </c>
      <c r="I470" s="199">
        <v>18</v>
      </c>
      <c r="J470" s="189" t="s">
        <v>338</v>
      </c>
      <c r="K470" s="190"/>
    </row>
    <row r="471" spans="6:11" x14ac:dyDescent="0.3">
      <c r="F471" s="250">
        <f>ROW()-ROW(APORTACIONESOCIOS[[#Headers],[SECUENCIA]])</f>
        <v>467</v>
      </c>
      <c r="G471" s="120">
        <v>45853</v>
      </c>
      <c r="H471" s="3">
        <v>10</v>
      </c>
      <c r="I471" s="198">
        <v>3</v>
      </c>
      <c r="J471" s="184" t="s">
        <v>13</v>
      </c>
      <c r="K471" s="188"/>
    </row>
    <row r="472" spans="6:11" x14ac:dyDescent="0.3">
      <c r="F472" s="250">
        <f>ROW()-ROW(APORTACIONESOCIOS[[#Headers],[SECUENCIA]])</f>
        <v>468</v>
      </c>
      <c r="G472" s="120">
        <v>45853</v>
      </c>
      <c r="H472" s="3">
        <v>10</v>
      </c>
      <c r="I472" s="198">
        <v>4</v>
      </c>
      <c r="J472" s="184" t="s">
        <v>12</v>
      </c>
      <c r="K472" s="188"/>
    </row>
    <row r="473" spans="6:11" x14ac:dyDescent="0.3">
      <c r="F473" s="250">
        <f>ROW()-ROW(APORTACIONESOCIOS[[#Headers],[SECUENCIA]])</f>
        <v>469</v>
      </c>
      <c r="G473" s="120">
        <v>45853</v>
      </c>
      <c r="H473" s="3">
        <v>10</v>
      </c>
      <c r="I473" s="198">
        <v>5</v>
      </c>
      <c r="J473" s="184" t="s">
        <v>14</v>
      </c>
      <c r="K473" s="188"/>
    </row>
    <row r="474" spans="6:11" x14ac:dyDescent="0.3">
      <c r="F474" s="250">
        <f>ROW()-ROW(APORTACIONESOCIOS[[#Headers],[SECUENCIA]])</f>
        <v>470</v>
      </c>
      <c r="G474" s="120">
        <v>45853</v>
      </c>
      <c r="H474" s="3">
        <v>10</v>
      </c>
      <c r="I474" s="198">
        <v>6</v>
      </c>
      <c r="J474" s="184" t="s">
        <v>24</v>
      </c>
      <c r="K474" s="188"/>
    </row>
    <row r="475" spans="6:11" x14ac:dyDescent="0.3">
      <c r="F475" s="250">
        <f>ROW()-ROW(APORTACIONESOCIOS[[#Headers],[SECUENCIA]])</f>
        <v>471</v>
      </c>
      <c r="G475" s="120">
        <v>45853</v>
      </c>
      <c r="H475" s="3">
        <v>10</v>
      </c>
      <c r="I475" s="198">
        <v>7</v>
      </c>
      <c r="J475" s="184" t="s">
        <v>15</v>
      </c>
      <c r="K475" s="188"/>
    </row>
    <row r="476" spans="6:11" x14ac:dyDescent="0.3">
      <c r="F476" s="250">
        <f>ROW()-ROW(APORTACIONESOCIOS[[#Headers],[SECUENCIA]])</f>
        <v>472</v>
      </c>
      <c r="G476" s="120">
        <v>45853</v>
      </c>
      <c r="H476" s="3">
        <v>10</v>
      </c>
      <c r="I476" s="198">
        <v>8</v>
      </c>
      <c r="J476" s="184" t="s">
        <v>16</v>
      </c>
      <c r="K476" s="188"/>
    </row>
    <row r="477" spans="6:11" x14ac:dyDescent="0.3">
      <c r="F477" s="250">
        <f>ROW()-ROW(APORTACIONESOCIOS[[#Headers],[SECUENCIA]])</f>
        <v>473</v>
      </c>
      <c r="G477" s="120">
        <v>45853</v>
      </c>
      <c r="H477" s="3">
        <v>10</v>
      </c>
      <c r="I477" s="198">
        <v>9</v>
      </c>
      <c r="J477" s="184" t="s">
        <v>17</v>
      </c>
      <c r="K477" s="188"/>
    </row>
    <row r="478" spans="6:11" x14ac:dyDescent="0.3">
      <c r="F478" s="250">
        <f>ROW()-ROW(APORTACIONESOCIOS[[#Headers],[SECUENCIA]])</f>
        <v>474</v>
      </c>
      <c r="G478" s="120">
        <v>45853</v>
      </c>
      <c r="H478" s="3">
        <v>10</v>
      </c>
      <c r="I478" s="198">
        <v>10</v>
      </c>
      <c r="J478" s="184" t="s">
        <v>18</v>
      </c>
      <c r="K478" s="188"/>
    </row>
    <row r="479" spans="6:11" x14ac:dyDescent="0.3">
      <c r="F479" s="250">
        <f>ROW()-ROW(APORTACIONESOCIOS[[#Headers],[SECUENCIA]])</f>
        <v>475</v>
      </c>
      <c r="G479" s="120">
        <v>45853</v>
      </c>
      <c r="H479" s="3">
        <v>10</v>
      </c>
      <c r="I479" s="198">
        <v>11</v>
      </c>
      <c r="J479" s="184" t="s">
        <v>19</v>
      </c>
      <c r="K479" s="188"/>
    </row>
    <row r="480" spans="6:11" x14ac:dyDescent="0.3">
      <c r="F480" s="250">
        <f>ROW()-ROW(APORTACIONESOCIOS[[#Headers],[SECUENCIA]])</f>
        <v>476</v>
      </c>
      <c r="G480" s="120">
        <v>45853</v>
      </c>
      <c r="H480" s="3">
        <v>10</v>
      </c>
      <c r="I480" s="198">
        <v>12</v>
      </c>
      <c r="J480" s="184" t="s">
        <v>20</v>
      </c>
      <c r="K480" s="188"/>
    </row>
    <row r="481" spans="6:11" x14ac:dyDescent="0.3">
      <c r="F481" s="250">
        <f>ROW()-ROW(APORTACIONESOCIOS[[#Headers],[SECUENCIA]])</f>
        <v>477</v>
      </c>
      <c r="G481" s="120">
        <v>45853</v>
      </c>
      <c r="H481" s="3">
        <v>120</v>
      </c>
      <c r="I481" s="198">
        <v>13</v>
      </c>
      <c r="J481" s="184" t="s">
        <v>339</v>
      </c>
      <c r="K481" s="188"/>
    </row>
    <row r="482" spans="6:11" x14ac:dyDescent="0.3">
      <c r="F482" s="250">
        <f>ROW()-ROW(APORTACIONESOCIOS[[#Headers],[SECUENCIA]])</f>
        <v>478</v>
      </c>
      <c r="G482" s="120">
        <v>45853</v>
      </c>
      <c r="H482" s="3">
        <v>10</v>
      </c>
      <c r="I482" s="198">
        <v>14</v>
      </c>
      <c r="J482" s="184" t="s">
        <v>21</v>
      </c>
      <c r="K482" s="188"/>
    </row>
    <row r="483" spans="6:11" x14ac:dyDescent="0.3">
      <c r="F483" s="250">
        <f>ROW()-ROW(APORTACIONESOCIOS[[#Headers],[SECUENCIA]])</f>
        <v>479</v>
      </c>
      <c r="G483" s="120">
        <v>45853</v>
      </c>
      <c r="H483" s="3">
        <v>10</v>
      </c>
      <c r="I483" s="198">
        <v>15</v>
      </c>
      <c r="J483" s="184" t="s">
        <v>22</v>
      </c>
      <c r="K483" s="188"/>
    </row>
    <row r="484" spans="6:11" x14ac:dyDescent="0.3">
      <c r="F484" s="250">
        <f>ROW()-ROW(APORTACIONESOCIOS[[#Headers],[SECUENCIA]])</f>
        <v>480</v>
      </c>
      <c r="G484" s="120">
        <v>45853</v>
      </c>
      <c r="H484" s="3">
        <v>10</v>
      </c>
      <c r="I484" s="198">
        <v>16</v>
      </c>
      <c r="J484" s="184" t="s">
        <v>23</v>
      </c>
      <c r="K484" s="188"/>
    </row>
    <row r="485" spans="6:11" x14ac:dyDescent="0.3">
      <c r="F485" s="250">
        <f>ROW()-ROW(APORTACIONESOCIOS[[#Headers],[SECUENCIA]])</f>
        <v>481</v>
      </c>
      <c r="G485" s="120">
        <v>45853</v>
      </c>
      <c r="H485" s="3">
        <v>10</v>
      </c>
      <c r="I485" s="198">
        <v>17</v>
      </c>
      <c r="J485" s="184" t="s">
        <v>337</v>
      </c>
      <c r="K485" s="188"/>
    </row>
    <row r="486" spans="6:11" x14ac:dyDescent="0.3">
      <c r="F486" s="251">
        <f>ROW()-ROW(APORTACIONESOCIOS[[#Headers],[SECUENCIA]])</f>
        <v>482</v>
      </c>
      <c r="G486" s="120">
        <v>45854</v>
      </c>
      <c r="H486" s="3">
        <v>50</v>
      </c>
      <c r="I486" s="199">
        <v>18</v>
      </c>
      <c r="J486" s="189" t="s">
        <v>338</v>
      </c>
      <c r="K486" s="190"/>
    </row>
    <row r="487" spans="6:11" x14ac:dyDescent="0.3">
      <c r="F487" s="250">
        <f>ROW()-ROW(APORTACIONESOCIOS[[#Headers],[SECUENCIA]])</f>
        <v>483</v>
      </c>
      <c r="G487" s="120">
        <v>45884</v>
      </c>
      <c r="H487" s="3">
        <v>10</v>
      </c>
      <c r="I487" s="198">
        <v>3</v>
      </c>
      <c r="J487" s="184" t="s">
        <v>13</v>
      </c>
      <c r="K487" s="188"/>
    </row>
    <row r="488" spans="6:11" x14ac:dyDescent="0.3">
      <c r="F488" s="250">
        <f>ROW()-ROW(APORTACIONESOCIOS[[#Headers],[SECUENCIA]])</f>
        <v>484</v>
      </c>
      <c r="G488" s="120">
        <v>45884</v>
      </c>
      <c r="H488" s="3">
        <v>10</v>
      </c>
      <c r="I488" s="198">
        <v>4</v>
      </c>
      <c r="J488" s="184" t="s">
        <v>12</v>
      </c>
      <c r="K488" s="188"/>
    </row>
    <row r="489" spans="6:11" x14ac:dyDescent="0.3">
      <c r="F489" s="250">
        <f>ROW()-ROW(APORTACIONESOCIOS[[#Headers],[SECUENCIA]])</f>
        <v>485</v>
      </c>
      <c r="G489" s="120">
        <v>45884</v>
      </c>
      <c r="H489" s="3">
        <v>10</v>
      </c>
      <c r="I489" s="198">
        <v>5</v>
      </c>
      <c r="J489" s="184" t="s">
        <v>14</v>
      </c>
      <c r="K489" s="188"/>
    </row>
    <row r="490" spans="6:11" x14ac:dyDescent="0.3">
      <c r="F490" s="250">
        <f>ROW()-ROW(APORTACIONESOCIOS[[#Headers],[SECUENCIA]])</f>
        <v>486</v>
      </c>
      <c r="G490" s="120">
        <v>45884</v>
      </c>
      <c r="H490" s="3">
        <v>10</v>
      </c>
      <c r="I490" s="198">
        <v>6</v>
      </c>
      <c r="J490" s="184" t="s">
        <v>24</v>
      </c>
      <c r="K490" s="188" t="s">
        <v>438</v>
      </c>
    </row>
    <row r="491" spans="6:11" x14ac:dyDescent="0.3">
      <c r="F491" s="250">
        <f>ROW()-ROW(APORTACIONESOCIOS[[#Headers],[SECUENCIA]])</f>
        <v>487</v>
      </c>
      <c r="G491" s="120">
        <v>45884</v>
      </c>
      <c r="H491" s="3">
        <v>10</v>
      </c>
      <c r="I491" s="198">
        <v>7</v>
      </c>
      <c r="J491" s="184" t="s">
        <v>15</v>
      </c>
      <c r="K491" s="188"/>
    </row>
    <row r="492" spans="6:11" x14ac:dyDescent="0.3">
      <c r="F492" s="250">
        <f>ROW()-ROW(APORTACIONESOCIOS[[#Headers],[SECUENCIA]])</f>
        <v>488</v>
      </c>
      <c r="G492" s="120">
        <v>45884</v>
      </c>
      <c r="H492" s="3">
        <v>10</v>
      </c>
      <c r="I492" s="198">
        <v>8</v>
      </c>
      <c r="J492" s="184" t="s">
        <v>16</v>
      </c>
      <c r="K492" s="188"/>
    </row>
    <row r="493" spans="6:11" x14ac:dyDescent="0.3">
      <c r="F493" s="250">
        <f>ROW()-ROW(APORTACIONESOCIOS[[#Headers],[SECUENCIA]])</f>
        <v>489</v>
      </c>
      <c r="G493" s="120">
        <v>45884</v>
      </c>
      <c r="H493" s="3">
        <v>10</v>
      </c>
      <c r="I493" s="198">
        <v>9</v>
      </c>
      <c r="J493" s="184" t="s">
        <v>17</v>
      </c>
      <c r="K493" s="188"/>
    </row>
    <row r="494" spans="6:11" x14ac:dyDescent="0.3">
      <c r="F494" s="250">
        <f>ROW()-ROW(APORTACIONESOCIOS[[#Headers],[SECUENCIA]])</f>
        <v>490</v>
      </c>
      <c r="G494" s="120">
        <v>45884</v>
      </c>
      <c r="H494" s="3">
        <v>10</v>
      </c>
      <c r="I494" s="198">
        <v>10</v>
      </c>
      <c r="J494" s="184" t="s">
        <v>18</v>
      </c>
      <c r="K494" s="188"/>
    </row>
    <row r="495" spans="6:11" x14ac:dyDescent="0.3">
      <c r="F495" s="250">
        <f>ROW()-ROW(APORTACIONESOCIOS[[#Headers],[SECUENCIA]])</f>
        <v>491</v>
      </c>
      <c r="G495" s="120">
        <v>45884</v>
      </c>
      <c r="H495" s="3">
        <v>10</v>
      </c>
      <c r="I495" s="198">
        <v>11</v>
      </c>
      <c r="J495" s="184" t="s">
        <v>19</v>
      </c>
      <c r="K495" s="188"/>
    </row>
    <row r="496" spans="6:11" x14ac:dyDescent="0.3">
      <c r="F496" s="250">
        <f>ROW()-ROW(APORTACIONESOCIOS[[#Headers],[SECUENCIA]])</f>
        <v>492</v>
      </c>
      <c r="G496" s="120">
        <v>45884</v>
      </c>
      <c r="H496" s="3">
        <v>10</v>
      </c>
      <c r="I496" s="198">
        <v>12</v>
      </c>
      <c r="J496" s="184" t="s">
        <v>20</v>
      </c>
      <c r="K496" s="188"/>
    </row>
    <row r="497" spans="6:11" x14ac:dyDescent="0.3">
      <c r="F497" s="250">
        <f>ROW()-ROW(APORTACIONESOCIOS[[#Headers],[SECUENCIA]])</f>
        <v>493</v>
      </c>
      <c r="G497" s="120">
        <v>45884</v>
      </c>
      <c r="H497" s="3">
        <v>10</v>
      </c>
      <c r="I497" s="198">
        <v>13</v>
      </c>
      <c r="J497" s="184" t="s">
        <v>339</v>
      </c>
      <c r="K497" s="188"/>
    </row>
    <row r="498" spans="6:11" x14ac:dyDescent="0.3">
      <c r="F498" s="250">
        <f>ROW()-ROW(APORTACIONESOCIOS[[#Headers],[SECUENCIA]])</f>
        <v>494</v>
      </c>
      <c r="G498" s="120">
        <v>45884</v>
      </c>
      <c r="H498" s="3">
        <v>10</v>
      </c>
      <c r="I498" s="198">
        <v>14</v>
      </c>
      <c r="J498" s="184" t="s">
        <v>21</v>
      </c>
      <c r="K498" s="188" t="s">
        <v>423</v>
      </c>
    </row>
    <row r="499" spans="6:11" x14ac:dyDescent="0.3">
      <c r="F499" s="250">
        <f>ROW()-ROW(APORTACIONESOCIOS[[#Headers],[SECUENCIA]])</f>
        <v>495</v>
      </c>
      <c r="G499" s="120">
        <v>45884</v>
      </c>
      <c r="H499" s="3">
        <v>10</v>
      </c>
      <c r="I499" s="198">
        <v>15</v>
      </c>
      <c r="J499" s="184" t="s">
        <v>22</v>
      </c>
      <c r="K499" s="188" t="s">
        <v>423</v>
      </c>
    </row>
    <row r="500" spans="6:11" x14ac:dyDescent="0.3">
      <c r="F500" s="250">
        <f>ROW()-ROW(APORTACIONESOCIOS[[#Headers],[SECUENCIA]])</f>
        <v>496</v>
      </c>
      <c r="G500" s="120">
        <v>45884</v>
      </c>
      <c r="H500" s="3">
        <v>10</v>
      </c>
      <c r="I500" s="198">
        <v>16</v>
      </c>
      <c r="J500" s="184" t="s">
        <v>23</v>
      </c>
      <c r="K500" s="188"/>
    </row>
    <row r="501" spans="6:11" x14ac:dyDescent="0.3">
      <c r="F501" s="250">
        <f>ROW()-ROW(APORTACIONESOCIOS[[#Headers],[SECUENCIA]])</f>
        <v>497</v>
      </c>
      <c r="G501" s="120">
        <v>45884</v>
      </c>
      <c r="H501" s="3">
        <v>10</v>
      </c>
      <c r="I501" s="198">
        <v>17</v>
      </c>
      <c r="J501" s="184" t="s">
        <v>337</v>
      </c>
      <c r="K501" s="188"/>
    </row>
    <row r="502" spans="6:11" x14ac:dyDescent="0.3">
      <c r="F502" s="251">
        <f>ROW()-ROW(APORTACIONESOCIOS[[#Headers],[SECUENCIA]])</f>
        <v>498</v>
      </c>
      <c r="G502" s="120">
        <v>45884</v>
      </c>
      <c r="H502" s="237">
        <v>10</v>
      </c>
      <c r="I502" s="199">
        <v>18</v>
      </c>
      <c r="J502" s="189" t="s">
        <v>338</v>
      </c>
      <c r="K502" s="190"/>
    </row>
    <row r="503" spans="6:11" x14ac:dyDescent="0.3">
      <c r="F503" s="252">
        <v>499</v>
      </c>
      <c r="G503" s="120">
        <v>45915</v>
      </c>
      <c r="H503" s="3">
        <v>10</v>
      </c>
      <c r="I503" s="198">
        <v>3</v>
      </c>
      <c r="J503" s="184" t="s">
        <v>13</v>
      </c>
      <c r="K503" s="188" t="s">
        <v>488</v>
      </c>
    </row>
    <row r="504" spans="6:11" x14ac:dyDescent="0.3">
      <c r="F504" s="252">
        <v>500</v>
      </c>
      <c r="G504" s="120">
        <v>45915</v>
      </c>
      <c r="H504" s="3">
        <v>10</v>
      </c>
      <c r="I504" s="198">
        <v>4</v>
      </c>
      <c r="J504" s="184" t="s">
        <v>12</v>
      </c>
      <c r="K504" s="188" t="s">
        <v>488</v>
      </c>
    </row>
    <row r="505" spans="6:11" x14ac:dyDescent="0.3">
      <c r="F505" s="252">
        <v>501</v>
      </c>
      <c r="G505" s="120">
        <v>45915</v>
      </c>
      <c r="H505" s="3">
        <v>10</v>
      </c>
      <c r="I505" s="198">
        <v>11</v>
      </c>
      <c r="J505" s="184" t="s">
        <v>19</v>
      </c>
      <c r="K505" s="188" t="s">
        <v>488</v>
      </c>
    </row>
    <row r="506" spans="6:11" x14ac:dyDescent="0.3">
      <c r="F506" s="252">
        <v>502</v>
      </c>
      <c r="G506" s="120">
        <v>45915</v>
      </c>
      <c r="H506" s="3">
        <v>10</v>
      </c>
      <c r="I506" s="198">
        <v>5</v>
      </c>
      <c r="J506" s="184" t="s">
        <v>14</v>
      </c>
      <c r="K506" s="188" t="s">
        <v>488</v>
      </c>
    </row>
    <row r="507" spans="6:11" x14ac:dyDescent="0.3">
      <c r="F507" s="252">
        <v>503</v>
      </c>
      <c r="G507" s="120">
        <v>45915</v>
      </c>
      <c r="H507" s="3">
        <v>10</v>
      </c>
      <c r="I507" s="198">
        <v>6</v>
      </c>
      <c r="J507" s="184" t="s">
        <v>24</v>
      </c>
      <c r="K507" s="188" t="s">
        <v>488</v>
      </c>
    </row>
    <row r="508" spans="6:11" x14ac:dyDescent="0.3">
      <c r="F508" s="252">
        <v>504</v>
      </c>
      <c r="G508" s="120">
        <v>45915</v>
      </c>
      <c r="H508" s="3">
        <v>10</v>
      </c>
      <c r="I508" s="198">
        <v>7</v>
      </c>
      <c r="J508" s="184" t="s">
        <v>403</v>
      </c>
      <c r="K508" s="188" t="s">
        <v>488</v>
      </c>
    </row>
    <row r="509" spans="6:11" x14ac:dyDescent="0.3">
      <c r="F509" s="252">
        <v>505</v>
      </c>
      <c r="G509" s="120">
        <v>45915</v>
      </c>
      <c r="H509" s="3">
        <v>10</v>
      </c>
      <c r="I509" s="198">
        <v>8</v>
      </c>
      <c r="J509" s="184" t="s">
        <v>404</v>
      </c>
      <c r="K509" s="188" t="s">
        <v>488</v>
      </c>
    </row>
    <row r="510" spans="6:11" x14ac:dyDescent="0.3">
      <c r="F510" s="252">
        <v>506</v>
      </c>
      <c r="G510" s="120">
        <v>45915</v>
      </c>
      <c r="H510" s="3">
        <v>10</v>
      </c>
      <c r="I510" s="198">
        <v>16</v>
      </c>
      <c r="J510" s="184" t="s">
        <v>23</v>
      </c>
      <c r="K510" s="188" t="s">
        <v>488</v>
      </c>
    </row>
    <row r="511" spans="6:11" x14ac:dyDescent="0.3">
      <c r="F511" s="252">
        <v>507</v>
      </c>
      <c r="G511" s="120">
        <v>45915</v>
      </c>
      <c r="H511" s="3">
        <v>0</v>
      </c>
      <c r="I511" s="198">
        <v>9</v>
      </c>
      <c r="J511" s="184" t="s">
        <v>17</v>
      </c>
      <c r="K511" s="188" t="s">
        <v>412</v>
      </c>
    </row>
    <row r="512" spans="6:11" x14ac:dyDescent="0.3">
      <c r="F512" s="252">
        <v>508</v>
      </c>
      <c r="G512" s="120">
        <v>45915</v>
      </c>
      <c r="H512" s="3">
        <v>0</v>
      </c>
      <c r="I512" s="198">
        <v>10</v>
      </c>
      <c r="J512" s="184" t="s">
        <v>18</v>
      </c>
      <c r="K512" s="188" t="s">
        <v>412</v>
      </c>
    </row>
    <row r="513" spans="6:11" x14ac:dyDescent="0.3">
      <c r="F513" s="252">
        <v>509</v>
      </c>
      <c r="G513" s="120">
        <v>45915</v>
      </c>
      <c r="H513" s="3">
        <v>10</v>
      </c>
      <c r="I513" s="198">
        <v>12</v>
      </c>
      <c r="J513" s="184" t="s">
        <v>20</v>
      </c>
      <c r="K513" s="188" t="s">
        <v>488</v>
      </c>
    </row>
    <row r="514" spans="6:11" x14ac:dyDescent="0.3">
      <c r="F514" s="252">
        <v>510</v>
      </c>
      <c r="G514" s="120">
        <v>45915</v>
      </c>
      <c r="H514" s="3">
        <v>10</v>
      </c>
      <c r="I514" s="198">
        <v>13</v>
      </c>
      <c r="J514" s="184" t="s">
        <v>339</v>
      </c>
      <c r="K514" s="188" t="s">
        <v>488</v>
      </c>
    </row>
    <row r="515" spans="6:11" x14ac:dyDescent="0.3">
      <c r="F515" s="252">
        <v>511</v>
      </c>
      <c r="G515" s="120">
        <v>45915</v>
      </c>
      <c r="H515" s="3">
        <v>10</v>
      </c>
      <c r="I515" s="198">
        <v>14</v>
      </c>
      <c r="J515" s="184" t="s">
        <v>21</v>
      </c>
      <c r="K515" s="188" t="s">
        <v>488</v>
      </c>
    </row>
    <row r="516" spans="6:11" x14ac:dyDescent="0.3">
      <c r="F516" s="252">
        <v>512</v>
      </c>
      <c r="G516" s="120">
        <v>45915</v>
      </c>
      <c r="H516" s="3">
        <v>10</v>
      </c>
      <c r="I516" s="198">
        <v>15</v>
      </c>
      <c r="J516" s="184" t="s">
        <v>22</v>
      </c>
      <c r="K516" s="188" t="s">
        <v>488</v>
      </c>
    </row>
    <row r="517" spans="6:11" x14ac:dyDescent="0.3">
      <c r="F517" s="252">
        <v>513</v>
      </c>
      <c r="G517" s="120">
        <v>45915</v>
      </c>
      <c r="H517" s="3">
        <v>10</v>
      </c>
      <c r="I517" s="198">
        <v>17</v>
      </c>
      <c r="J517" s="184" t="s">
        <v>337</v>
      </c>
      <c r="K517" s="188" t="s">
        <v>488</v>
      </c>
    </row>
    <row r="518" spans="6:11" x14ac:dyDescent="0.3">
      <c r="F518" s="252">
        <v>514</v>
      </c>
      <c r="G518" s="120">
        <v>45915</v>
      </c>
      <c r="H518" s="3">
        <v>10</v>
      </c>
      <c r="I518" s="198">
        <v>18</v>
      </c>
      <c r="J518" s="184" t="s">
        <v>338</v>
      </c>
      <c r="K518" s="188" t="s">
        <v>488</v>
      </c>
    </row>
    <row r="519" spans="6:11" x14ac:dyDescent="0.3">
      <c r="F519" s="252">
        <v>515</v>
      </c>
      <c r="G519" s="120">
        <v>45930</v>
      </c>
      <c r="H519" s="3">
        <v>10</v>
      </c>
      <c r="I519" s="198">
        <v>10</v>
      </c>
      <c r="J519" s="184" t="s">
        <v>18</v>
      </c>
      <c r="K519" s="188" t="s">
        <v>173</v>
      </c>
    </row>
    <row r="520" spans="6:11" x14ac:dyDescent="0.3">
      <c r="F520" s="252">
        <v>516</v>
      </c>
      <c r="G520" s="120">
        <v>45930</v>
      </c>
      <c r="H520" s="3">
        <v>10</v>
      </c>
      <c r="I520" s="198">
        <v>9</v>
      </c>
      <c r="J520" s="184" t="s">
        <v>17</v>
      </c>
      <c r="K520" s="188" t="s">
        <v>173</v>
      </c>
    </row>
    <row r="521" spans="6:11" x14ac:dyDescent="0.3">
      <c r="F521" s="252">
        <v>517</v>
      </c>
      <c r="G521" s="120">
        <v>45945</v>
      </c>
      <c r="H521" s="3">
        <v>10</v>
      </c>
      <c r="I521" s="198">
        <v>3</v>
      </c>
      <c r="J521" s="184" t="s">
        <v>13</v>
      </c>
      <c r="K521" s="188" t="s">
        <v>173</v>
      </c>
    </row>
    <row r="522" spans="6:11" x14ac:dyDescent="0.3">
      <c r="F522" s="252">
        <v>518</v>
      </c>
      <c r="G522" s="120">
        <v>45945</v>
      </c>
      <c r="H522" s="3">
        <v>10</v>
      </c>
      <c r="I522" s="198">
        <v>4</v>
      </c>
      <c r="J522" s="184" t="s">
        <v>12</v>
      </c>
      <c r="K522" s="188" t="s">
        <v>173</v>
      </c>
    </row>
    <row r="523" spans="6:11" x14ac:dyDescent="0.3">
      <c r="F523" s="252">
        <v>519</v>
      </c>
      <c r="G523" s="120">
        <v>45945</v>
      </c>
      <c r="H523" s="3">
        <v>10</v>
      </c>
      <c r="I523" s="198">
        <v>11</v>
      </c>
      <c r="J523" s="184" t="s">
        <v>19</v>
      </c>
      <c r="K523" s="188" t="s">
        <v>173</v>
      </c>
    </row>
    <row r="524" spans="6:11" x14ac:dyDescent="0.3">
      <c r="F524" s="252">
        <v>520</v>
      </c>
      <c r="G524" s="120">
        <v>45945</v>
      </c>
      <c r="H524" s="3">
        <v>10</v>
      </c>
      <c r="I524" s="198">
        <v>5</v>
      </c>
      <c r="J524" s="184" t="s">
        <v>14</v>
      </c>
      <c r="K524" s="188" t="s">
        <v>173</v>
      </c>
    </row>
    <row r="525" spans="6:11" x14ac:dyDescent="0.3">
      <c r="F525" s="252">
        <v>521</v>
      </c>
      <c r="G525" s="120">
        <v>45945</v>
      </c>
      <c r="H525" s="3">
        <v>10</v>
      </c>
      <c r="I525" s="198">
        <v>6</v>
      </c>
      <c r="J525" s="184" t="s">
        <v>24</v>
      </c>
      <c r="K525" s="188" t="s">
        <v>173</v>
      </c>
    </row>
    <row r="526" spans="6:11" x14ac:dyDescent="0.3">
      <c r="F526" s="252">
        <v>522</v>
      </c>
      <c r="G526" s="120">
        <v>45945</v>
      </c>
      <c r="H526" s="3">
        <v>10</v>
      </c>
      <c r="I526" s="198">
        <v>7</v>
      </c>
      <c r="J526" s="184" t="s">
        <v>403</v>
      </c>
      <c r="K526" s="188" t="s">
        <v>173</v>
      </c>
    </row>
    <row r="527" spans="6:11" x14ac:dyDescent="0.3">
      <c r="F527" s="252">
        <v>523</v>
      </c>
      <c r="G527" s="120">
        <v>45945</v>
      </c>
      <c r="H527" s="3">
        <v>10</v>
      </c>
      <c r="I527" s="198">
        <v>8</v>
      </c>
      <c r="J527" s="184" t="s">
        <v>404</v>
      </c>
      <c r="K527" s="188" t="s">
        <v>173</v>
      </c>
    </row>
    <row r="528" spans="6:11" x14ac:dyDescent="0.3">
      <c r="F528" s="252">
        <v>524</v>
      </c>
      <c r="G528" s="120">
        <v>45945</v>
      </c>
      <c r="H528" s="3">
        <v>10</v>
      </c>
      <c r="I528" s="198">
        <v>16</v>
      </c>
      <c r="J528" s="184" t="s">
        <v>503</v>
      </c>
      <c r="K528" s="188" t="s">
        <v>173</v>
      </c>
    </row>
    <row r="529" spans="6:11" x14ac:dyDescent="0.3">
      <c r="F529" s="252">
        <v>525</v>
      </c>
      <c r="G529" s="120">
        <v>45945</v>
      </c>
      <c r="H529" s="3">
        <v>10</v>
      </c>
      <c r="I529" s="198">
        <v>12</v>
      </c>
      <c r="J529" s="184" t="s">
        <v>20</v>
      </c>
      <c r="K529" s="188" t="s">
        <v>173</v>
      </c>
    </row>
    <row r="530" spans="6:11" x14ac:dyDescent="0.3">
      <c r="F530" s="252">
        <v>526</v>
      </c>
      <c r="G530" s="120">
        <v>45945</v>
      </c>
      <c r="H530" s="3">
        <v>10</v>
      </c>
      <c r="I530" s="198">
        <v>13</v>
      </c>
      <c r="J530" s="184" t="s">
        <v>339</v>
      </c>
      <c r="K530" s="188" t="s">
        <v>173</v>
      </c>
    </row>
    <row r="531" spans="6:11" x14ac:dyDescent="0.3">
      <c r="F531" s="252">
        <v>527</v>
      </c>
      <c r="G531" s="120">
        <v>45945</v>
      </c>
      <c r="H531" s="3">
        <v>10</v>
      </c>
      <c r="I531" s="198">
        <v>14</v>
      </c>
      <c r="J531" s="184" t="s">
        <v>21</v>
      </c>
      <c r="K531" s="188" t="s">
        <v>173</v>
      </c>
    </row>
    <row r="532" spans="6:11" x14ac:dyDescent="0.3">
      <c r="F532" s="252">
        <v>528</v>
      </c>
      <c r="G532" s="120">
        <v>45945</v>
      </c>
      <c r="H532" s="3">
        <v>10</v>
      </c>
      <c r="I532" s="198">
        <v>15</v>
      </c>
      <c r="J532" s="184" t="s">
        <v>22</v>
      </c>
      <c r="K532" s="188" t="s">
        <v>173</v>
      </c>
    </row>
    <row r="533" spans="6:11" x14ac:dyDescent="0.3">
      <c r="F533" s="252">
        <v>529</v>
      </c>
      <c r="G533" s="120">
        <v>45945</v>
      </c>
      <c r="H533" s="3">
        <v>10</v>
      </c>
      <c r="I533" s="198">
        <v>17</v>
      </c>
      <c r="J533" s="184" t="s">
        <v>337</v>
      </c>
      <c r="K533" s="188"/>
    </row>
    <row r="534" spans="6:11" x14ac:dyDescent="0.3">
      <c r="F534" s="252">
        <v>530</v>
      </c>
      <c r="G534" s="120">
        <v>45945</v>
      </c>
      <c r="H534" s="3">
        <v>10</v>
      </c>
      <c r="I534" s="198">
        <v>18</v>
      </c>
      <c r="J534" s="184" t="s">
        <v>338</v>
      </c>
      <c r="K534" s="188" t="s">
        <v>173</v>
      </c>
    </row>
    <row r="535" spans="6:11" x14ac:dyDescent="0.3">
      <c r="F535" s="252">
        <v>531</v>
      </c>
      <c r="G535" s="120">
        <v>45945</v>
      </c>
      <c r="H535" s="3">
        <v>10</v>
      </c>
      <c r="I535" s="198">
        <v>9</v>
      </c>
      <c r="J535" s="184" t="s">
        <v>17</v>
      </c>
      <c r="K535" s="188" t="s">
        <v>423</v>
      </c>
    </row>
    <row r="536" spans="6:11" x14ac:dyDescent="0.3">
      <c r="F536" s="252">
        <v>532</v>
      </c>
      <c r="G536" s="120">
        <v>45945</v>
      </c>
      <c r="H536" s="3">
        <v>10</v>
      </c>
      <c r="I536" s="198">
        <v>10</v>
      </c>
      <c r="J536" s="184" t="s">
        <v>18</v>
      </c>
      <c r="K536" s="188" t="s">
        <v>423</v>
      </c>
    </row>
    <row r="537" spans="6:11" x14ac:dyDescent="0.3">
      <c r="F537" s="252">
        <v>533</v>
      </c>
      <c r="G537" s="120">
        <v>45976</v>
      </c>
      <c r="H537" s="3">
        <v>10</v>
      </c>
      <c r="I537" s="198">
        <v>4</v>
      </c>
      <c r="J537" s="184" t="s">
        <v>12</v>
      </c>
      <c r="K537" s="188" t="s">
        <v>173</v>
      </c>
    </row>
    <row r="538" spans="6:11" x14ac:dyDescent="0.3">
      <c r="F538" s="252">
        <v>534</v>
      </c>
      <c r="G538" s="120">
        <v>45976</v>
      </c>
      <c r="H538" s="3">
        <v>10</v>
      </c>
      <c r="I538" s="198">
        <v>5</v>
      </c>
      <c r="J538" s="184" t="s">
        <v>14</v>
      </c>
      <c r="K538" s="188" t="s">
        <v>173</v>
      </c>
    </row>
    <row r="539" spans="6:11" x14ac:dyDescent="0.3">
      <c r="F539" s="252">
        <v>535</v>
      </c>
      <c r="G539" s="120">
        <v>45976</v>
      </c>
      <c r="H539" s="3">
        <v>10</v>
      </c>
      <c r="I539" s="198">
        <v>6</v>
      </c>
      <c r="J539" s="184" t="s">
        <v>24</v>
      </c>
      <c r="K539" s="188" t="s">
        <v>173</v>
      </c>
    </row>
    <row r="540" spans="6:11" x14ac:dyDescent="0.3">
      <c r="F540" s="252">
        <v>536</v>
      </c>
      <c r="G540" s="120">
        <v>45976</v>
      </c>
      <c r="H540" s="3">
        <v>10</v>
      </c>
      <c r="I540" s="198">
        <v>3</v>
      </c>
      <c r="J540" s="184" t="s">
        <v>13</v>
      </c>
      <c r="K540" s="188" t="s">
        <v>173</v>
      </c>
    </row>
    <row r="541" spans="6:11" x14ac:dyDescent="0.3">
      <c r="F541" s="252">
        <v>537</v>
      </c>
      <c r="G541" s="120">
        <v>45976</v>
      </c>
      <c r="H541" s="3">
        <v>10</v>
      </c>
      <c r="I541" s="198">
        <v>11</v>
      </c>
      <c r="J541" s="184" t="s">
        <v>19</v>
      </c>
      <c r="K541" s="188" t="s">
        <v>173</v>
      </c>
    </row>
    <row r="542" spans="6:11" x14ac:dyDescent="0.3">
      <c r="F542" s="252">
        <v>538</v>
      </c>
      <c r="G542" s="120">
        <v>45976</v>
      </c>
      <c r="H542" s="3">
        <v>10</v>
      </c>
      <c r="I542" s="198">
        <v>7</v>
      </c>
      <c r="J542" s="184" t="s">
        <v>403</v>
      </c>
      <c r="K542" s="188" t="s">
        <v>173</v>
      </c>
    </row>
    <row r="543" spans="6:11" x14ac:dyDescent="0.3">
      <c r="F543" s="252">
        <v>539</v>
      </c>
      <c r="G543" s="120">
        <v>45976</v>
      </c>
      <c r="H543" s="3">
        <v>10</v>
      </c>
      <c r="I543" s="198">
        <v>8</v>
      </c>
      <c r="J543" s="184" t="s">
        <v>404</v>
      </c>
      <c r="K543" s="188" t="s">
        <v>173</v>
      </c>
    </row>
    <row r="544" spans="6:11" x14ac:dyDescent="0.3">
      <c r="F544" s="252">
        <v>540</v>
      </c>
      <c r="G544" s="120">
        <v>45976</v>
      </c>
      <c r="H544" s="3">
        <v>10</v>
      </c>
      <c r="I544" s="198">
        <v>16</v>
      </c>
      <c r="J544" s="184" t="s">
        <v>23</v>
      </c>
      <c r="K544" s="188" t="s">
        <v>173</v>
      </c>
    </row>
    <row r="545" spans="6:11" x14ac:dyDescent="0.3">
      <c r="F545" s="252">
        <v>541</v>
      </c>
      <c r="G545" s="120">
        <v>45976</v>
      </c>
      <c r="H545" s="3">
        <v>10</v>
      </c>
      <c r="I545" s="198">
        <v>12</v>
      </c>
      <c r="J545" s="184" t="s">
        <v>20</v>
      </c>
      <c r="K545" s="188" t="s">
        <v>173</v>
      </c>
    </row>
    <row r="546" spans="6:11" x14ac:dyDescent="0.3">
      <c r="F546" s="252">
        <v>542</v>
      </c>
      <c r="G546" s="120">
        <v>45976</v>
      </c>
      <c r="H546" s="3">
        <v>10</v>
      </c>
      <c r="I546" s="198">
        <v>13</v>
      </c>
      <c r="J546" s="184" t="s">
        <v>339</v>
      </c>
      <c r="K546" s="188" t="s">
        <v>173</v>
      </c>
    </row>
    <row r="547" spans="6:11" x14ac:dyDescent="0.3">
      <c r="F547" s="252">
        <v>543</v>
      </c>
      <c r="G547" s="120">
        <v>45976</v>
      </c>
      <c r="H547" s="3">
        <v>10</v>
      </c>
      <c r="I547" s="198">
        <v>14</v>
      </c>
      <c r="J547" s="184" t="s">
        <v>21</v>
      </c>
      <c r="K547" s="188" t="s">
        <v>173</v>
      </c>
    </row>
    <row r="548" spans="6:11" x14ac:dyDescent="0.3">
      <c r="F548" s="252">
        <v>544</v>
      </c>
      <c r="G548" s="120">
        <v>45976</v>
      </c>
      <c r="H548" s="3">
        <v>10</v>
      </c>
      <c r="I548" s="198">
        <v>15</v>
      </c>
      <c r="J548" s="184" t="s">
        <v>22</v>
      </c>
      <c r="K548" s="188" t="s">
        <v>173</v>
      </c>
    </row>
    <row r="549" spans="6:11" x14ac:dyDescent="0.3">
      <c r="F549" s="252">
        <v>545</v>
      </c>
      <c r="G549" s="120">
        <v>45976</v>
      </c>
      <c r="H549" s="3">
        <v>10</v>
      </c>
      <c r="I549" s="198">
        <v>17</v>
      </c>
      <c r="J549" s="184" t="s">
        <v>337</v>
      </c>
      <c r="K549" s="188" t="s">
        <v>173</v>
      </c>
    </row>
    <row r="550" spans="6:11" x14ac:dyDescent="0.3">
      <c r="F550" s="252">
        <v>546</v>
      </c>
      <c r="G550" s="120">
        <v>45976</v>
      </c>
      <c r="H550" s="3">
        <v>10</v>
      </c>
      <c r="I550" s="198">
        <v>18</v>
      </c>
      <c r="J550" s="184" t="s">
        <v>338</v>
      </c>
      <c r="K550" s="188" t="s">
        <v>173</v>
      </c>
    </row>
    <row r="551" spans="6:11" x14ac:dyDescent="0.3">
      <c r="F551" s="252">
        <v>547</v>
      </c>
      <c r="G551" s="120">
        <v>45978</v>
      </c>
      <c r="H551" s="3">
        <v>10</v>
      </c>
      <c r="I551" s="198">
        <v>9</v>
      </c>
      <c r="J551" s="184" t="s">
        <v>17</v>
      </c>
      <c r="K551" s="188" t="s">
        <v>173</v>
      </c>
    </row>
    <row r="552" spans="6:11" x14ac:dyDescent="0.3">
      <c r="F552" s="252">
        <v>548</v>
      </c>
      <c r="G552" s="120">
        <v>45978</v>
      </c>
      <c r="H552" s="3">
        <v>10</v>
      </c>
      <c r="I552" s="198">
        <v>10</v>
      </c>
      <c r="J552" s="184" t="s">
        <v>18</v>
      </c>
      <c r="K552" s="188" t="s">
        <v>173</v>
      </c>
    </row>
    <row r="553" spans="6:11" x14ac:dyDescent="0.3">
      <c r="F553" s="252">
        <v>549</v>
      </c>
      <c r="G553" s="120">
        <v>46008</v>
      </c>
      <c r="H553" s="3">
        <v>10</v>
      </c>
      <c r="I553" s="198">
        <v>3</v>
      </c>
      <c r="J553" s="184" t="s">
        <v>13</v>
      </c>
      <c r="K553" s="188" t="s">
        <v>173</v>
      </c>
    </row>
    <row r="554" spans="6:11" x14ac:dyDescent="0.3">
      <c r="F554" s="252">
        <v>550</v>
      </c>
      <c r="G554" s="120">
        <v>46008</v>
      </c>
      <c r="H554" s="3">
        <v>10</v>
      </c>
      <c r="I554" s="198">
        <v>11</v>
      </c>
      <c r="J554" s="184" t="s">
        <v>19</v>
      </c>
      <c r="K554" s="188" t="s">
        <v>173</v>
      </c>
    </row>
    <row r="555" spans="6:11" x14ac:dyDescent="0.3">
      <c r="F555" s="252">
        <v>551</v>
      </c>
      <c r="G555" s="120">
        <v>46008</v>
      </c>
      <c r="H555" s="3">
        <v>10</v>
      </c>
      <c r="I555" s="198">
        <v>4</v>
      </c>
      <c r="J555" s="184" t="s">
        <v>12</v>
      </c>
      <c r="K555" s="188" t="s">
        <v>173</v>
      </c>
    </row>
    <row r="556" spans="6:11" x14ac:dyDescent="0.3">
      <c r="F556" s="252">
        <v>552</v>
      </c>
      <c r="G556" s="120">
        <v>46008</v>
      </c>
      <c r="H556" s="3">
        <v>10</v>
      </c>
      <c r="I556" s="198">
        <v>5</v>
      </c>
      <c r="J556" s="184" t="s">
        <v>14</v>
      </c>
      <c r="K556" s="188" t="s">
        <v>173</v>
      </c>
    </row>
    <row r="557" spans="6:11" x14ac:dyDescent="0.3">
      <c r="F557" s="252">
        <v>553</v>
      </c>
      <c r="G557" s="120">
        <v>46008</v>
      </c>
      <c r="H557" s="3">
        <v>10</v>
      </c>
      <c r="I557" s="198">
        <v>6</v>
      </c>
      <c r="J557" s="184" t="s">
        <v>24</v>
      </c>
      <c r="K557" s="188" t="s">
        <v>173</v>
      </c>
    </row>
    <row r="558" spans="6:11" x14ac:dyDescent="0.3">
      <c r="F558" s="252">
        <v>554</v>
      </c>
      <c r="G558" s="120">
        <v>46008</v>
      </c>
      <c r="H558" s="3">
        <v>10</v>
      </c>
      <c r="I558" s="198">
        <v>7</v>
      </c>
      <c r="J558" s="184" t="s">
        <v>403</v>
      </c>
      <c r="K558" s="188" t="s">
        <v>173</v>
      </c>
    </row>
    <row r="559" spans="6:11" x14ac:dyDescent="0.3">
      <c r="F559" s="252">
        <v>555</v>
      </c>
      <c r="G559" s="120">
        <v>46008</v>
      </c>
      <c r="H559" s="3">
        <v>10</v>
      </c>
      <c r="I559" s="198">
        <v>8</v>
      </c>
      <c r="J559" s="184" t="s">
        <v>404</v>
      </c>
      <c r="K559" s="188" t="s">
        <v>173</v>
      </c>
    </row>
    <row r="560" spans="6:11" x14ac:dyDescent="0.3">
      <c r="F560" s="252">
        <v>556</v>
      </c>
      <c r="G560" s="120">
        <v>46008</v>
      </c>
      <c r="H560" s="3">
        <v>10</v>
      </c>
      <c r="I560" s="198">
        <v>16</v>
      </c>
      <c r="J560" s="184" t="s">
        <v>23</v>
      </c>
      <c r="K560" s="188" t="s">
        <v>173</v>
      </c>
    </row>
    <row r="561" spans="6:11" x14ac:dyDescent="0.3">
      <c r="F561" s="252">
        <v>557</v>
      </c>
      <c r="G561" s="120">
        <v>46008</v>
      </c>
      <c r="H561" s="3">
        <v>10</v>
      </c>
      <c r="I561" s="198">
        <v>9</v>
      </c>
      <c r="J561" s="184" t="s">
        <v>17</v>
      </c>
      <c r="K561" s="188" t="s">
        <v>173</v>
      </c>
    </row>
    <row r="562" spans="6:11" x14ac:dyDescent="0.3">
      <c r="F562" s="252">
        <v>558</v>
      </c>
      <c r="G562" s="120">
        <v>46008</v>
      </c>
      <c r="H562" s="3">
        <v>10</v>
      </c>
      <c r="I562" s="198">
        <v>10</v>
      </c>
      <c r="J562" s="184" t="s">
        <v>18</v>
      </c>
      <c r="K562" s="188" t="s">
        <v>173</v>
      </c>
    </row>
    <row r="563" spans="6:11" x14ac:dyDescent="0.3">
      <c r="F563" s="252">
        <v>559</v>
      </c>
      <c r="G563" s="120">
        <v>46008</v>
      </c>
      <c r="H563" s="3">
        <v>10</v>
      </c>
      <c r="I563" s="198">
        <v>12</v>
      </c>
      <c r="J563" s="184" t="s">
        <v>20</v>
      </c>
      <c r="K563" s="188" t="s">
        <v>173</v>
      </c>
    </row>
    <row r="564" spans="6:11" x14ac:dyDescent="0.3">
      <c r="F564" s="252">
        <v>560</v>
      </c>
      <c r="G564" s="120">
        <v>46008</v>
      </c>
      <c r="H564" s="3">
        <v>10</v>
      </c>
      <c r="I564" s="198">
        <v>13</v>
      </c>
      <c r="J564" s="184" t="s">
        <v>339</v>
      </c>
      <c r="K564" s="188" t="s">
        <v>173</v>
      </c>
    </row>
    <row r="565" spans="6:11" x14ac:dyDescent="0.3">
      <c r="F565" s="252">
        <v>561</v>
      </c>
      <c r="G565" s="120">
        <v>46008</v>
      </c>
      <c r="H565" s="3">
        <v>10</v>
      </c>
      <c r="I565" s="198">
        <v>14</v>
      </c>
      <c r="J565" s="184" t="s">
        <v>21</v>
      </c>
      <c r="K565" s="188" t="s">
        <v>173</v>
      </c>
    </row>
    <row r="566" spans="6:11" x14ac:dyDescent="0.3">
      <c r="F566" s="252">
        <v>562</v>
      </c>
      <c r="G566" s="120">
        <v>46008</v>
      </c>
      <c r="H566" s="3">
        <v>10</v>
      </c>
      <c r="I566" s="198">
        <v>15</v>
      </c>
      <c r="J566" s="184" t="s">
        <v>22</v>
      </c>
      <c r="K566" s="188" t="s">
        <v>173</v>
      </c>
    </row>
    <row r="567" spans="6:11" x14ac:dyDescent="0.3">
      <c r="F567" s="252">
        <v>563</v>
      </c>
      <c r="G567" s="120">
        <v>46008</v>
      </c>
      <c r="H567" s="3">
        <v>10</v>
      </c>
      <c r="I567" s="198">
        <v>17</v>
      </c>
      <c r="J567" s="184" t="s">
        <v>337</v>
      </c>
      <c r="K567" s="188" t="s">
        <v>173</v>
      </c>
    </row>
    <row r="568" spans="6:11" x14ac:dyDescent="0.3">
      <c r="F568" s="252">
        <v>564</v>
      </c>
      <c r="G568" s="120">
        <v>46008</v>
      </c>
      <c r="H568" s="3">
        <v>10</v>
      </c>
      <c r="I568" s="198">
        <v>18</v>
      </c>
      <c r="J568" s="184" t="s">
        <v>338</v>
      </c>
      <c r="K568" s="188" t="s">
        <v>173</v>
      </c>
    </row>
    <row r="569" spans="6:11" x14ac:dyDescent="0.3">
      <c r="F569" s="252">
        <v>565</v>
      </c>
      <c r="G569" s="120">
        <v>46037</v>
      </c>
      <c r="H569" s="3">
        <v>20</v>
      </c>
      <c r="I569" s="198">
        <v>3</v>
      </c>
      <c r="J569" s="184" t="s">
        <v>13</v>
      </c>
      <c r="K569" s="188" t="s">
        <v>173</v>
      </c>
    </row>
    <row r="570" spans="6:11" x14ac:dyDescent="0.3">
      <c r="F570" s="252">
        <v>566</v>
      </c>
      <c r="G570" s="120">
        <v>46037</v>
      </c>
      <c r="H570" s="3">
        <v>20</v>
      </c>
      <c r="I570" s="198">
        <v>11</v>
      </c>
      <c r="J570" s="184" t="s">
        <v>19</v>
      </c>
      <c r="K570" s="188" t="s">
        <v>173</v>
      </c>
    </row>
    <row r="571" spans="6:11" x14ac:dyDescent="0.3">
      <c r="F571" s="252">
        <v>567</v>
      </c>
      <c r="G571" s="120">
        <v>46037</v>
      </c>
      <c r="H571" s="3">
        <v>20</v>
      </c>
      <c r="I571" s="198">
        <v>4</v>
      </c>
      <c r="J571" s="184" t="s">
        <v>12</v>
      </c>
      <c r="K571" s="188" t="s">
        <v>173</v>
      </c>
    </row>
    <row r="572" spans="6:11" x14ac:dyDescent="0.3">
      <c r="F572" s="252">
        <v>568</v>
      </c>
      <c r="G572" s="120">
        <v>46037</v>
      </c>
      <c r="H572" s="3">
        <v>20</v>
      </c>
      <c r="I572" s="198">
        <v>5</v>
      </c>
      <c r="J572" s="184" t="s">
        <v>14</v>
      </c>
      <c r="K572" s="188" t="s">
        <v>173</v>
      </c>
    </row>
    <row r="573" spans="6:11" x14ac:dyDescent="0.3">
      <c r="F573" s="252">
        <v>569</v>
      </c>
      <c r="G573" s="120">
        <v>46037</v>
      </c>
      <c r="H573" s="3">
        <v>20</v>
      </c>
      <c r="I573" s="198">
        <v>6</v>
      </c>
      <c r="J573" s="184" t="s">
        <v>24</v>
      </c>
      <c r="K573" s="188" t="s">
        <v>173</v>
      </c>
    </row>
    <row r="574" spans="6:11" x14ac:dyDescent="0.3">
      <c r="F574" s="252">
        <v>570</v>
      </c>
      <c r="G574" s="120">
        <v>46037</v>
      </c>
      <c r="H574" s="3">
        <v>20</v>
      </c>
      <c r="I574" s="198">
        <v>7</v>
      </c>
      <c r="J574" s="184" t="s">
        <v>403</v>
      </c>
      <c r="K574" s="188" t="s">
        <v>173</v>
      </c>
    </row>
    <row r="575" spans="6:11" x14ac:dyDescent="0.3">
      <c r="F575" s="252">
        <v>571</v>
      </c>
      <c r="G575" s="120">
        <v>46037</v>
      </c>
      <c r="H575" s="3">
        <v>20</v>
      </c>
      <c r="I575" s="198">
        <v>8</v>
      </c>
      <c r="J575" s="184" t="s">
        <v>404</v>
      </c>
      <c r="K575" s="188" t="s">
        <v>173</v>
      </c>
    </row>
    <row r="576" spans="6:11" x14ac:dyDescent="0.3">
      <c r="F576" s="252">
        <v>572</v>
      </c>
      <c r="G576" s="120">
        <v>46037</v>
      </c>
      <c r="H576" s="3">
        <v>20</v>
      </c>
      <c r="I576" s="198">
        <v>16</v>
      </c>
      <c r="J576" s="184" t="s">
        <v>23</v>
      </c>
      <c r="K576" s="188" t="s">
        <v>173</v>
      </c>
    </row>
    <row r="577" spans="6:11" x14ac:dyDescent="0.3">
      <c r="F577" s="252">
        <v>573</v>
      </c>
      <c r="G577" s="120">
        <v>46037</v>
      </c>
      <c r="H577" s="3">
        <v>20</v>
      </c>
      <c r="I577" s="198">
        <v>9</v>
      </c>
      <c r="J577" s="184" t="s">
        <v>17</v>
      </c>
      <c r="K577" s="188" t="s">
        <v>173</v>
      </c>
    </row>
    <row r="578" spans="6:11" x14ac:dyDescent="0.3">
      <c r="F578" s="252">
        <v>574</v>
      </c>
      <c r="G578" s="120">
        <v>46037</v>
      </c>
      <c r="H578" s="3">
        <v>20</v>
      </c>
      <c r="I578" s="198">
        <v>10</v>
      </c>
      <c r="J578" s="184" t="s">
        <v>18</v>
      </c>
      <c r="K578" s="188" t="s">
        <v>173</v>
      </c>
    </row>
    <row r="579" spans="6:11" x14ac:dyDescent="0.3">
      <c r="F579" s="252">
        <v>575</v>
      </c>
      <c r="G579" s="120">
        <v>46037</v>
      </c>
      <c r="H579" s="3">
        <v>20</v>
      </c>
      <c r="I579" s="198">
        <v>12</v>
      </c>
      <c r="J579" s="184" t="s">
        <v>20</v>
      </c>
      <c r="K579" s="188"/>
    </row>
    <row r="580" spans="6:11" x14ac:dyDescent="0.3">
      <c r="F580" s="252">
        <v>576</v>
      </c>
      <c r="G580" s="120">
        <v>46037</v>
      </c>
      <c r="H580" s="3">
        <v>20</v>
      </c>
      <c r="I580" s="198">
        <v>13</v>
      </c>
      <c r="J580" s="184" t="s">
        <v>339</v>
      </c>
      <c r="K580" s="188" t="s">
        <v>173</v>
      </c>
    </row>
    <row r="581" spans="6:11" x14ac:dyDescent="0.3">
      <c r="F581" s="252">
        <v>577</v>
      </c>
      <c r="G581" s="120">
        <v>46037</v>
      </c>
      <c r="H581" s="3">
        <v>20</v>
      </c>
      <c r="I581" s="198">
        <v>14</v>
      </c>
      <c r="J581" s="184" t="s">
        <v>21</v>
      </c>
      <c r="K581" s="188"/>
    </row>
    <row r="582" spans="6:11" x14ac:dyDescent="0.3">
      <c r="F582" s="252">
        <v>578</v>
      </c>
      <c r="G582" s="120">
        <v>46037</v>
      </c>
      <c r="H582" s="3">
        <v>20</v>
      </c>
      <c r="I582" s="198">
        <v>15</v>
      </c>
      <c r="J582" s="184" t="s">
        <v>22</v>
      </c>
      <c r="K582" s="188"/>
    </row>
    <row r="583" spans="6:11" x14ac:dyDescent="0.3">
      <c r="F583" s="252">
        <v>579</v>
      </c>
      <c r="G583" s="120">
        <v>46037</v>
      </c>
      <c r="H583" s="3">
        <v>20</v>
      </c>
      <c r="I583" s="198">
        <v>17</v>
      </c>
      <c r="J583" s="184" t="s">
        <v>337</v>
      </c>
      <c r="K583" s="188"/>
    </row>
    <row r="584" spans="6:11" x14ac:dyDescent="0.3">
      <c r="F584" s="252">
        <v>580</v>
      </c>
      <c r="G584" s="120">
        <v>46037</v>
      </c>
      <c r="H584" s="3">
        <v>20</v>
      </c>
      <c r="I584" s="198">
        <v>18</v>
      </c>
      <c r="J584" s="184" t="s">
        <v>338</v>
      </c>
      <c r="K584" s="188" t="s">
        <v>173</v>
      </c>
    </row>
    <row r="585" spans="6:11" x14ac:dyDescent="0.3">
      <c r="F585" s="252">
        <v>581</v>
      </c>
      <c r="G585" s="120">
        <v>46068</v>
      </c>
      <c r="H585" s="3">
        <v>20</v>
      </c>
      <c r="I585" s="198">
        <v>3</v>
      </c>
      <c r="J585" s="184" t="s">
        <v>13</v>
      </c>
      <c r="K585" s="188" t="s">
        <v>173</v>
      </c>
    </row>
    <row r="586" spans="6:11" x14ac:dyDescent="0.3">
      <c r="F586" s="252">
        <v>582</v>
      </c>
      <c r="G586" s="120">
        <v>46068</v>
      </c>
      <c r="H586" s="3">
        <v>20</v>
      </c>
      <c r="I586" s="198">
        <v>11</v>
      </c>
      <c r="J586" s="184" t="s">
        <v>19</v>
      </c>
      <c r="K586" s="188" t="s">
        <v>173</v>
      </c>
    </row>
    <row r="587" spans="6:11" x14ac:dyDescent="0.3">
      <c r="F587" s="252">
        <v>583</v>
      </c>
      <c r="G587" s="120">
        <v>46068</v>
      </c>
      <c r="H587" s="3">
        <v>20</v>
      </c>
      <c r="I587" s="198">
        <v>4</v>
      </c>
      <c r="J587" s="184" t="s">
        <v>12</v>
      </c>
      <c r="K587" s="188" t="s">
        <v>173</v>
      </c>
    </row>
    <row r="588" spans="6:11" x14ac:dyDescent="0.3">
      <c r="F588" s="252">
        <v>584</v>
      </c>
      <c r="G588" s="120">
        <v>46068</v>
      </c>
      <c r="H588" s="3">
        <v>20</v>
      </c>
      <c r="I588" s="198">
        <v>5</v>
      </c>
      <c r="J588" s="184" t="s">
        <v>14</v>
      </c>
      <c r="K588" s="188" t="s">
        <v>173</v>
      </c>
    </row>
    <row r="589" spans="6:11" x14ac:dyDescent="0.3">
      <c r="F589" s="252">
        <v>585</v>
      </c>
      <c r="G589" s="120">
        <v>46068</v>
      </c>
      <c r="H589" s="3">
        <v>20</v>
      </c>
      <c r="I589" s="198">
        <v>6</v>
      </c>
      <c r="J589" s="184" t="s">
        <v>24</v>
      </c>
      <c r="K589" s="188" t="s">
        <v>173</v>
      </c>
    </row>
    <row r="590" spans="6:11" x14ac:dyDescent="0.3">
      <c r="F590" s="252">
        <v>586</v>
      </c>
      <c r="G590" s="120">
        <v>46068</v>
      </c>
      <c r="H590" s="3">
        <v>20</v>
      </c>
      <c r="I590" s="198">
        <v>7</v>
      </c>
      <c r="J590" s="184" t="s">
        <v>403</v>
      </c>
      <c r="K590" s="188"/>
    </row>
    <row r="591" spans="6:11" x14ac:dyDescent="0.3">
      <c r="F591" s="252">
        <v>587</v>
      </c>
      <c r="G591" s="120">
        <v>46068</v>
      </c>
      <c r="H591" s="3">
        <v>20</v>
      </c>
      <c r="I591" s="198">
        <v>8</v>
      </c>
      <c r="J591" s="184" t="s">
        <v>404</v>
      </c>
      <c r="K591" s="188" t="s">
        <v>173</v>
      </c>
    </row>
    <row r="592" spans="6:11" x14ac:dyDescent="0.3">
      <c r="F592" s="252">
        <v>588</v>
      </c>
      <c r="G592" s="120">
        <v>46068</v>
      </c>
      <c r="H592" s="3">
        <v>20</v>
      </c>
      <c r="I592" s="198">
        <v>16</v>
      </c>
      <c r="J592" s="184" t="s">
        <v>581</v>
      </c>
      <c r="K592" s="188" t="s">
        <v>173</v>
      </c>
    </row>
    <row r="593" spans="6:11" x14ac:dyDescent="0.3">
      <c r="F593" s="252">
        <v>589</v>
      </c>
      <c r="G593" s="120">
        <v>46068</v>
      </c>
      <c r="H593" s="3">
        <v>20</v>
      </c>
      <c r="I593" s="198">
        <v>9</v>
      </c>
      <c r="J593" s="184" t="s">
        <v>17</v>
      </c>
      <c r="K593" s="188"/>
    </row>
    <row r="594" spans="6:11" x14ac:dyDescent="0.3">
      <c r="F594" s="252">
        <v>590</v>
      </c>
      <c r="G594" s="120">
        <v>46068</v>
      </c>
      <c r="H594" s="3">
        <v>20</v>
      </c>
      <c r="I594" s="198">
        <v>10</v>
      </c>
      <c r="J594" s="184" t="s">
        <v>18</v>
      </c>
      <c r="K594" s="188" t="s">
        <v>173</v>
      </c>
    </row>
    <row r="595" spans="6:11" x14ac:dyDescent="0.3">
      <c r="F595" s="252">
        <v>591</v>
      </c>
      <c r="G595" s="120">
        <v>46068</v>
      </c>
      <c r="H595" s="3">
        <v>20</v>
      </c>
      <c r="I595" s="198">
        <v>12</v>
      </c>
      <c r="J595" s="184" t="s">
        <v>20</v>
      </c>
      <c r="K595" s="188" t="s">
        <v>173</v>
      </c>
    </row>
    <row r="596" spans="6:11" x14ac:dyDescent="0.3">
      <c r="F596" s="252">
        <v>592</v>
      </c>
      <c r="G596" s="120">
        <v>46068</v>
      </c>
      <c r="H596" s="3">
        <v>20</v>
      </c>
      <c r="I596" s="198">
        <v>13</v>
      </c>
      <c r="J596" s="184" t="s">
        <v>339</v>
      </c>
      <c r="K596" s="188" t="s">
        <v>173</v>
      </c>
    </row>
    <row r="597" spans="6:11" x14ac:dyDescent="0.3">
      <c r="F597" s="252">
        <v>593</v>
      </c>
      <c r="G597" s="120">
        <v>46068</v>
      </c>
      <c r="H597" s="3">
        <v>20</v>
      </c>
      <c r="I597" s="198">
        <v>14</v>
      </c>
      <c r="J597" s="184" t="s">
        <v>21</v>
      </c>
      <c r="K597" s="188" t="s">
        <v>173</v>
      </c>
    </row>
    <row r="598" spans="6:11" x14ac:dyDescent="0.3">
      <c r="F598" s="252">
        <v>594</v>
      </c>
      <c r="G598" s="120">
        <v>46068</v>
      </c>
      <c r="H598" s="3">
        <v>20</v>
      </c>
      <c r="I598" s="198">
        <v>15</v>
      </c>
      <c r="J598" s="184" t="s">
        <v>22</v>
      </c>
      <c r="K598" s="188" t="s">
        <v>173</v>
      </c>
    </row>
    <row r="599" spans="6:11" x14ac:dyDescent="0.3">
      <c r="F599" s="252">
        <v>595</v>
      </c>
      <c r="G599" s="120">
        <v>46068</v>
      </c>
      <c r="H599" s="3">
        <v>20</v>
      </c>
      <c r="I599" s="198">
        <v>17</v>
      </c>
      <c r="J599" s="184" t="s">
        <v>337</v>
      </c>
      <c r="K599" s="188" t="s">
        <v>173</v>
      </c>
    </row>
    <row r="600" spans="6:11" x14ac:dyDescent="0.3">
      <c r="F600" s="252">
        <v>596</v>
      </c>
      <c r="G600" s="120">
        <v>46068</v>
      </c>
      <c r="H600" s="3">
        <v>20</v>
      </c>
      <c r="I600" s="198">
        <v>18</v>
      </c>
      <c r="J600" s="184" t="s">
        <v>338</v>
      </c>
      <c r="K600" s="188" t="s">
        <v>173</v>
      </c>
    </row>
    <row r="601" spans="6:11" x14ac:dyDescent="0.3">
      <c r="F601" s="252">
        <v>597</v>
      </c>
      <c r="G601" s="120">
        <v>46096</v>
      </c>
      <c r="H601" s="3">
        <v>20</v>
      </c>
      <c r="I601" s="198">
        <v>3</v>
      </c>
      <c r="J601" s="184" t="s">
        <v>13</v>
      </c>
      <c r="K601" s="188" t="s">
        <v>173</v>
      </c>
    </row>
    <row r="602" spans="6:11" x14ac:dyDescent="0.3">
      <c r="F602" s="252">
        <v>598</v>
      </c>
      <c r="G602" s="120">
        <v>46096</v>
      </c>
      <c r="H602" s="3">
        <v>20</v>
      </c>
      <c r="I602" s="198">
        <v>4</v>
      </c>
      <c r="J602" s="184" t="s">
        <v>12</v>
      </c>
      <c r="K602" s="188" t="s">
        <v>173</v>
      </c>
    </row>
    <row r="603" spans="6:11" x14ac:dyDescent="0.3">
      <c r="F603" s="252">
        <v>599</v>
      </c>
      <c r="G603" s="120">
        <v>46096</v>
      </c>
      <c r="H603" s="3">
        <v>20</v>
      </c>
      <c r="I603" s="198">
        <v>11</v>
      </c>
      <c r="J603" s="184" t="s">
        <v>19</v>
      </c>
      <c r="K603" s="188" t="s">
        <v>173</v>
      </c>
    </row>
    <row r="604" spans="6:11" x14ac:dyDescent="0.3">
      <c r="F604" s="252">
        <v>600</v>
      </c>
      <c r="G604" s="120">
        <v>46096</v>
      </c>
      <c r="H604" s="3">
        <v>20</v>
      </c>
      <c r="I604" s="198">
        <v>5</v>
      </c>
      <c r="J604" s="184" t="s">
        <v>14</v>
      </c>
      <c r="K604" s="188" t="s">
        <v>173</v>
      </c>
    </row>
    <row r="605" spans="6:11" x14ac:dyDescent="0.3">
      <c r="F605" s="252">
        <v>601</v>
      </c>
      <c r="G605" s="120">
        <v>46096</v>
      </c>
      <c r="H605" s="3">
        <v>20</v>
      </c>
      <c r="I605" s="198">
        <v>6</v>
      </c>
      <c r="J605" s="184" t="s">
        <v>24</v>
      </c>
      <c r="K605" s="188" t="s">
        <v>173</v>
      </c>
    </row>
    <row r="606" spans="6:11" x14ac:dyDescent="0.3">
      <c r="F606" s="252">
        <v>602</v>
      </c>
      <c r="G606" s="120">
        <v>46096</v>
      </c>
      <c r="H606" s="3">
        <v>20</v>
      </c>
      <c r="I606" s="198">
        <v>7</v>
      </c>
      <c r="J606" s="184" t="s">
        <v>403</v>
      </c>
      <c r="K606" s="188" t="s">
        <v>173</v>
      </c>
    </row>
    <row r="607" spans="6:11" x14ac:dyDescent="0.3">
      <c r="F607" s="252">
        <v>603</v>
      </c>
      <c r="G607" s="120">
        <v>46096</v>
      </c>
      <c r="H607" s="3">
        <v>20</v>
      </c>
      <c r="I607" s="198">
        <v>8</v>
      </c>
      <c r="J607" s="184" t="s">
        <v>404</v>
      </c>
      <c r="K607" s="188" t="s">
        <v>173</v>
      </c>
    </row>
    <row r="608" spans="6:11" x14ac:dyDescent="0.3">
      <c r="F608" s="252">
        <v>604</v>
      </c>
      <c r="G608" s="120">
        <v>46096</v>
      </c>
      <c r="H608" s="3">
        <v>20</v>
      </c>
      <c r="I608" s="198">
        <v>16</v>
      </c>
      <c r="J608" s="184" t="s">
        <v>23</v>
      </c>
      <c r="K608" s="188" t="s">
        <v>173</v>
      </c>
    </row>
    <row r="609" spans="6:11" x14ac:dyDescent="0.3">
      <c r="F609" s="252">
        <v>605</v>
      </c>
      <c r="G609" s="120">
        <v>46096</v>
      </c>
      <c r="H609" s="3">
        <v>20</v>
      </c>
      <c r="I609" s="198">
        <v>9</v>
      </c>
      <c r="J609" s="184" t="s">
        <v>17</v>
      </c>
      <c r="K609" s="188" t="s">
        <v>173</v>
      </c>
    </row>
    <row r="610" spans="6:11" x14ac:dyDescent="0.3">
      <c r="F610" s="252">
        <v>606</v>
      </c>
      <c r="G610" s="120">
        <v>46096</v>
      </c>
      <c r="H610" s="3">
        <v>20</v>
      </c>
      <c r="I610" s="198">
        <v>10</v>
      </c>
      <c r="J610" s="184" t="s">
        <v>18</v>
      </c>
      <c r="K610" s="188" t="s">
        <v>173</v>
      </c>
    </row>
    <row r="611" spans="6:11" x14ac:dyDescent="0.3">
      <c r="F611" s="252">
        <v>607</v>
      </c>
      <c r="G611" s="120">
        <v>46096</v>
      </c>
      <c r="H611" s="3">
        <v>20</v>
      </c>
      <c r="I611" s="198">
        <v>12</v>
      </c>
      <c r="J611" s="184" t="s">
        <v>20</v>
      </c>
      <c r="K611" s="188" t="s">
        <v>173</v>
      </c>
    </row>
    <row r="612" spans="6:11" x14ac:dyDescent="0.3">
      <c r="F612" s="252">
        <v>608</v>
      </c>
      <c r="G612" s="120">
        <v>46096</v>
      </c>
      <c r="H612" s="3">
        <v>20</v>
      </c>
      <c r="I612" s="198">
        <v>13</v>
      </c>
      <c r="J612" s="184" t="s">
        <v>339</v>
      </c>
      <c r="K612" s="188" t="s">
        <v>173</v>
      </c>
    </row>
    <row r="613" spans="6:11" x14ac:dyDescent="0.3">
      <c r="F613" s="252">
        <v>609</v>
      </c>
      <c r="G613" s="120">
        <v>46096</v>
      </c>
      <c r="H613" s="3">
        <v>20</v>
      </c>
      <c r="I613" s="198">
        <v>14</v>
      </c>
      <c r="J613" s="184" t="s">
        <v>21</v>
      </c>
      <c r="K613" s="188" t="s">
        <v>173</v>
      </c>
    </row>
    <row r="614" spans="6:11" x14ac:dyDescent="0.3">
      <c r="F614" s="252">
        <v>610</v>
      </c>
      <c r="G614" s="120">
        <v>46096</v>
      </c>
      <c r="H614" s="3">
        <v>20</v>
      </c>
      <c r="I614" s="198">
        <v>15</v>
      </c>
      <c r="J614" s="184" t="s">
        <v>22</v>
      </c>
      <c r="K614" s="188" t="s">
        <v>173</v>
      </c>
    </row>
    <row r="615" spans="6:11" x14ac:dyDescent="0.3">
      <c r="F615" s="252">
        <v>611</v>
      </c>
      <c r="G615" s="120">
        <v>46096</v>
      </c>
      <c r="H615" s="3">
        <v>20</v>
      </c>
      <c r="I615" s="198">
        <v>17</v>
      </c>
      <c r="J615" s="184" t="s">
        <v>337</v>
      </c>
      <c r="K615" s="188" t="s">
        <v>173</v>
      </c>
    </row>
    <row r="616" spans="6:11" x14ac:dyDescent="0.3">
      <c r="F616" s="252">
        <v>612</v>
      </c>
      <c r="G616" s="120">
        <v>46096</v>
      </c>
      <c r="H616" s="3">
        <v>20</v>
      </c>
      <c r="I616" s="198">
        <v>18</v>
      </c>
      <c r="J616" s="184" t="s">
        <v>338</v>
      </c>
      <c r="K616" s="188" t="s">
        <v>173</v>
      </c>
    </row>
  </sheetData>
  <sheetProtection algorithmName="SHA-512" hashValue="WQ7ctu185P/0PrVbBNafUCJ1z8ZO+ToTUAqiU42MwkjDBAnmYydfvWiA3PDe4RtBA+BpzeXEEE/1chXWxxqJCQ==" saltValue="LcuFvilc3qwUj0yHtylZl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>
      <selection activeCell="E3" sqref="E3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84" t="s">
        <v>38</v>
      </c>
      <c r="C2" s="385"/>
      <c r="D2" s="385"/>
      <c r="E2" s="385"/>
      <c r="F2" s="385"/>
      <c r="G2" s="385"/>
      <c r="H2" s="386"/>
      <c r="I2" s="208"/>
      <c r="J2" s="387" t="s">
        <v>39</v>
      </c>
      <c r="K2" s="388"/>
      <c r="L2" s="388"/>
      <c r="M2" s="388"/>
      <c r="N2" s="388"/>
      <c r="O2" s="388"/>
      <c r="P2" s="388"/>
      <c r="Q2" s="389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11"/>
      <c r="C3" s="112"/>
      <c r="D3" s="112"/>
      <c r="E3" s="207"/>
      <c r="F3" s="112"/>
      <c r="G3" s="112"/>
      <c r="H3" s="113"/>
      <c r="J3" s="111"/>
      <c r="K3" s="112"/>
      <c r="L3" s="112"/>
      <c r="M3" s="112"/>
      <c r="N3" s="112"/>
      <c r="O3" s="112"/>
      <c r="P3" s="112"/>
      <c r="Q3" s="113"/>
      <c r="XEZ3" s="210" t="str">
        <f>IF($E$13&lt;&gt;"",MAX(0,MIN(DATEDIF($E$13,$E$12,"m"), $C$16)),"")</f>
        <v/>
      </c>
    </row>
    <row r="4" spans="2:19 16380:16380" ht="15" thickBot="1" x14ac:dyDescent="0.35">
      <c r="B4" s="111"/>
      <c r="C4" s="112" t="s">
        <v>66</v>
      </c>
      <c r="D4" s="112"/>
      <c r="E4" s="26"/>
      <c r="F4" s="112"/>
      <c r="G4" s="112"/>
      <c r="H4" s="113"/>
      <c r="J4" s="111"/>
      <c r="K4" s="112" t="s">
        <v>67</v>
      </c>
      <c r="L4" s="112"/>
      <c r="M4" s="27"/>
      <c r="N4" s="149"/>
      <c r="O4" s="112"/>
      <c r="P4" s="112"/>
      <c r="Q4" s="113"/>
    </row>
    <row r="5" spans="2:19 16380:16380" x14ac:dyDescent="0.3">
      <c r="B5" s="209"/>
      <c r="C5" s="210"/>
      <c r="D5" s="210"/>
      <c r="E5" s="210"/>
      <c r="F5" s="210"/>
      <c r="G5" s="210"/>
      <c r="H5" s="211"/>
      <c r="J5" s="209"/>
      <c r="K5" s="210"/>
      <c r="L5" s="210"/>
      <c r="M5" s="210"/>
      <c r="N5" s="210"/>
      <c r="O5" s="210"/>
      <c r="P5" s="210"/>
      <c r="Q5" s="211"/>
    </row>
    <row r="6" spans="2:19 16380:16380" x14ac:dyDescent="0.3">
      <c r="B6" s="209"/>
      <c r="C6" s="212" t="s">
        <v>33</v>
      </c>
      <c r="D6" s="212"/>
      <c r="E6" s="212" t="s">
        <v>50</v>
      </c>
      <c r="F6" s="210"/>
      <c r="G6" s="210"/>
      <c r="H6" s="211"/>
      <c r="J6" s="209"/>
      <c r="K6" s="212" t="s">
        <v>33</v>
      </c>
      <c r="L6" s="212"/>
      <c r="M6" s="213" t="s">
        <v>50</v>
      </c>
      <c r="N6" s="210"/>
      <c r="O6" s="212" t="s">
        <v>249</v>
      </c>
      <c r="P6" s="210"/>
      <c r="Q6" s="211"/>
    </row>
    <row r="7" spans="2:19 16380:16380" ht="15" thickBot="1" x14ac:dyDescent="0.35">
      <c r="B7" s="209"/>
      <c r="C7" s="212"/>
      <c r="D7" s="210"/>
      <c r="E7" s="212"/>
      <c r="F7" s="210"/>
      <c r="H7" s="211"/>
      <c r="J7" s="209"/>
      <c r="K7" s="210"/>
      <c r="L7" s="210"/>
      <c r="M7" s="210"/>
      <c r="N7" s="210"/>
      <c r="O7" s="210"/>
      <c r="P7" s="210"/>
      <c r="Q7" s="211"/>
    </row>
    <row r="8" spans="2:19 16380:16380" ht="15" thickBot="1" x14ac:dyDescent="0.35">
      <c r="B8" s="209"/>
      <c r="C8" s="201" t="str">
        <f>_xlfn.IFNA(IF(ISNUMBER(SEARCH("AYUDA",E4)),2,_xlfn.XLOOKUP(E8,LINEAMIENTOS!$B$3:$B$20,LINEAMIENTOS!$A$3:$A$20)),"")</f>
        <v/>
      </c>
      <c r="D8" s="210"/>
      <c r="E8" s="14"/>
      <c r="F8" s="210"/>
      <c r="G8" s="210"/>
      <c r="H8" s="211"/>
      <c r="J8" s="209"/>
      <c r="K8" s="201" t="str">
        <f>_xlfn.IFNA(IF(ISNUMBER(SEARCH("INGRESO",M4)),1,_xlfn.XLOOKUP(M8,LINEAMIENTOS!$B$3:$B$20,LINEAMIENTOS!$A$3:$A$20)),"")</f>
        <v/>
      </c>
      <c r="L8" s="210"/>
      <c r="M8" s="14"/>
      <c r="N8" s="210"/>
      <c r="O8" s="135"/>
      <c r="P8" s="210"/>
      <c r="Q8" s="211"/>
    </row>
    <row r="9" spans="2:19 16380:16380" x14ac:dyDescent="0.3">
      <c r="B9" s="209"/>
      <c r="C9" s="214"/>
      <c r="D9" s="210"/>
      <c r="E9" s="210"/>
      <c r="F9" s="210"/>
      <c r="G9" s="210"/>
      <c r="H9" s="211"/>
      <c r="J9" s="209"/>
      <c r="K9" s="214"/>
      <c r="L9" s="210"/>
      <c r="M9" s="210"/>
      <c r="N9" s="210"/>
      <c r="O9" s="210"/>
      <c r="P9" s="210"/>
      <c r="Q9" s="211"/>
    </row>
    <row r="10" spans="2:19 16380:16380" x14ac:dyDescent="0.3">
      <c r="B10" s="209"/>
      <c r="C10" s="215" t="s">
        <v>69</v>
      </c>
      <c r="D10" s="210"/>
      <c r="E10" s="215" t="s">
        <v>30</v>
      </c>
      <c r="F10" s="210"/>
      <c r="G10" s="210"/>
      <c r="H10" s="211"/>
      <c r="J10" s="209"/>
      <c r="K10" s="212" t="s">
        <v>28</v>
      </c>
      <c r="L10" s="210"/>
      <c r="M10" s="212" t="s">
        <v>35</v>
      </c>
      <c r="N10" s="210"/>
      <c r="O10" s="212" t="s">
        <v>41</v>
      </c>
      <c r="P10" s="212"/>
      <c r="Q10" s="211"/>
    </row>
    <row r="11" spans="2:19 16380:16380" ht="15" thickBot="1" x14ac:dyDescent="0.35">
      <c r="B11" s="209"/>
      <c r="C11" s="216" t="str">
        <f>IFERROR(C15*C16,"")</f>
        <v/>
      </c>
      <c r="D11" s="210"/>
      <c r="E11" s="215"/>
      <c r="F11" s="210"/>
      <c r="G11" s="210"/>
      <c r="H11" s="211"/>
      <c r="J11" s="209"/>
      <c r="K11" s="210"/>
      <c r="L11" s="210"/>
      <c r="M11" s="210"/>
      <c r="N11" s="210"/>
      <c r="O11" s="210"/>
      <c r="P11" s="210"/>
      <c r="Q11" s="211"/>
    </row>
    <row r="12" spans="2:19 16380:16380" ht="15" thickBot="1" x14ac:dyDescent="0.35">
      <c r="B12" s="209"/>
      <c r="C12" s="31"/>
      <c r="D12" s="210"/>
      <c r="E12" s="15">
        <f ca="1">+TODAY()</f>
        <v>46117</v>
      </c>
      <c r="F12" s="210"/>
      <c r="G12" s="210"/>
      <c r="H12" s="211"/>
      <c r="J12" s="209"/>
      <c r="K12" s="30"/>
      <c r="L12" s="210"/>
      <c r="M12" s="15">
        <f ca="1">+TODAY()</f>
        <v>46117</v>
      </c>
      <c r="N12" s="210"/>
      <c r="O12" s="28"/>
      <c r="P12" s="210"/>
      <c r="Q12" s="211"/>
    </row>
    <row r="13" spans="2:19 16380:16380" x14ac:dyDescent="0.3">
      <c r="B13" s="209"/>
      <c r="C13" s="217" t="str">
        <f>IFERROR(C12/C16,"")</f>
        <v/>
      </c>
      <c r="D13" s="210"/>
      <c r="E13" s="218"/>
      <c r="F13" s="210"/>
      <c r="G13" s="210"/>
      <c r="H13" s="211"/>
      <c r="J13" s="209"/>
      <c r="K13" s="210"/>
      <c r="L13" s="210"/>
      <c r="M13" s="218"/>
      <c r="N13" s="210"/>
      <c r="O13" s="210"/>
      <c r="P13" s="210"/>
      <c r="Q13" s="211"/>
      <c r="S13" s="219"/>
    </row>
    <row r="14" spans="2:19 16380:16380" x14ac:dyDescent="0.3">
      <c r="B14" s="209"/>
      <c r="C14" s="212" t="s">
        <v>55</v>
      </c>
      <c r="D14" s="210"/>
      <c r="E14" s="212" t="s">
        <v>32</v>
      </c>
      <c r="F14" s="210"/>
      <c r="G14" s="210"/>
      <c r="H14" s="211"/>
      <c r="J14" s="209"/>
      <c r="K14" s="212" t="s">
        <v>29</v>
      </c>
      <c r="L14" s="210"/>
      <c r="M14" s="212" t="s">
        <v>36</v>
      </c>
      <c r="N14" s="210"/>
      <c r="O14" s="212" t="s">
        <v>40</v>
      </c>
      <c r="P14" s="212"/>
      <c r="Q14" s="211"/>
    </row>
    <row r="15" spans="2:19 16380:16380" ht="15" thickBot="1" x14ac:dyDescent="0.35">
      <c r="B15" s="209"/>
      <c r="C15" s="217" t="str">
        <f>IFERROR(C13+E17,"")</f>
        <v/>
      </c>
      <c r="D15" s="210"/>
      <c r="E15" s="212"/>
      <c r="F15" s="210"/>
      <c r="G15" s="210"/>
      <c r="H15" s="211"/>
      <c r="J15" s="209"/>
      <c r="K15" s="212"/>
      <c r="L15" s="210"/>
      <c r="M15" s="212"/>
      <c r="N15" s="210"/>
      <c r="O15" s="210"/>
      <c r="P15" s="210"/>
      <c r="Q15" s="211"/>
    </row>
    <row r="16" spans="2:19 16380:16380" ht="15" thickBot="1" x14ac:dyDescent="0.35">
      <c r="B16" s="209"/>
      <c r="C16" s="32"/>
      <c r="D16" s="210"/>
      <c r="E16" s="115"/>
      <c r="F16" s="210"/>
      <c r="G16" s="210"/>
      <c r="H16" s="211"/>
      <c r="J16" s="209"/>
      <c r="K16" s="30"/>
      <c r="L16" s="210"/>
      <c r="M16" s="15">
        <f ca="1">+TODAY()</f>
        <v>46117</v>
      </c>
      <c r="N16" s="210"/>
      <c r="O16" s="29"/>
      <c r="P16" s="210"/>
      <c r="Q16" s="211"/>
    </row>
    <row r="17" spans="2:17" x14ac:dyDescent="0.3">
      <c r="B17" s="209"/>
      <c r="C17" s="220"/>
      <c r="D17" s="210"/>
      <c r="E17" s="217" t="str">
        <f>IF(C12="","",C12*E16)</f>
        <v/>
      </c>
      <c r="F17" s="210"/>
      <c r="G17" s="210"/>
      <c r="H17" s="211"/>
      <c r="J17" s="209"/>
      <c r="K17" s="210"/>
      <c r="L17" s="210"/>
      <c r="M17" s="218"/>
      <c r="N17" s="210"/>
      <c r="O17" s="210"/>
      <c r="P17" s="210"/>
      <c r="Q17" s="211"/>
    </row>
    <row r="18" spans="2:17" x14ac:dyDescent="0.3">
      <c r="B18" s="209"/>
      <c r="C18" s="212" t="s">
        <v>37</v>
      </c>
      <c r="D18" s="210"/>
      <c r="E18" s="210" t="str">
        <f>IF($E$13&lt;&gt;"","LETRA NUMERO: "&amp;MAX(0,MIN(DATEDIF($E$13,$E$12,"m"), $C$16)),"")</f>
        <v/>
      </c>
      <c r="F18" s="210"/>
      <c r="G18" s="210"/>
      <c r="H18" s="211"/>
      <c r="I18" s="221"/>
      <c r="J18" s="209"/>
      <c r="K18" s="212" t="s">
        <v>37</v>
      </c>
      <c r="L18" s="210"/>
      <c r="M18" s="210"/>
      <c r="N18" s="210"/>
      <c r="O18" s="210"/>
      <c r="P18" s="210"/>
      <c r="Q18" s="211"/>
    </row>
    <row r="19" spans="2:17" ht="15" thickBot="1" x14ac:dyDescent="0.35">
      <c r="B19" s="209"/>
      <c r="C19" s="210"/>
      <c r="D19" s="210"/>
      <c r="E19" s="210" t="str">
        <f>IF($E$13&lt;&gt;"","LETRAS FALTANTES: "&amp;$C$16-MAX(0,MIN(DATEDIF($E$13,$E$12,"m"), $C$16)),"")</f>
        <v/>
      </c>
      <c r="F19" s="210"/>
      <c r="G19" s="210"/>
      <c r="H19" s="211"/>
      <c r="I19" s="221"/>
      <c r="J19" s="209"/>
      <c r="K19" s="210"/>
      <c r="L19" s="210"/>
      <c r="M19" s="210"/>
      <c r="N19" s="210"/>
      <c r="O19" s="210"/>
      <c r="P19" s="210"/>
      <c r="Q19" s="211"/>
    </row>
    <row r="20" spans="2:17" x14ac:dyDescent="0.3">
      <c r="B20" s="209"/>
      <c r="C20" s="390"/>
      <c r="D20" s="391"/>
      <c r="E20" s="392"/>
      <c r="F20" s="209"/>
      <c r="G20" s="210"/>
      <c r="H20" s="211"/>
      <c r="J20" s="209"/>
      <c r="K20" s="396"/>
      <c r="L20" s="397"/>
      <c r="M20" s="397"/>
      <c r="N20" s="397"/>
      <c r="O20" s="398"/>
      <c r="P20" s="209"/>
      <c r="Q20" s="211"/>
    </row>
    <row r="21" spans="2:17" ht="15" thickBot="1" x14ac:dyDescent="0.35">
      <c r="B21" s="209"/>
      <c r="C21" s="393"/>
      <c r="D21" s="394"/>
      <c r="E21" s="395"/>
      <c r="F21" s="209"/>
      <c r="G21" s="210"/>
      <c r="H21" s="211"/>
      <c r="J21" s="209"/>
      <c r="K21" s="399"/>
      <c r="L21" s="400"/>
      <c r="M21" s="400"/>
      <c r="N21" s="400"/>
      <c r="O21" s="401"/>
      <c r="P21" s="209"/>
      <c r="Q21" s="211"/>
    </row>
    <row r="22" spans="2:17" ht="15" thickBot="1" x14ac:dyDescent="0.35">
      <c r="B22" s="222"/>
      <c r="C22" s="223"/>
      <c r="D22" s="223"/>
      <c r="E22" s="223"/>
      <c r="F22" s="223"/>
      <c r="G22" s="223"/>
      <c r="H22" s="224"/>
      <c r="J22" s="222"/>
      <c r="K22" s="223"/>
      <c r="L22" s="223"/>
      <c r="M22" s="223"/>
      <c r="N22" s="223"/>
      <c r="O22" s="223"/>
      <c r="P22" s="223"/>
      <c r="Q22" s="224"/>
    </row>
    <row r="23" spans="2:17" ht="15" thickBot="1" x14ac:dyDescent="0.35"/>
    <row r="24" spans="2:17" x14ac:dyDescent="0.3">
      <c r="B24" s="253"/>
      <c r="C24" s="254"/>
      <c r="D24" s="254"/>
      <c r="E24" s="254"/>
      <c r="F24" s="254"/>
      <c r="G24" s="254"/>
      <c r="H24" s="254"/>
      <c r="I24" s="254"/>
      <c r="J24" s="254"/>
      <c r="K24" s="254"/>
      <c r="L24" s="254"/>
      <c r="M24" s="254"/>
      <c r="N24" s="254"/>
      <c r="O24" s="254"/>
      <c r="P24" s="254"/>
      <c r="Q24" s="255"/>
    </row>
    <row r="25" spans="2:17" x14ac:dyDescent="0.3">
      <c r="B25" s="256"/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8"/>
    </row>
    <row r="26" spans="2:17" ht="15" thickBot="1" x14ac:dyDescent="0.35">
      <c r="B26" s="259"/>
      <c r="C26" s="260"/>
      <c r="D26" s="260"/>
      <c r="E26" s="260"/>
      <c r="F26" s="260"/>
      <c r="G26" s="260"/>
      <c r="H26" s="260"/>
      <c r="I26" s="260"/>
      <c r="J26" s="260"/>
      <c r="K26" s="260"/>
      <c r="L26" s="260"/>
      <c r="M26" s="260"/>
      <c r="N26" s="260"/>
      <c r="O26" s="260"/>
      <c r="P26" s="260"/>
      <c r="Q26" s="261"/>
    </row>
    <row r="28" spans="2:17" x14ac:dyDescent="0.3">
      <c r="B28" s="2" t="s">
        <v>576</v>
      </c>
    </row>
  </sheetData>
  <sheetProtection algorithmName="SHA-512" hashValue="Va3Q4JDDuAZ56hYdSdBnyx7tSd4Cnu5s/EiR1yMHhLCVKZ89PBb9xe69il9nEYlneV7K37pReZk1SJqogKP5kA==" saltValue="SFJ1ZouGXMoDLGCd0E7oz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23"/>
  <sheetViews>
    <sheetView zoomScaleNormal="115" workbookViewId="0">
      <pane ySplit="2" topLeftCell="A3" activePane="bottomLeft" state="frozen"/>
      <selection pane="bottomLeft" activeCell="K1" sqref="K1"/>
    </sheetView>
  </sheetViews>
  <sheetFormatPr baseColWidth="10" defaultColWidth="10.88671875" defaultRowHeight="14.4" x14ac:dyDescent="0.3"/>
  <cols>
    <col min="1" max="1" width="9.6640625" style="244" bestFit="1" customWidth="1"/>
    <col min="2" max="2" width="8.33203125" style="197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62" customWidth="1"/>
    <col min="11" max="11" width="12.6640625" style="2" customWidth="1"/>
    <col min="12" max="12" width="21" bestFit="1" customWidth="1"/>
    <col min="13" max="13" width="10.88671875" style="142"/>
    <col min="14" max="14" width="23.109375" style="158" bestFit="1" customWidth="1"/>
    <col min="15" max="16384" width="10.88671875" style="17"/>
  </cols>
  <sheetData>
    <row r="1" spans="1:14" s="18" customFormat="1" x14ac:dyDescent="0.3">
      <c r="A1" s="402" t="s">
        <v>44</v>
      </c>
      <c r="B1" s="402"/>
      <c r="C1" s="402"/>
      <c r="D1" s="402"/>
      <c r="E1" s="402"/>
      <c r="F1" s="402"/>
      <c r="G1" s="402"/>
      <c r="H1" s="402"/>
      <c r="I1" s="402"/>
      <c r="J1" s="402"/>
      <c r="K1" s="137"/>
      <c r="L1" s="16"/>
      <c r="M1" s="141"/>
      <c r="N1" s="157"/>
    </row>
    <row r="2" spans="1:14" s="18" customFormat="1" ht="28.8" x14ac:dyDescent="0.3">
      <c r="A2" s="15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38" t="s">
        <v>37</v>
      </c>
      <c r="K2" s="139" t="s">
        <v>258</v>
      </c>
      <c r="L2" s="23" t="s">
        <v>326</v>
      </c>
      <c r="M2" s="141"/>
      <c r="N2" s="157"/>
    </row>
    <row r="3" spans="1:14" x14ac:dyDescent="0.3">
      <c r="A3" s="240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51" t="s">
        <v>379</v>
      </c>
      <c r="K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5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58" t="s">
        <v>327</v>
      </c>
    </row>
    <row r="4" spans="1:14" x14ac:dyDescent="0.3">
      <c r="A4" s="241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51" t="s">
        <v>379</v>
      </c>
      <c r="K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59" t="str" cm="1">
        <f t="array" ref="N4:N17">_xlfn._xlws.FILTER(PRESTAMOS[REG],PRESTAMOS[ESTATUS]="PENDIENTE")&amp;"-"&amp;_xlfn._xlws.FILTER(PRESTAMOS[NOMBRE CLIENTE],PRESTAMOS[ESTATUS]="PENDIENTE")</f>
        <v>77-DANNY ALMACHI</v>
      </c>
    </row>
    <row r="5" spans="1:14" x14ac:dyDescent="0.3">
      <c r="A5" s="242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52" t="s">
        <v>379</v>
      </c>
      <c r="K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59" t="str">
        <v>97-MARTHA JAQUE</v>
      </c>
    </row>
    <row r="6" spans="1:14" x14ac:dyDescent="0.3">
      <c r="A6" s="242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52" t="s">
        <v>379</v>
      </c>
      <c r="K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59" t="str">
        <v>98-LUIS TOAQUIZA</v>
      </c>
    </row>
    <row r="7" spans="1:14" x14ac:dyDescent="0.3">
      <c r="A7" s="242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52" t="s">
        <v>379</v>
      </c>
      <c r="K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60" t="str">
        <v>99-MAYRA TOAQUIZA</v>
      </c>
    </row>
    <row r="8" spans="1:14" x14ac:dyDescent="0.3">
      <c r="A8" s="242" t="s">
        <v>469</v>
      </c>
      <c r="B8" s="43">
        <v>2</v>
      </c>
      <c r="C8" s="34" t="s">
        <v>20</v>
      </c>
      <c r="D8" s="44">
        <v>100</v>
      </c>
      <c r="E8" s="193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52" t="s">
        <v>243</v>
      </c>
      <c r="K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60" t="str">
        <v>100-ROCIO TOAQUIZA</v>
      </c>
    </row>
    <row r="9" spans="1:14" x14ac:dyDescent="0.3">
      <c r="A9" s="242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52" t="s">
        <v>379</v>
      </c>
      <c r="K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60" t="str">
        <v>104-ANA TOAQUIZA</v>
      </c>
    </row>
    <row r="10" spans="1:14" x14ac:dyDescent="0.3">
      <c r="A10" s="242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52" t="s">
        <v>379</v>
      </c>
      <c r="K1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60" t="str">
        <v>108-JEFFERSON TOAQUIZA</v>
      </c>
    </row>
    <row r="11" spans="1:14" x14ac:dyDescent="0.3">
      <c r="A11" s="242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52" t="s">
        <v>379</v>
      </c>
      <c r="K1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60" t="str">
        <v>109-DIEGO TOAQUIZA</v>
      </c>
    </row>
    <row r="12" spans="1:14" x14ac:dyDescent="0.3">
      <c r="A12" s="242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52" t="s">
        <v>379</v>
      </c>
      <c r="K1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60" t="str">
        <v>110-DANNY ALMACHI</v>
      </c>
    </row>
    <row r="13" spans="1:14" x14ac:dyDescent="0.3">
      <c r="A13" s="242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52" t="s">
        <v>379</v>
      </c>
      <c r="K1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60" t="str">
        <v>111-JEFFERSON TOAQUIZA</v>
      </c>
    </row>
    <row r="14" spans="1:14" x14ac:dyDescent="0.3">
      <c r="A14" s="242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52" t="s">
        <v>379</v>
      </c>
      <c r="K1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60" t="str">
        <v>112-MARCIAL CHILIQUINGA</v>
      </c>
    </row>
    <row r="15" spans="1:14" x14ac:dyDescent="0.3">
      <c r="A15" s="242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52" t="s">
        <v>379</v>
      </c>
      <c r="K1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60" t="str">
        <v>113-JEFFERSON TOAQUIZA</v>
      </c>
    </row>
    <row r="16" spans="1:14" x14ac:dyDescent="0.3">
      <c r="A16" s="242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52" t="s">
        <v>379</v>
      </c>
      <c r="K1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60" t="str">
        <v>114-JEFFERSON TOAQUIZA</v>
      </c>
    </row>
    <row r="17" spans="1:15" x14ac:dyDescent="0.3">
      <c r="A17" s="242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52" t="s">
        <v>379</v>
      </c>
      <c r="K1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60" t="str">
        <v>115-JEFFERSON TOAQUIZA</v>
      </c>
    </row>
    <row r="18" spans="1:15" x14ac:dyDescent="0.3">
      <c r="A18" s="242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52" t="s">
        <v>379</v>
      </c>
      <c r="K1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42"/>
    </row>
    <row r="19" spans="1:15" x14ac:dyDescent="0.3">
      <c r="A19" s="242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52" t="s">
        <v>379</v>
      </c>
      <c r="K1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42"/>
    </row>
    <row r="20" spans="1:15" x14ac:dyDescent="0.3">
      <c r="A20" s="242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52" t="s">
        <v>379</v>
      </c>
      <c r="K2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42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52" t="s">
        <v>379</v>
      </c>
      <c r="K2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42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52" t="s">
        <v>383</v>
      </c>
      <c r="K2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42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52" t="s">
        <v>383</v>
      </c>
      <c r="K2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42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52" t="s">
        <v>383</v>
      </c>
      <c r="K2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42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52" t="s">
        <v>379</v>
      </c>
      <c r="K2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42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52" t="s">
        <v>379</v>
      </c>
      <c r="K2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42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52" t="s">
        <v>379</v>
      </c>
      <c r="K2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43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52" t="s">
        <v>383</v>
      </c>
      <c r="K2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42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52" t="s">
        <v>73</v>
      </c>
      <c r="K2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42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52" t="s">
        <v>74</v>
      </c>
      <c r="K3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42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52" t="s">
        <v>383</v>
      </c>
      <c r="K3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42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52" t="s">
        <v>111</v>
      </c>
      <c r="K3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42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52" t="s">
        <v>112</v>
      </c>
      <c r="K3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42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52" t="s">
        <v>121</v>
      </c>
      <c r="K3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42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52" t="s">
        <v>121</v>
      </c>
      <c r="K3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42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52" t="s">
        <v>126</v>
      </c>
      <c r="K3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42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52" t="s">
        <v>129</v>
      </c>
      <c r="K3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42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52" t="s">
        <v>167</v>
      </c>
      <c r="K3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42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52" t="s">
        <v>190</v>
      </c>
      <c r="K3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42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52" t="s">
        <v>195</v>
      </c>
      <c r="K4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42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52" t="s">
        <v>195</v>
      </c>
      <c r="K4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42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52" t="s">
        <v>198</v>
      </c>
      <c r="K4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42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52" t="s">
        <v>195</v>
      </c>
      <c r="K4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42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52" t="s">
        <v>204</v>
      </c>
      <c r="K4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42" t="s">
        <v>470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53" t="s">
        <v>206</v>
      </c>
      <c r="K4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42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52" t="s">
        <v>195</v>
      </c>
      <c r="K4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42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52" t="s">
        <v>208</v>
      </c>
      <c r="K4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42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52" t="s">
        <v>208</v>
      </c>
      <c r="K4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42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52" t="s">
        <v>208</v>
      </c>
      <c r="K4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42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52" t="s">
        <v>217</v>
      </c>
      <c r="K5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42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52" t="s">
        <v>112</v>
      </c>
      <c r="K5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42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52" t="s">
        <v>220</v>
      </c>
      <c r="K5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42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52" t="s">
        <v>222</v>
      </c>
      <c r="K5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42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52" t="s">
        <v>112</v>
      </c>
      <c r="K5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42" t="s">
        <v>471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52" t="s">
        <v>244</v>
      </c>
      <c r="K5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42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52" t="s">
        <v>112</v>
      </c>
      <c r="K5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42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52" t="s">
        <v>198</v>
      </c>
      <c r="K5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42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52" t="s">
        <v>198</v>
      </c>
      <c r="K5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42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54" t="s">
        <v>263</v>
      </c>
      <c r="K5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42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54" t="s">
        <v>265</v>
      </c>
      <c r="K6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42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54" t="s">
        <v>265</v>
      </c>
      <c r="K6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42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54" t="s">
        <v>284</v>
      </c>
      <c r="K6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42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54" t="s">
        <v>288</v>
      </c>
      <c r="K6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42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54" t="s">
        <v>293</v>
      </c>
      <c r="K64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42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54" t="s">
        <v>304</v>
      </c>
      <c r="K65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42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54" t="s">
        <v>306</v>
      </c>
      <c r="K66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42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54" t="s">
        <v>319</v>
      </c>
      <c r="K67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42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54" t="s">
        <v>208</v>
      </c>
      <c r="K68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42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54" t="s">
        <v>208</v>
      </c>
      <c r="K6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42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54" t="s">
        <v>322</v>
      </c>
      <c r="K7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42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54" t="s">
        <v>324</v>
      </c>
      <c r="K7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42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54" t="s">
        <v>331</v>
      </c>
      <c r="K7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42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54" t="s">
        <v>332</v>
      </c>
      <c r="K7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42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54" t="s">
        <v>340</v>
      </c>
      <c r="K74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42" t="s">
        <v>565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54" t="s">
        <v>343</v>
      </c>
      <c r="K75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42" t="s">
        <v>566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54" t="s">
        <v>345</v>
      </c>
      <c r="K76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42" t="s">
        <v>567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54" t="s">
        <v>347</v>
      </c>
      <c r="K77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42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54" t="s">
        <v>65</v>
      </c>
      <c r="K78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42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181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54" t="s">
        <v>360</v>
      </c>
      <c r="K7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0" spans="1:12" x14ac:dyDescent="0.3">
      <c r="A80" s="242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181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54" t="s">
        <v>362</v>
      </c>
      <c r="K8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1" spans="1:12" x14ac:dyDescent="0.3">
      <c r="A81" s="242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181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54" t="s">
        <v>368</v>
      </c>
      <c r="K8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42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181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54" t="s">
        <v>402</v>
      </c>
      <c r="K8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42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181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54" t="s">
        <v>401</v>
      </c>
      <c r="K8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41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26" t="s">
        <v>457</v>
      </c>
      <c r="K8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41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26" t="s">
        <v>429</v>
      </c>
      <c r="K8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6" spans="1:12" x14ac:dyDescent="0.3">
      <c r="A86" s="241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26" t="s">
        <v>431</v>
      </c>
      <c r="K8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2" x14ac:dyDescent="0.3">
      <c r="A87" s="241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26" t="s">
        <v>433</v>
      </c>
      <c r="K8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41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26" t="s">
        <v>435</v>
      </c>
      <c r="K8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41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26" t="s">
        <v>435</v>
      </c>
      <c r="K8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90" spans="1:12" x14ac:dyDescent="0.3">
      <c r="A90" s="241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26" t="s">
        <v>435</v>
      </c>
      <c r="K9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41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26" t="s">
        <v>476</v>
      </c>
      <c r="K9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41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26" t="s">
        <v>478</v>
      </c>
      <c r="K9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41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26" t="s">
        <v>478</v>
      </c>
      <c r="K9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41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26" t="s">
        <v>435</v>
      </c>
      <c r="K9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41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26" t="s">
        <v>435</v>
      </c>
      <c r="K9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41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26" t="s">
        <v>435</v>
      </c>
      <c r="K9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41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26" t="s">
        <v>435</v>
      </c>
      <c r="K9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41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26" t="s">
        <v>486</v>
      </c>
      <c r="K9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41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26" t="s">
        <v>493</v>
      </c>
      <c r="K9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41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26" t="s">
        <v>435</v>
      </c>
      <c r="K10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41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26" t="s">
        <v>520</v>
      </c>
      <c r="K10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41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26" t="s">
        <v>435</v>
      </c>
      <c r="K10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41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26" t="s">
        <v>435</v>
      </c>
      <c r="K10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41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26" t="s">
        <v>517</v>
      </c>
      <c r="K10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3">
      <c r="A105" s="241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26" t="s">
        <v>435</v>
      </c>
      <c r="K10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6" spans="1:12" x14ac:dyDescent="0.3">
      <c r="A106" s="241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26" t="s">
        <v>435</v>
      </c>
      <c r="K10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7" spans="1:12" x14ac:dyDescent="0.3">
      <c r="A107" s="241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26" t="s">
        <v>435</v>
      </c>
      <c r="K10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8" spans="1:12" x14ac:dyDescent="0.3">
      <c r="A108" s="241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26" t="s">
        <v>435</v>
      </c>
      <c r="K10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9" spans="1:12" x14ac:dyDescent="0.3">
      <c r="A109" s="241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26" t="s">
        <v>435</v>
      </c>
      <c r="K10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0" spans="1:12" x14ac:dyDescent="0.3">
      <c r="A110" s="241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26" t="s">
        <v>435</v>
      </c>
      <c r="K11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1" spans="1:12" ht="28.8" x14ac:dyDescent="0.3">
      <c r="A111" s="241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26" t="s">
        <v>550</v>
      </c>
      <c r="K11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2" spans="1:12" x14ac:dyDescent="0.3">
      <c r="A112" s="241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26" t="s">
        <v>557</v>
      </c>
      <c r="K11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3" spans="1:12" x14ac:dyDescent="0.3">
      <c r="A113" s="241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26" t="s">
        <v>562</v>
      </c>
      <c r="K11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2" x14ac:dyDescent="0.3">
      <c r="A114" s="241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26" t="s">
        <v>563</v>
      </c>
      <c r="K11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2" x14ac:dyDescent="0.3">
      <c r="A115" s="241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26" t="s">
        <v>578</v>
      </c>
      <c r="K11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2" x14ac:dyDescent="0.3">
      <c r="A116" s="241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26" t="s">
        <v>582</v>
      </c>
      <c r="K11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7" spans="1:12" x14ac:dyDescent="0.3">
      <c r="A117" s="241">
        <v>109</v>
      </c>
      <c r="B117" s="35">
        <v>12</v>
      </c>
      <c r="C117" s="36" t="s">
        <v>20</v>
      </c>
      <c r="D117" s="37">
        <v>1500</v>
      </c>
      <c r="E117" s="41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26" t="s">
        <v>591</v>
      </c>
      <c r="K11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8" spans="1:12" x14ac:dyDescent="0.3">
      <c r="A118" s="241">
        <v>110</v>
      </c>
      <c r="B118" s="35">
        <v>6</v>
      </c>
      <c r="C118" s="36" t="s">
        <v>24</v>
      </c>
      <c r="D118" s="37">
        <v>600</v>
      </c>
      <c r="E118" s="41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26" t="s">
        <v>591</v>
      </c>
      <c r="K11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9" spans="1:12" x14ac:dyDescent="0.3">
      <c r="A119" s="241">
        <v>111</v>
      </c>
      <c r="B119" s="35">
        <v>16</v>
      </c>
      <c r="C119" s="36" t="s">
        <v>23</v>
      </c>
      <c r="D119" s="37">
        <v>150</v>
      </c>
      <c r="E119" s="41">
        <v>46070</v>
      </c>
      <c r="F119" s="58">
        <v>3</v>
      </c>
      <c r="G119" s="59">
        <v>0.02</v>
      </c>
      <c r="H119" s="40">
        <f>PRESTAMOS[[#This Row],[MONTO AMORTIZACION]]*PRESTAMOS[[#This Row],[INTERES]]*PRESTAMOS[[#This Row],[CUOTAS]]</f>
        <v>9</v>
      </c>
      <c r="I119" s="40">
        <f>PRESTAMOS[[#This Row],[MONTO AMORTIZACION]]+PRESTAMOS[[#This Row],[T. INT]]</f>
        <v>159</v>
      </c>
      <c r="J119" s="226" t="s">
        <v>599</v>
      </c>
      <c r="K11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20" spans="1:12" x14ac:dyDescent="0.3">
      <c r="A120" s="241">
        <v>112</v>
      </c>
      <c r="B120" s="35">
        <v>10</v>
      </c>
      <c r="C120" s="36" t="s">
        <v>18</v>
      </c>
      <c r="D120" s="37">
        <v>200</v>
      </c>
      <c r="E120" s="41">
        <v>46086</v>
      </c>
      <c r="F120" s="58">
        <v>1</v>
      </c>
      <c r="G120" s="59">
        <v>0.02</v>
      </c>
      <c r="H120" s="40">
        <f>PRESTAMOS[[#This Row],[MONTO AMORTIZACION]]*PRESTAMOS[[#This Row],[INTERES]]*PRESTAMOS[[#This Row],[CUOTAS]]</f>
        <v>4</v>
      </c>
      <c r="I120" s="40">
        <f>PRESTAMOS[[#This Row],[MONTO AMORTIZACION]]+PRESTAMOS[[#This Row],[T. INT]]</f>
        <v>204</v>
      </c>
      <c r="J120" s="226" t="s">
        <v>600</v>
      </c>
      <c r="K12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21" spans="1:12" ht="28.8" x14ac:dyDescent="0.3">
      <c r="A121" s="241">
        <v>113</v>
      </c>
      <c r="B121" s="35">
        <v>16</v>
      </c>
      <c r="C121" s="36" t="s">
        <v>23</v>
      </c>
      <c r="D121" s="37">
        <v>400</v>
      </c>
      <c r="E121" s="41">
        <v>46091</v>
      </c>
      <c r="F121" s="58">
        <v>2</v>
      </c>
      <c r="G121" s="59">
        <v>0.02</v>
      </c>
      <c r="H121" s="40">
        <f>PRESTAMOS[[#This Row],[MONTO AMORTIZACION]]*PRESTAMOS[[#This Row],[INTERES]]*PRESTAMOS[[#This Row],[CUOTAS]]</f>
        <v>16</v>
      </c>
      <c r="I121" s="40">
        <f>PRESTAMOS[[#This Row],[MONTO AMORTIZACION]]+PRESTAMOS[[#This Row],[T. INT]]</f>
        <v>416</v>
      </c>
      <c r="J121" s="226" t="s">
        <v>603</v>
      </c>
      <c r="K12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2" spans="1:12" x14ac:dyDescent="0.3">
      <c r="A122" s="241">
        <v>114</v>
      </c>
      <c r="B122" s="35">
        <v>16</v>
      </c>
      <c r="C122" s="36" t="s">
        <v>23</v>
      </c>
      <c r="D122" s="37">
        <v>100</v>
      </c>
      <c r="E122" s="41">
        <v>46100</v>
      </c>
      <c r="F122" s="58">
        <v>1</v>
      </c>
      <c r="G122" s="59">
        <v>0.02</v>
      </c>
      <c r="H122" s="40">
        <f>PRESTAMOS[[#This Row],[MONTO AMORTIZACION]]*PRESTAMOS[[#This Row],[INTERES]]*PRESTAMOS[[#This Row],[CUOTAS]]</f>
        <v>2</v>
      </c>
      <c r="I122" s="40">
        <f>PRESTAMOS[[#This Row],[MONTO AMORTIZACION]]+PRESTAMOS[[#This Row],[T. INT]]</f>
        <v>102</v>
      </c>
      <c r="J122" s="226" t="s">
        <v>578</v>
      </c>
      <c r="K12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3" spans="1:12" x14ac:dyDescent="0.3">
      <c r="A123" s="241">
        <v>115</v>
      </c>
      <c r="B123" s="35">
        <v>16</v>
      </c>
      <c r="C123" s="36" t="s">
        <v>23</v>
      </c>
      <c r="D123" s="37">
        <v>560</v>
      </c>
      <c r="E123" s="374">
        <v>46103</v>
      </c>
      <c r="F123" s="58">
        <v>4</v>
      </c>
      <c r="G123" s="59">
        <v>0.02</v>
      </c>
      <c r="H123" s="40">
        <f>PRESTAMOS[[#This Row],[MONTO AMORTIZACION]]*PRESTAMOS[[#This Row],[INTERES]]*PRESTAMOS[[#This Row],[CUOTAS]]</f>
        <v>44.800000000000004</v>
      </c>
      <c r="I123" s="40">
        <f>PRESTAMOS[[#This Row],[MONTO AMORTIZACION]]+PRESTAMOS[[#This Row],[T. INT]]</f>
        <v>604.79999999999995</v>
      </c>
      <c r="J123" s="226" t="s">
        <v>618</v>
      </c>
      <c r="K12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3" s="37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sheetProtection algorithmName="SHA-512" hashValue="WsNXorcPtc33wDGm+bNLi3EhK1NLfAj7Nq+UR2F3bqG4C5JNANV01X4op4AuTxptu4vwPmWSC62lCUknUhQsbQ==" saltValue="oaScvFGuSrybumxXwGNnt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70"/>
  <sheetViews>
    <sheetView zoomScale="102" zoomScaleNormal="99" workbookViewId="0">
      <pane ySplit="2" topLeftCell="A111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288" customWidth="1"/>
    <col min="2" max="2" width="8.33203125" style="16" customWidth="1"/>
    <col min="3" max="3" width="24" style="16" customWidth="1"/>
    <col min="4" max="4" width="14.6640625" style="136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37" hidden="1" customWidth="1"/>
    <col min="13" max="16384" width="10.88671875" style="18"/>
  </cols>
  <sheetData>
    <row r="1" spans="1:12" ht="23.25" customHeight="1" x14ac:dyDescent="0.3">
      <c r="A1" s="403" t="s">
        <v>39</v>
      </c>
      <c r="B1" s="403"/>
      <c r="C1" s="403"/>
      <c r="D1" s="403"/>
      <c r="E1" s="403"/>
      <c r="F1" s="403"/>
      <c r="G1" s="403"/>
      <c r="H1" s="403"/>
      <c r="I1" s="403"/>
      <c r="J1" s="403"/>
      <c r="K1" s="403"/>
    </row>
    <row r="2" spans="1:12" ht="28.8" x14ac:dyDescent="0.3">
      <c r="A2" s="286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287">
        <v>1</v>
      </c>
      <c r="B3" s="55">
        <v>5</v>
      </c>
      <c r="C3" s="51" t="s">
        <v>14</v>
      </c>
      <c r="D3" s="206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31" t="b">
        <f>+ISNUMBER(PAGOS[[#This Row],[REG]])</f>
        <v>1</v>
      </c>
    </row>
    <row r="4" spans="1:12" x14ac:dyDescent="0.3">
      <c r="A4" s="287">
        <v>2</v>
      </c>
      <c r="B4" s="55">
        <v>9</v>
      </c>
      <c r="C4" s="51" t="s">
        <v>17</v>
      </c>
      <c r="D4" s="206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31" t="b">
        <f>+ISNUMBER(PAGOS[[#This Row],[REG]])</f>
        <v>1</v>
      </c>
    </row>
    <row r="5" spans="1:12" x14ac:dyDescent="0.3">
      <c r="A5" s="287">
        <v>3</v>
      </c>
      <c r="B5" s="55">
        <v>5</v>
      </c>
      <c r="C5" s="51" t="s">
        <v>14</v>
      </c>
      <c r="D5" s="206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31" t="b">
        <f>+ISNUMBER(PAGOS[[#This Row],[REG]])</f>
        <v>1</v>
      </c>
    </row>
    <row r="6" spans="1:12" x14ac:dyDescent="0.3">
      <c r="A6" s="287">
        <v>4</v>
      </c>
      <c r="B6" s="55">
        <v>9</v>
      </c>
      <c r="C6" s="51" t="s">
        <v>17</v>
      </c>
      <c r="D6" s="206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31" t="b">
        <f>+ISNUMBER(PAGOS[[#This Row],[REG]])</f>
        <v>1</v>
      </c>
    </row>
    <row r="7" spans="1:12" x14ac:dyDescent="0.3">
      <c r="A7" s="287">
        <v>5</v>
      </c>
      <c r="B7" s="55">
        <v>7</v>
      </c>
      <c r="C7" s="51" t="s">
        <v>15</v>
      </c>
      <c r="D7" s="206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31" t="b">
        <f>+ISNUMBER(PAGOS[[#This Row],[REG]])</f>
        <v>1</v>
      </c>
    </row>
    <row r="8" spans="1:12" x14ac:dyDescent="0.3">
      <c r="A8" s="287">
        <v>6</v>
      </c>
      <c r="B8" s="55">
        <v>16</v>
      </c>
      <c r="C8" s="51" t="s">
        <v>23</v>
      </c>
      <c r="D8" s="289">
        <v>4</v>
      </c>
      <c r="E8" s="290">
        <v>100</v>
      </c>
      <c r="F8" s="291">
        <v>44910</v>
      </c>
      <c r="G8" s="292">
        <v>1</v>
      </c>
      <c r="H8" s="290">
        <v>4</v>
      </c>
      <c r="I8" s="291">
        <v>44910</v>
      </c>
      <c r="J8" s="293">
        <v>1</v>
      </c>
      <c r="K8" s="294" t="s">
        <v>377</v>
      </c>
      <c r="L8" s="231" t="b">
        <f>+ISNUMBER(PAGOS[[#This Row],[REG]])</f>
        <v>1</v>
      </c>
    </row>
    <row r="9" spans="1:12" s="17" customFormat="1" x14ac:dyDescent="0.3">
      <c r="A9" s="287">
        <v>7</v>
      </c>
      <c r="B9" s="55">
        <v>11</v>
      </c>
      <c r="C9" s="51" t="s">
        <v>19</v>
      </c>
      <c r="D9" s="206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31" t="b">
        <f>+ISNUMBER(PAGOS[[#This Row],[REG]])</f>
        <v>1</v>
      </c>
    </row>
    <row r="10" spans="1:12" s="17" customFormat="1" x14ac:dyDescent="0.3">
      <c r="A10" s="287" t="s">
        <v>89</v>
      </c>
      <c r="B10" s="246">
        <v>1</v>
      </c>
      <c r="C10" s="295" t="s">
        <v>70</v>
      </c>
      <c r="D10" s="289">
        <v>0</v>
      </c>
      <c r="E10" s="290">
        <v>0</v>
      </c>
      <c r="F10" s="291">
        <v>44921</v>
      </c>
      <c r="G10" s="292" t="s">
        <v>568</v>
      </c>
      <c r="H10" s="290">
        <v>10</v>
      </c>
      <c r="I10" s="291">
        <v>44921</v>
      </c>
      <c r="J10" s="293" t="s">
        <v>568</v>
      </c>
      <c r="K10" s="294" t="s">
        <v>75</v>
      </c>
      <c r="L10" s="231" t="b">
        <f>+ISNUMBER(PAGOS[[#This Row],[REG]])</f>
        <v>0</v>
      </c>
    </row>
    <row r="11" spans="1:12" s="17" customFormat="1" x14ac:dyDescent="0.3">
      <c r="A11" s="287">
        <v>8</v>
      </c>
      <c r="B11" s="55">
        <v>4</v>
      </c>
      <c r="C11" s="51" t="s">
        <v>12</v>
      </c>
      <c r="D11" s="206">
        <v>6</v>
      </c>
      <c r="E11" s="290">
        <v>25</v>
      </c>
      <c r="F11" s="291">
        <v>44941</v>
      </c>
      <c r="G11" s="292">
        <v>1</v>
      </c>
      <c r="H11" s="290">
        <v>2</v>
      </c>
      <c r="I11" s="291">
        <v>44941</v>
      </c>
      <c r="J11" s="293">
        <v>1</v>
      </c>
      <c r="K11" s="294" t="s">
        <v>377</v>
      </c>
      <c r="L11" s="231" t="b">
        <f>+ISNUMBER(PAGOS[[#This Row],[REG]])</f>
        <v>1</v>
      </c>
    </row>
    <row r="12" spans="1:12" s="17" customFormat="1" x14ac:dyDescent="0.3">
      <c r="A12" s="287">
        <v>9</v>
      </c>
      <c r="B12" s="55">
        <v>12</v>
      </c>
      <c r="C12" s="51" t="s">
        <v>20</v>
      </c>
      <c r="D12" s="206">
        <v>7</v>
      </c>
      <c r="E12" s="290">
        <v>25</v>
      </c>
      <c r="F12" s="291">
        <v>44941</v>
      </c>
      <c r="G12" s="292">
        <v>1</v>
      </c>
      <c r="H12" s="290">
        <v>2</v>
      </c>
      <c r="I12" s="291">
        <v>44941</v>
      </c>
      <c r="J12" s="293">
        <v>1</v>
      </c>
      <c r="K12" s="294" t="s">
        <v>377</v>
      </c>
      <c r="L12" s="231" t="b">
        <f>+ISNUMBER(PAGOS[[#This Row],[REG]])</f>
        <v>1</v>
      </c>
    </row>
    <row r="13" spans="1:12" s="17" customFormat="1" x14ac:dyDescent="0.3">
      <c r="A13" s="287">
        <v>10</v>
      </c>
      <c r="B13" s="55">
        <v>14</v>
      </c>
      <c r="C13" s="51" t="s">
        <v>21</v>
      </c>
      <c r="D13" s="206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31" t="b">
        <f>+ISNUMBER(PAGOS[[#This Row],[REG]])</f>
        <v>1</v>
      </c>
    </row>
    <row r="14" spans="1:12" s="17" customFormat="1" x14ac:dyDescent="0.3">
      <c r="A14" s="287">
        <v>11</v>
      </c>
      <c r="B14" s="55">
        <v>16</v>
      </c>
      <c r="C14" s="51" t="s">
        <v>23</v>
      </c>
      <c r="D14" s="206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31" t="b">
        <f>+ISNUMBER(PAGOS[[#This Row],[REG]])</f>
        <v>1</v>
      </c>
    </row>
    <row r="15" spans="1:12" s="17" customFormat="1" x14ac:dyDescent="0.3">
      <c r="A15" s="287">
        <v>12</v>
      </c>
      <c r="B15" s="55">
        <v>4</v>
      </c>
      <c r="C15" s="51" t="s">
        <v>12</v>
      </c>
      <c r="D15" s="206">
        <v>6</v>
      </c>
      <c r="E15" s="290">
        <v>25</v>
      </c>
      <c r="F15" s="291">
        <v>44972</v>
      </c>
      <c r="G15" s="292">
        <v>2</v>
      </c>
      <c r="H15" s="290">
        <v>2</v>
      </c>
      <c r="I15" s="291">
        <v>44972</v>
      </c>
      <c r="J15" s="293">
        <v>2</v>
      </c>
      <c r="K15" s="294" t="s">
        <v>378</v>
      </c>
      <c r="L15" s="231" t="b">
        <f>+ISNUMBER(PAGOS[[#This Row],[REG]])</f>
        <v>1</v>
      </c>
    </row>
    <row r="16" spans="1:12" s="17" customFormat="1" x14ac:dyDescent="0.3">
      <c r="A16" s="287">
        <v>13</v>
      </c>
      <c r="B16" s="55">
        <v>12</v>
      </c>
      <c r="C16" s="51" t="s">
        <v>20</v>
      </c>
      <c r="D16" s="206">
        <v>7</v>
      </c>
      <c r="E16" s="290">
        <v>25</v>
      </c>
      <c r="F16" s="291">
        <v>44972</v>
      </c>
      <c r="G16" s="292">
        <v>2</v>
      </c>
      <c r="H16" s="290">
        <v>2</v>
      </c>
      <c r="I16" s="291">
        <v>44972</v>
      </c>
      <c r="J16" s="293">
        <v>2</v>
      </c>
      <c r="K16" s="294" t="s">
        <v>378</v>
      </c>
      <c r="L16" s="231" t="b">
        <f>+ISNUMBER(PAGOS[[#This Row],[REG]])</f>
        <v>1</v>
      </c>
    </row>
    <row r="17" spans="1:12" s="17" customFormat="1" x14ac:dyDescent="0.3">
      <c r="A17" s="287">
        <v>14</v>
      </c>
      <c r="B17" s="55">
        <v>9</v>
      </c>
      <c r="C17" s="51" t="s">
        <v>17</v>
      </c>
      <c r="D17" s="206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31" t="b">
        <f>+ISNUMBER(PAGOS[[#This Row],[REG]])</f>
        <v>1</v>
      </c>
    </row>
    <row r="18" spans="1:12" s="17" customFormat="1" x14ac:dyDescent="0.3">
      <c r="A18" s="287">
        <v>15</v>
      </c>
      <c r="B18" s="55">
        <v>15</v>
      </c>
      <c r="C18" s="51" t="s">
        <v>22</v>
      </c>
      <c r="D18" s="206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31" t="b">
        <f>+ISNUMBER(PAGOS[[#This Row],[REG]])</f>
        <v>1</v>
      </c>
    </row>
    <row r="19" spans="1:12" s="17" customFormat="1" x14ac:dyDescent="0.3">
      <c r="A19" s="287">
        <v>16</v>
      </c>
      <c r="B19" s="55">
        <v>14</v>
      </c>
      <c r="C19" s="51" t="s">
        <v>21</v>
      </c>
      <c r="D19" s="206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31" t="b">
        <f>+ISNUMBER(PAGOS[[#This Row],[REG]])</f>
        <v>1</v>
      </c>
    </row>
    <row r="20" spans="1:12" s="17" customFormat="1" x14ac:dyDescent="0.3">
      <c r="A20" s="287">
        <v>17</v>
      </c>
      <c r="B20" s="55">
        <v>4</v>
      </c>
      <c r="C20" s="51" t="s">
        <v>12</v>
      </c>
      <c r="D20" s="206">
        <v>6</v>
      </c>
      <c r="E20" s="290">
        <v>25</v>
      </c>
      <c r="F20" s="291">
        <v>45000</v>
      </c>
      <c r="G20" s="292">
        <v>3</v>
      </c>
      <c r="H20" s="290">
        <v>2</v>
      </c>
      <c r="I20" s="291">
        <v>45000</v>
      </c>
      <c r="J20" s="293">
        <v>3</v>
      </c>
      <c r="K20" s="294" t="s">
        <v>380</v>
      </c>
      <c r="L20" s="231" t="b">
        <f>+ISNUMBER(PAGOS[[#This Row],[REG]])</f>
        <v>1</v>
      </c>
    </row>
    <row r="21" spans="1:12" s="17" customFormat="1" x14ac:dyDescent="0.3">
      <c r="A21" s="287">
        <v>18</v>
      </c>
      <c r="B21" s="55">
        <v>12</v>
      </c>
      <c r="C21" s="51" t="s">
        <v>20</v>
      </c>
      <c r="D21" s="206">
        <v>7</v>
      </c>
      <c r="E21" s="290">
        <v>25</v>
      </c>
      <c r="F21" s="291">
        <v>45000</v>
      </c>
      <c r="G21" s="292">
        <v>3</v>
      </c>
      <c r="H21" s="290">
        <v>2</v>
      </c>
      <c r="I21" s="291">
        <v>45000</v>
      </c>
      <c r="J21" s="293">
        <v>3</v>
      </c>
      <c r="K21" s="294" t="s">
        <v>380</v>
      </c>
      <c r="L21" s="231" t="b">
        <f>+ISNUMBER(PAGOS[[#This Row],[REG]])</f>
        <v>1</v>
      </c>
    </row>
    <row r="22" spans="1:12" s="17" customFormat="1" x14ac:dyDescent="0.3">
      <c r="A22" s="287">
        <v>19</v>
      </c>
      <c r="B22" s="55">
        <v>10</v>
      </c>
      <c r="C22" s="51" t="s">
        <v>18</v>
      </c>
      <c r="D22" s="206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31" t="b">
        <f>+ISNUMBER(PAGOS[[#This Row],[REG]])</f>
        <v>1</v>
      </c>
    </row>
    <row r="23" spans="1:12" s="17" customFormat="1" x14ac:dyDescent="0.3">
      <c r="A23" s="287">
        <v>20</v>
      </c>
      <c r="B23" s="55">
        <v>5</v>
      </c>
      <c r="C23" s="51" t="s">
        <v>14</v>
      </c>
      <c r="D23" s="206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31" t="b">
        <f>+ISNUMBER(PAGOS[[#This Row],[REG]])</f>
        <v>1</v>
      </c>
    </row>
    <row r="24" spans="1:12" s="17" customFormat="1" x14ac:dyDescent="0.3">
      <c r="A24" s="287">
        <v>21</v>
      </c>
      <c r="B24" s="55">
        <v>9</v>
      </c>
      <c r="C24" s="51" t="s">
        <v>17</v>
      </c>
      <c r="D24" s="206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31" t="b">
        <f>+ISNUMBER(PAGOS[[#This Row],[REG]])</f>
        <v>1</v>
      </c>
    </row>
    <row r="25" spans="1:12" s="17" customFormat="1" x14ac:dyDescent="0.3">
      <c r="A25" s="287">
        <v>22</v>
      </c>
      <c r="B25" s="55">
        <v>15</v>
      </c>
      <c r="C25" s="51" t="s">
        <v>22</v>
      </c>
      <c r="D25" s="206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31" t="b">
        <f>+ISNUMBER(PAGOS[[#This Row],[REG]])</f>
        <v>1</v>
      </c>
    </row>
    <row r="26" spans="1:12" s="17" customFormat="1" x14ac:dyDescent="0.3">
      <c r="A26" s="287">
        <v>23</v>
      </c>
      <c r="B26" s="55">
        <v>14</v>
      </c>
      <c r="C26" s="51" t="s">
        <v>21</v>
      </c>
      <c r="D26" s="206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31" t="b">
        <f>+ISNUMBER(PAGOS[[#This Row],[REG]])</f>
        <v>1</v>
      </c>
    </row>
    <row r="27" spans="1:12" s="17" customFormat="1" x14ac:dyDescent="0.3">
      <c r="A27" s="287">
        <v>24</v>
      </c>
      <c r="B27" s="55">
        <v>4</v>
      </c>
      <c r="C27" s="51" t="s">
        <v>12</v>
      </c>
      <c r="D27" s="206">
        <v>6</v>
      </c>
      <c r="E27" s="290">
        <v>25</v>
      </c>
      <c r="F27" s="291">
        <v>45031</v>
      </c>
      <c r="G27" s="292">
        <v>4</v>
      </c>
      <c r="H27" s="290">
        <v>2</v>
      </c>
      <c r="I27" s="291">
        <v>45031</v>
      </c>
      <c r="J27" s="293">
        <v>4</v>
      </c>
      <c r="K27" s="294" t="s">
        <v>381</v>
      </c>
      <c r="L27" s="231" t="b">
        <f>+ISNUMBER(PAGOS[[#This Row],[REG]])</f>
        <v>1</v>
      </c>
    </row>
    <row r="28" spans="1:12" s="17" customFormat="1" x14ac:dyDescent="0.3">
      <c r="A28" s="287">
        <v>25</v>
      </c>
      <c r="B28" s="55">
        <v>12</v>
      </c>
      <c r="C28" s="51" t="s">
        <v>20</v>
      </c>
      <c r="D28" s="206">
        <v>7</v>
      </c>
      <c r="E28" s="290">
        <v>25</v>
      </c>
      <c r="F28" s="291">
        <v>45031</v>
      </c>
      <c r="G28" s="292">
        <v>4</v>
      </c>
      <c r="H28" s="290">
        <v>2</v>
      </c>
      <c r="I28" s="291">
        <v>45031</v>
      </c>
      <c r="J28" s="293">
        <v>4</v>
      </c>
      <c r="K28" s="294" t="s">
        <v>381</v>
      </c>
      <c r="L28" s="231" t="b">
        <f>+ISNUMBER(PAGOS[[#This Row],[REG]])</f>
        <v>1</v>
      </c>
    </row>
    <row r="29" spans="1:12" s="17" customFormat="1" x14ac:dyDescent="0.3">
      <c r="A29" s="287">
        <v>26</v>
      </c>
      <c r="B29" s="55">
        <v>6</v>
      </c>
      <c r="C29" s="51" t="s">
        <v>24</v>
      </c>
      <c r="D29" s="206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31" t="b">
        <f>+ISNUMBER(PAGOS[[#This Row],[REG]])</f>
        <v>1</v>
      </c>
    </row>
    <row r="30" spans="1:12" s="17" customFormat="1" x14ac:dyDescent="0.3">
      <c r="A30" s="287">
        <v>27</v>
      </c>
      <c r="B30" s="55">
        <v>7</v>
      </c>
      <c r="C30" s="51" t="s">
        <v>15</v>
      </c>
      <c r="D30" s="206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31" t="b">
        <f>+ISNUMBER(PAGOS[[#This Row],[REG]])</f>
        <v>1</v>
      </c>
    </row>
    <row r="31" spans="1:12" s="17" customFormat="1" x14ac:dyDescent="0.3">
      <c r="A31" s="287">
        <v>28</v>
      </c>
      <c r="B31" s="55">
        <v>10</v>
      </c>
      <c r="C31" s="51" t="s">
        <v>18</v>
      </c>
      <c r="D31" s="206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31" t="b">
        <f>+ISNUMBER(PAGOS[[#This Row],[REG]])</f>
        <v>1</v>
      </c>
    </row>
    <row r="32" spans="1:12" s="17" customFormat="1" x14ac:dyDescent="0.3">
      <c r="A32" s="287">
        <v>29</v>
      </c>
      <c r="B32" s="55">
        <v>5</v>
      </c>
      <c r="C32" s="51" t="s">
        <v>14</v>
      </c>
      <c r="D32" s="206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31" t="b">
        <f>+ISNUMBER(PAGOS[[#This Row],[REG]])</f>
        <v>1</v>
      </c>
    </row>
    <row r="33" spans="1:12" s="17" customFormat="1" x14ac:dyDescent="0.3">
      <c r="A33" s="287">
        <v>30</v>
      </c>
      <c r="B33" s="55">
        <v>9</v>
      </c>
      <c r="C33" s="51" t="s">
        <v>17</v>
      </c>
      <c r="D33" s="206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31" t="b">
        <f>+ISNUMBER(PAGOS[[#This Row],[REG]])</f>
        <v>1</v>
      </c>
    </row>
    <row r="34" spans="1:12" s="17" customFormat="1" x14ac:dyDescent="0.3">
      <c r="A34" s="287">
        <v>31</v>
      </c>
      <c r="B34" s="55">
        <v>15</v>
      </c>
      <c r="C34" s="51" t="s">
        <v>22</v>
      </c>
      <c r="D34" s="206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31" t="b">
        <f>+ISNUMBER(PAGOS[[#This Row],[REG]])</f>
        <v>1</v>
      </c>
    </row>
    <row r="35" spans="1:12" s="17" customFormat="1" x14ac:dyDescent="0.3">
      <c r="A35" s="287">
        <v>32</v>
      </c>
      <c r="B35" s="55">
        <v>14</v>
      </c>
      <c r="C35" s="51" t="s">
        <v>21</v>
      </c>
      <c r="D35" s="206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31" t="b">
        <f>+ISNUMBER(PAGOS[[#This Row],[REG]])</f>
        <v>1</v>
      </c>
    </row>
    <row r="36" spans="1:12" s="17" customFormat="1" x14ac:dyDescent="0.3">
      <c r="A36" s="287">
        <v>33</v>
      </c>
      <c r="B36" s="55">
        <v>4</v>
      </c>
      <c r="C36" s="51" t="s">
        <v>12</v>
      </c>
      <c r="D36" s="206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31" t="b">
        <f>+ISNUMBER(PAGOS[[#This Row],[REG]])</f>
        <v>1</v>
      </c>
    </row>
    <row r="37" spans="1:12" s="17" customFormat="1" x14ac:dyDescent="0.3">
      <c r="A37" s="287">
        <v>34</v>
      </c>
      <c r="B37" s="55">
        <v>12</v>
      </c>
      <c r="C37" s="51" t="s">
        <v>20</v>
      </c>
      <c r="D37" s="206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31" t="b">
        <f>+ISNUMBER(PAGOS[[#This Row],[REG]])</f>
        <v>1</v>
      </c>
    </row>
    <row r="38" spans="1:12" s="17" customFormat="1" x14ac:dyDescent="0.3">
      <c r="A38" s="287">
        <v>35</v>
      </c>
      <c r="B38" s="55">
        <v>7</v>
      </c>
      <c r="C38" s="51" t="s">
        <v>15</v>
      </c>
      <c r="D38" s="206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31" t="b">
        <f>+ISNUMBER(PAGOS[[#This Row],[REG]])</f>
        <v>1</v>
      </c>
    </row>
    <row r="39" spans="1:12" s="17" customFormat="1" x14ac:dyDescent="0.3">
      <c r="A39" s="287">
        <v>36</v>
      </c>
      <c r="B39" s="55">
        <v>10</v>
      </c>
      <c r="C39" s="51" t="s">
        <v>18</v>
      </c>
      <c r="D39" s="206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31" t="b">
        <f>+ISNUMBER(PAGOS[[#This Row],[REG]])</f>
        <v>1</v>
      </c>
    </row>
    <row r="40" spans="1:12" s="17" customFormat="1" x14ac:dyDescent="0.3">
      <c r="A40" s="287">
        <v>37</v>
      </c>
      <c r="B40" s="55">
        <v>5</v>
      </c>
      <c r="C40" s="51" t="s">
        <v>14</v>
      </c>
      <c r="D40" s="206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31" t="b">
        <f>+ISNUMBER(PAGOS[[#This Row],[REG]])</f>
        <v>1</v>
      </c>
    </row>
    <row r="41" spans="1:12" s="17" customFormat="1" x14ac:dyDescent="0.3">
      <c r="A41" s="287">
        <v>38</v>
      </c>
      <c r="B41" s="55">
        <v>9</v>
      </c>
      <c r="C41" s="51" t="s">
        <v>17</v>
      </c>
      <c r="D41" s="206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31" t="b">
        <f>+ISNUMBER(PAGOS[[#This Row],[REG]])</f>
        <v>1</v>
      </c>
    </row>
    <row r="42" spans="1:12" s="17" customFormat="1" x14ac:dyDescent="0.3">
      <c r="A42" s="287">
        <v>39</v>
      </c>
      <c r="B42" s="55">
        <v>14</v>
      </c>
      <c r="C42" s="51" t="s">
        <v>21</v>
      </c>
      <c r="D42" s="206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31" t="b">
        <f>+ISNUMBER(PAGOS[[#This Row],[REG]])</f>
        <v>1</v>
      </c>
    </row>
    <row r="43" spans="1:12" s="17" customFormat="1" x14ac:dyDescent="0.3">
      <c r="A43" s="287">
        <v>40</v>
      </c>
      <c r="B43" s="55">
        <v>9</v>
      </c>
      <c r="C43" s="51" t="s">
        <v>17</v>
      </c>
      <c r="D43" s="206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31" t="b">
        <f>+ISNUMBER(PAGOS[[#This Row],[REG]])</f>
        <v>1</v>
      </c>
    </row>
    <row r="44" spans="1:12" s="17" customFormat="1" x14ac:dyDescent="0.3">
      <c r="A44" s="287">
        <v>41</v>
      </c>
      <c r="B44" s="55">
        <v>8</v>
      </c>
      <c r="C44" s="51" t="s">
        <v>16</v>
      </c>
      <c r="D44" s="206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31" t="b">
        <f>+ISNUMBER(PAGOS[[#This Row],[REG]])</f>
        <v>1</v>
      </c>
    </row>
    <row r="45" spans="1:12" s="17" customFormat="1" x14ac:dyDescent="0.3">
      <c r="A45" s="287">
        <v>42</v>
      </c>
      <c r="B45" s="55">
        <v>4</v>
      </c>
      <c r="C45" s="51" t="s">
        <v>12</v>
      </c>
      <c r="D45" s="206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31" t="b">
        <f>+ISNUMBER(PAGOS[[#This Row],[REG]])</f>
        <v>1</v>
      </c>
    </row>
    <row r="46" spans="1:12" s="17" customFormat="1" x14ac:dyDescent="0.3">
      <c r="A46" s="287">
        <v>43</v>
      </c>
      <c r="B46" s="55">
        <v>12</v>
      </c>
      <c r="C46" s="51" t="s">
        <v>20</v>
      </c>
      <c r="D46" s="206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31" t="b">
        <f>+ISNUMBER(PAGOS[[#This Row],[REG]])</f>
        <v>1</v>
      </c>
    </row>
    <row r="47" spans="1:12" s="17" customFormat="1" x14ac:dyDescent="0.3">
      <c r="A47" s="287">
        <v>44</v>
      </c>
      <c r="B47" s="55">
        <v>7</v>
      </c>
      <c r="C47" s="51" t="s">
        <v>15</v>
      </c>
      <c r="D47" s="206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31" t="b">
        <f>+ISNUMBER(PAGOS[[#This Row],[REG]])</f>
        <v>1</v>
      </c>
    </row>
    <row r="48" spans="1:12" s="17" customFormat="1" x14ac:dyDescent="0.3">
      <c r="A48" s="287">
        <v>45</v>
      </c>
      <c r="B48" s="55">
        <v>10</v>
      </c>
      <c r="C48" s="51" t="s">
        <v>18</v>
      </c>
      <c r="D48" s="206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31" t="b">
        <f>+ISNUMBER(PAGOS[[#This Row],[REG]])</f>
        <v>1</v>
      </c>
    </row>
    <row r="49" spans="1:12" s="17" customFormat="1" x14ac:dyDescent="0.3">
      <c r="A49" s="287">
        <v>46</v>
      </c>
      <c r="B49" s="55">
        <v>5</v>
      </c>
      <c r="C49" s="51" t="s">
        <v>14</v>
      </c>
      <c r="D49" s="206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31" t="b">
        <f>+ISNUMBER(PAGOS[[#This Row],[REG]])</f>
        <v>1</v>
      </c>
    </row>
    <row r="50" spans="1:12" s="17" customFormat="1" x14ac:dyDescent="0.3">
      <c r="A50" s="287">
        <v>47</v>
      </c>
      <c r="B50" s="55">
        <v>15</v>
      </c>
      <c r="C50" s="51" t="s">
        <v>22</v>
      </c>
      <c r="D50" s="206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31" t="b">
        <f>+ISNUMBER(PAGOS[[#This Row],[REG]])</f>
        <v>1</v>
      </c>
    </row>
    <row r="51" spans="1:12" s="17" customFormat="1" x14ac:dyDescent="0.3">
      <c r="A51" s="287">
        <v>48</v>
      </c>
      <c r="B51" s="55">
        <v>14</v>
      </c>
      <c r="C51" s="51" t="s">
        <v>21</v>
      </c>
      <c r="D51" s="206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31" t="b">
        <f>+ISNUMBER(PAGOS[[#This Row],[REG]])</f>
        <v>1</v>
      </c>
    </row>
    <row r="52" spans="1:12" s="17" customFormat="1" x14ac:dyDescent="0.3">
      <c r="A52" s="287">
        <v>49</v>
      </c>
      <c r="B52" s="55">
        <v>9</v>
      </c>
      <c r="C52" s="51" t="s">
        <v>17</v>
      </c>
      <c r="D52" s="206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31" t="b">
        <f>+ISNUMBER(PAGOS[[#This Row],[REG]])</f>
        <v>1</v>
      </c>
    </row>
    <row r="53" spans="1:12" s="17" customFormat="1" x14ac:dyDescent="0.3">
      <c r="A53" s="287">
        <v>50</v>
      </c>
      <c r="B53" s="55">
        <v>8</v>
      </c>
      <c r="C53" s="51" t="s">
        <v>16</v>
      </c>
      <c r="D53" s="206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31" t="b">
        <f>+ISNUMBER(PAGOS[[#This Row],[REG]])</f>
        <v>1</v>
      </c>
    </row>
    <row r="54" spans="1:12" s="17" customFormat="1" x14ac:dyDescent="0.3">
      <c r="A54" s="287">
        <v>51</v>
      </c>
      <c r="B54" s="55">
        <v>4</v>
      </c>
      <c r="C54" s="51" t="s">
        <v>12</v>
      </c>
      <c r="D54" s="206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31" t="b">
        <f>+ISNUMBER(PAGOS[[#This Row],[REG]])</f>
        <v>1</v>
      </c>
    </row>
    <row r="55" spans="1:12" s="17" customFormat="1" x14ac:dyDescent="0.3">
      <c r="A55" s="287">
        <v>52</v>
      </c>
      <c r="B55" s="55">
        <v>12</v>
      </c>
      <c r="C55" s="51" t="s">
        <v>20</v>
      </c>
      <c r="D55" s="206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31" t="b">
        <f>+ISNUMBER(PAGOS[[#This Row],[REG]])</f>
        <v>1</v>
      </c>
    </row>
    <row r="56" spans="1:12" s="17" customFormat="1" x14ac:dyDescent="0.3">
      <c r="A56" s="287">
        <v>53</v>
      </c>
      <c r="B56" s="55">
        <v>7</v>
      </c>
      <c r="C56" s="51" t="s">
        <v>15</v>
      </c>
      <c r="D56" s="206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31" t="b">
        <f>+ISNUMBER(PAGOS[[#This Row],[REG]])</f>
        <v>1</v>
      </c>
    </row>
    <row r="57" spans="1:12" s="17" customFormat="1" x14ac:dyDescent="0.3">
      <c r="A57" s="287" t="s">
        <v>90</v>
      </c>
      <c r="B57" s="35">
        <v>2</v>
      </c>
      <c r="C57" s="51" t="s">
        <v>71</v>
      </c>
      <c r="D57" s="206">
        <v>0</v>
      </c>
      <c r="E57" s="33">
        <v>200</v>
      </c>
      <c r="F57" s="41">
        <v>45153</v>
      </c>
      <c r="G57" s="53" t="s">
        <v>569</v>
      </c>
      <c r="H57" s="33">
        <v>0</v>
      </c>
      <c r="I57" s="52">
        <v>45153</v>
      </c>
      <c r="J57" s="54" t="s">
        <v>569</v>
      </c>
      <c r="K57" s="42" t="s">
        <v>72</v>
      </c>
      <c r="L57" s="231" t="b">
        <f>+ISNUMBER(PAGOS[[#This Row],[REG]])</f>
        <v>0</v>
      </c>
    </row>
    <row r="58" spans="1:12" s="17" customFormat="1" x14ac:dyDescent="0.3">
      <c r="A58" s="287">
        <v>54</v>
      </c>
      <c r="B58" s="55">
        <v>7</v>
      </c>
      <c r="C58" s="51" t="s">
        <v>15</v>
      </c>
      <c r="D58" s="206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31" t="b">
        <f>+ISNUMBER(PAGOS[[#This Row],[REG]])</f>
        <v>1</v>
      </c>
    </row>
    <row r="59" spans="1:12" s="17" customFormat="1" x14ac:dyDescent="0.3">
      <c r="A59" s="287">
        <v>55</v>
      </c>
      <c r="B59" s="55">
        <v>5</v>
      </c>
      <c r="C59" s="51" t="s">
        <v>14</v>
      </c>
      <c r="D59" s="206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31" t="b">
        <f>+ISNUMBER(PAGOS[[#This Row],[REG]])</f>
        <v>1</v>
      </c>
    </row>
    <row r="60" spans="1:12" s="17" customFormat="1" x14ac:dyDescent="0.3">
      <c r="A60" s="287">
        <v>56</v>
      </c>
      <c r="B60" s="55">
        <v>15</v>
      </c>
      <c r="C60" s="51" t="s">
        <v>22</v>
      </c>
      <c r="D60" s="206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31" t="b">
        <f>+ISNUMBER(PAGOS[[#This Row],[REG]])</f>
        <v>1</v>
      </c>
    </row>
    <row r="61" spans="1:12" x14ac:dyDescent="0.3">
      <c r="A61" s="287">
        <v>57</v>
      </c>
      <c r="B61" s="55">
        <v>14</v>
      </c>
      <c r="C61" s="51" t="s">
        <v>21</v>
      </c>
      <c r="D61" s="206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31" t="b">
        <f>+ISNUMBER(PAGOS[[#This Row],[REG]])</f>
        <v>1</v>
      </c>
    </row>
    <row r="62" spans="1:12" x14ac:dyDescent="0.3">
      <c r="A62" s="287">
        <v>58</v>
      </c>
      <c r="B62" s="55">
        <v>9</v>
      </c>
      <c r="C62" s="51" t="s">
        <v>17</v>
      </c>
      <c r="D62" s="206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31" t="b">
        <f>+ISNUMBER(PAGOS[[#This Row],[REG]])</f>
        <v>1</v>
      </c>
    </row>
    <row r="63" spans="1:12" x14ac:dyDescent="0.3">
      <c r="A63" s="287">
        <v>59</v>
      </c>
      <c r="B63" s="55">
        <v>4</v>
      </c>
      <c r="C63" s="51" t="s">
        <v>12</v>
      </c>
      <c r="D63" s="206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31" t="b">
        <f>+ISNUMBER(PAGOS[[#This Row],[REG]])</f>
        <v>1</v>
      </c>
    </row>
    <row r="64" spans="1:12" x14ac:dyDescent="0.3">
      <c r="A64" s="287">
        <v>60</v>
      </c>
      <c r="B64" s="55">
        <v>12</v>
      </c>
      <c r="C64" s="51" t="s">
        <v>20</v>
      </c>
      <c r="D64" s="206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31" t="b">
        <f>+ISNUMBER(PAGOS[[#This Row],[REG]])</f>
        <v>1</v>
      </c>
    </row>
    <row r="65" spans="1:12" x14ac:dyDescent="0.3">
      <c r="A65" s="287">
        <v>61</v>
      </c>
      <c r="B65" s="55">
        <v>4</v>
      </c>
      <c r="C65" s="295" t="s">
        <v>12</v>
      </c>
      <c r="D65" s="289">
        <v>22</v>
      </c>
      <c r="E65" s="290">
        <v>100</v>
      </c>
      <c r="F65" s="291">
        <v>45153</v>
      </c>
      <c r="G65" s="292">
        <v>1</v>
      </c>
      <c r="H65" s="290">
        <v>2</v>
      </c>
      <c r="I65" s="291">
        <v>45153</v>
      </c>
      <c r="J65" s="293">
        <v>1</v>
      </c>
      <c r="K65" s="294" t="s">
        <v>85</v>
      </c>
      <c r="L65" s="231" t="b">
        <f>+ISNUMBER(PAGOS[[#This Row],[REG]])</f>
        <v>1</v>
      </c>
    </row>
    <row r="66" spans="1:12" x14ac:dyDescent="0.3">
      <c r="A66" s="287" t="s">
        <v>342</v>
      </c>
      <c r="B66" s="55">
        <v>3</v>
      </c>
      <c r="C66" s="51" t="s">
        <v>13</v>
      </c>
      <c r="D66" s="289">
        <v>0</v>
      </c>
      <c r="E66" s="33">
        <v>0</v>
      </c>
      <c r="F66" s="52">
        <v>45153</v>
      </c>
      <c r="G66" s="53" t="s">
        <v>570</v>
      </c>
      <c r="H66" s="33">
        <v>0</v>
      </c>
      <c r="I66" s="52">
        <v>45153</v>
      </c>
      <c r="J66" s="54" t="s">
        <v>570</v>
      </c>
      <c r="K66" s="36" t="s">
        <v>355</v>
      </c>
      <c r="L66" s="231" t="b">
        <f>+ISNUMBER(PAGOS[[#This Row],[REG]])</f>
        <v>0</v>
      </c>
    </row>
    <row r="67" spans="1:12" x14ac:dyDescent="0.3">
      <c r="A67" s="287">
        <v>62</v>
      </c>
      <c r="B67" s="55">
        <v>8</v>
      </c>
      <c r="C67" s="295" t="s">
        <v>16</v>
      </c>
      <c r="D67" s="289">
        <v>24</v>
      </c>
      <c r="E67" s="290">
        <v>200</v>
      </c>
      <c r="F67" s="291">
        <v>45184</v>
      </c>
      <c r="G67" s="292">
        <v>1</v>
      </c>
      <c r="H67" s="290">
        <v>4</v>
      </c>
      <c r="I67" s="291">
        <v>45184</v>
      </c>
      <c r="J67" s="293">
        <v>1</v>
      </c>
      <c r="K67" s="294" t="s">
        <v>86</v>
      </c>
      <c r="L67" s="231" t="b">
        <f>+ISNUMBER(PAGOS[[#This Row],[REG]])</f>
        <v>1</v>
      </c>
    </row>
    <row r="68" spans="1:12" x14ac:dyDescent="0.3">
      <c r="A68" s="287">
        <v>63</v>
      </c>
      <c r="B68" s="55">
        <v>14</v>
      </c>
      <c r="C68" s="295" t="s">
        <v>21</v>
      </c>
      <c r="D68" s="289">
        <v>19</v>
      </c>
      <c r="E68" s="290">
        <v>0</v>
      </c>
      <c r="F68" s="291">
        <v>45184</v>
      </c>
      <c r="G68" s="292">
        <v>3</v>
      </c>
      <c r="H68" s="290">
        <v>8</v>
      </c>
      <c r="I68" s="291">
        <v>45184</v>
      </c>
      <c r="J68" s="293">
        <v>3</v>
      </c>
      <c r="K68" s="294" t="s">
        <v>87</v>
      </c>
      <c r="L68" s="231" t="b">
        <f>+ISNUMBER(PAGOS[[#This Row],[REG]])</f>
        <v>1</v>
      </c>
    </row>
    <row r="69" spans="1:12" x14ac:dyDescent="0.3">
      <c r="A69" s="287">
        <v>64</v>
      </c>
      <c r="B69" s="55">
        <v>9</v>
      </c>
      <c r="C69" s="295" t="s">
        <v>17</v>
      </c>
      <c r="D69" s="289">
        <v>18</v>
      </c>
      <c r="E69" s="290">
        <v>25</v>
      </c>
      <c r="F69" s="291">
        <v>45184</v>
      </c>
      <c r="G69" s="292">
        <v>4</v>
      </c>
      <c r="H69" s="290">
        <v>2</v>
      </c>
      <c r="I69" s="291">
        <v>45184</v>
      </c>
      <c r="J69" s="293">
        <v>4</v>
      </c>
      <c r="K69" s="294" t="s">
        <v>82</v>
      </c>
      <c r="L69" s="231" t="b">
        <f>+ISNUMBER(PAGOS[[#This Row],[REG]])</f>
        <v>1</v>
      </c>
    </row>
    <row r="70" spans="1:12" x14ac:dyDescent="0.3">
      <c r="A70" s="287">
        <v>65</v>
      </c>
      <c r="B70" s="55">
        <v>15</v>
      </c>
      <c r="C70" s="295" t="s">
        <v>22</v>
      </c>
      <c r="D70" s="289">
        <v>20</v>
      </c>
      <c r="E70" s="290">
        <v>0</v>
      </c>
      <c r="F70" s="291">
        <v>45184</v>
      </c>
      <c r="G70" s="292">
        <v>3</v>
      </c>
      <c r="H70" s="290">
        <v>4</v>
      </c>
      <c r="I70" s="291">
        <v>45184</v>
      </c>
      <c r="J70" s="293">
        <v>3</v>
      </c>
      <c r="K70" s="294" t="s">
        <v>88</v>
      </c>
      <c r="L70" s="231" t="b">
        <f>+ISNUMBER(PAGOS[[#This Row],[REG]])</f>
        <v>1</v>
      </c>
    </row>
    <row r="71" spans="1:12" x14ac:dyDescent="0.3">
      <c r="A71" s="287">
        <v>66</v>
      </c>
      <c r="B71" s="55">
        <v>5</v>
      </c>
      <c r="C71" s="295" t="s">
        <v>14</v>
      </c>
      <c r="D71" s="289">
        <v>21</v>
      </c>
      <c r="E71" s="290">
        <v>0</v>
      </c>
      <c r="F71" s="291">
        <v>45184</v>
      </c>
      <c r="G71" s="292">
        <v>3</v>
      </c>
      <c r="H71" s="290">
        <v>8</v>
      </c>
      <c r="I71" s="291">
        <v>45184</v>
      </c>
      <c r="J71" s="293">
        <v>3</v>
      </c>
      <c r="K71" s="294" t="s">
        <v>124</v>
      </c>
      <c r="L71" s="231" t="b">
        <f>+ISNUMBER(PAGOS[[#This Row],[REG]])</f>
        <v>1</v>
      </c>
    </row>
    <row r="72" spans="1:12" x14ac:dyDescent="0.3">
      <c r="A72" s="287">
        <v>67</v>
      </c>
      <c r="B72" s="55">
        <v>5</v>
      </c>
      <c r="C72" s="51" t="s">
        <v>14</v>
      </c>
      <c r="D72" s="206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31" t="b">
        <f>+ISNUMBER(PAGOS[[#This Row],[REG]])</f>
        <v>1</v>
      </c>
    </row>
    <row r="73" spans="1:12" x14ac:dyDescent="0.3">
      <c r="A73" s="287">
        <v>68</v>
      </c>
      <c r="B73" s="55">
        <v>6</v>
      </c>
      <c r="C73" s="51" t="s">
        <v>24</v>
      </c>
      <c r="D73" s="206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31" t="b">
        <f>+ISNUMBER(PAGOS[[#This Row],[REG]])</f>
        <v>1</v>
      </c>
    </row>
    <row r="74" spans="1:12" x14ac:dyDescent="0.3">
      <c r="A74" s="287">
        <v>69</v>
      </c>
      <c r="B74" s="55">
        <v>7</v>
      </c>
      <c r="C74" s="51" t="s">
        <v>15</v>
      </c>
      <c r="D74" s="206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31" t="b">
        <f>+ISNUMBER(PAGOS[[#This Row],[REG]])</f>
        <v>1</v>
      </c>
    </row>
    <row r="75" spans="1:12" x14ac:dyDescent="0.3">
      <c r="A75" s="287">
        <v>70</v>
      </c>
      <c r="B75" s="55">
        <v>14</v>
      </c>
      <c r="C75" s="51" t="s">
        <v>21</v>
      </c>
      <c r="D75" s="206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31" t="b">
        <f>+ISNUMBER(PAGOS[[#This Row],[REG]])</f>
        <v>1</v>
      </c>
    </row>
    <row r="76" spans="1:12" x14ac:dyDescent="0.3">
      <c r="A76" s="287">
        <v>71</v>
      </c>
      <c r="B76" s="55">
        <v>3</v>
      </c>
      <c r="C76" s="51" t="s">
        <v>13</v>
      </c>
      <c r="D76" s="206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31" t="b">
        <f>+ISNUMBER(PAGOS[[#This Row],[REG]])</f>
        <v>1</v>
      </c>
    </row>
    <row r="77" spans="1:12" x14ac:dyDescent="0.3">
      <c r="A77" s="287">
        <v>72</v>
      </c>
      <c r="B77" s="55">
        <v>15</v>
      </c>
      <c r="C77" s="51" t="s">
        <v>22</v>
      </c>
      <c r="D77" s="206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31" t="b">
        <f>+ISNUMBER(PAGOS[[#This Row],[REG]])</f>
        <v>1</v>
      </c>
    </row>
    <row r="78" spans="1:12" x14ac:dyDescent="0.3">
      <c r="A78" s="287">
        <v>73</v>
      </c>
      <c r="B78" s="55">
        <v>3</v>
      </c>
      <c r="C78" s="51" t="s">
        <v>13</v>
      </c>
      <c r="D78" s="206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31" t="b">
        <f>+ISNUMBER(PAGOS[[#This Row],[REG]])</f>
        <v>1</v>
      </c>
    </row>
    <row r="79" spans="1:12" x14ac:dyDescent="0.3">
      <c r="A79" s="287">
        <v>74</v>
      </c>
      <c r="B79" s="55">
        <v>9</v>
      </c>
      <c r="C79" s="51" t="s">
        <v>17</v>
      </c>
      <c r="D79" s="206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31" t="b">
        <f>+ISNUMBER(PAGOS[[#This Row],[REG]])</f>
        <v>1</v>
      </c>
    </row>
    <row r="80" spans="1:12" x14ac:dyDescent="0.3">
      <c r="A80" s="287">
        <v>75</v>
      </c>
      <c r="B80" s="55">
        <v>12</v>
      </c>
      <c r="C80" s="51" t="s">
        <v>20</v>
      </c>
      <c r="D80" s="206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31" t="b">
        <f>+ISNUMBER(PAGOS[[#This Row],[REG]])</f>
        <v>1</v>
      </c>
    </row>
    <row r="81" spans="1:12" x14ac:dyDescent="0.3">
      <c r="A81" s="287">
        <v>76</v>
      </c>
      <c r="B81" s="55">
        <v>16</v>
      </c>
      <c r="C81" s="51" t="s">
        <v>23</v>
      </c>
      <c r="D81" s="206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31" t="b">
        <f>+ISNUMBER(PAGOS[[#This Row],[REG]])</f>
        <v>1</v>
      </c>
    </row>
    <row r="82" spans="1:12" x14ac:dyDescent="0.3">
      <c r="A82" s="287">
        <v>77</v>
      </c>
      <c r="B82" s="55">
        <v>6</v>
      </c>
      <c r="C82" s="51" t="s">
        <v>24</v>
      </c>
      <c r="D82" s="206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31" t="b">
        <f>+ISNUMBER(PAGOS[[#This Row],[REG]])</f>
        <v>1</v>
      </c>
    </row>
    <row r="83" spans="1:12" x14ac:dyDescent="0.3">
      <c r="A83" s="287" t="s">
        <v>123</v>
      </c>
      <c r="B83" s="246">
        <v>1</v>
      </c>
      <c r="C83" s="51" t="s">
        <v>70</v>
      </c>
      <c r="D83" s="206">
        <v>0</v>
      </c>
      <c r="E83" s="33">
        <v>0</v>
      </c>
      <c r="F83" s="52">
        <v>45245</v>
      </c>
      <c r="G83" s="292" t="s">
        <v>568</v>
      </c>
      <c r="H83" s="33">
        <v>1.5</v>
      </c>
      <c r="I83" s="52">
        <v>45245</v>
      </c>
      <c r="J83" s="293" t="s">
        <v>568</v>
      </c>
      <c r="K83" s="36" t="s">
        <v>122</v>
      </c>
      <c r="L83" s="231" t="b">
        <f>+ISNUMBER(PAGOS[[#This Row],[REG]])</f>
        <v>0</v>
      </c>
    </row>
    <row r="84" spans="1:12" x14ac:dyDescent="0.3">
      <c r="A84" s="287">
        <v>78</v>
      </c>
      <c r="B84" s="55">
        <v>5</v>
      </c>
      <c r="C84" s="51" t="s">
        <v>14</v>
      </c>
      <c r="D84" s="206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31" t="b">
        <f>+ISNUMBER(PAGOS[[#This Row],[REG]])</f>
        <v>1</v>
      </c>
    </row>
    <row r="85" spans="1:12" x14ac:dyDescent="0.3">
      <c r="A85" s="287">
        <v>79</v>
      </c>
      <c r="B85" s="55">
        <v>6</v>
      </c>
      <c r="C85" s="51" t="s">
        <v>24</v>
      </c>
      <c r="D85" s="206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31" t="b">
        <f>+ISNUMBER(PAGOS[[#This Row],[REG]])</f>
        <v>1</v>
      </c>
    </row>
    <row r="86" spans="1:12" x14ac:dyDescent="0.3">
      <c r="A86" s="287">
        <v>80</v>
      </c>
      <c r="B86" s="55">
        <v>12</v>
      </c>
      <c r="C86" s="51" t="s">
        <v>20</v>
      </c>
      <c r="D86" s="206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31" t="b">
        <f>+ISNUMBER(PAGOS[[#This Row],[REG]])</f>
        <v>1</v>
      </c>
    </row>
    <row r="87" spans="1:12" x14ac:dyDescent="0.3">
      <c r="A87" s="287">
        <v>81</v>
      </c>
      <c r="B87" s="55">
        <v>16</v>
      </c>
      <c r="C87" s="51" t="s">
        <v>23</v>
      </c>
      <c r="D87" s="206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31" t="b">
        <f>+ISNUMBER(PAGOS[[#This Row],[REG]])</f>
        <v>1</v>
      </c>
    </row>
    <row r="88" spans="1:12" x14ac:dyDescent="0.3">
      <c r="A88" s="287">
        <v>82</v>
      </c>
      <c r="B88" s="55">
        <v>9</v>
      </c>
      <c r="C88" s="51" t="s">
        <v>17</v>
      </c>
      <c r="D88" s="206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31" t="b">
        <f>+ISNUMBER(PAGOS[[#This Row],[REG]])</f>
        <v>1</v>
      </c>
    </row>
    <row r="89" spans="1:12" x14ac:dyDescent="0.3">
      <c r="A89" s="287">
        <v>83</v>
      </c>
      <c r="B89" s="55">
        <v>14</v>
      </c>
      <c r="C89" s="51" t="s">
        <v>21</v>
      </c>
      <c r="D89" s="206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31" t="b">
        <f>+ISNUMBER(PAGOS[[#This Row],[REG]])</f>
        <v>1</v>
      </c>
    </row>
    <row r="90" spans="1:12" x14ac:dyDescent="0.3">
      <c r="A90" s="287">
        <v>84</v>
      </c>
      <c r="B90" s="55">
        <v>3</v>
      </c>
      <c r="C90" s="51" t="s">
        <v>13</v>
      </c>
      <c r="D90" s="206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31" t="b">
        <f>+ISNUMBER(PAGOS[[#This Row],[REG]])</f>
        <v>1</v>
      </c>
    </row>
    <row r="91" spans="1:12" x14ac:dyDescent="0.3">
      <c r="A91" s="287" t="s">
        <v>128</v>
      </c>
      <c r="B91" s="55">
        <v>14</v>
      </c>
      <c r="C91" s="51" t="s">
        <v>21</v>
      </c>
      <c r="D91" s="206">
        <v>32</v>
      </c>
      <c r="E91" s="33">
        <v>0</v>
      </c>
      <c r="F91" s="52">
        <v>45306</v>
      </c>
      <c r="G91" s="53" t="s">
        <v>569</v>
      </c>
      <c r="H91" s="33">
        <v>10</v>
      </c>
      <c r="I91" s="52">
        <v>45306</v>
      </c>
      <c r="J91" s="54" t="s">
        <v>569</v>
      </c>
      <c r="K91" s="36" t="s">
        <v>458</v>
      </c>
      <c r="L91" s="231" t="b">
        <f>+ISNUMBER(PAGOS[[#This Row],[REG]])</f>
        <v>0</v>
      </c>
    </row>
    <row r="92" spans="1:12" x14ac:dyDescent="0.3">
      <c r="A92" s="296">
        <v>85</v>
      </c>
      <c r="B92" s="55">
        <v>14</v>
      </c>
      <c r="C92" s="51" t="s">
        <v>21</v>
      </c>
      <c r="D92" s="206">
        <v>32</v>
      </c>
      <c r="E92" s="33">
        <v>250</v>
      </c>
      <c r="F92" s="52">
        <v>45306</v>
      </c>
      <c r="G92" s="298">
        <v>4</v>
      </c>
      <c r="H92" s="33">
        <v>0</v>
      </c>
      <c r="I92" s="52">
        <v>45306</v>
      </c>
      <c r="J92" s="299">
        <v>4</v>
      </c>
      <c r="K92" s="36" t="s">
        <v>448</v>
      </c>
      <c r="L92" s="231" t="b">
        <f>+ISNUMBER(PAGOS[[#This Row],[REG]])</f>
        <v>1</v>
      </c>
    </row>
    <row r="93" spans="1:12" x14ac:dyDescent="0.3">
      <c r="A93" s="287">
        <v>86</v>
      </c>
      <c r="B93" s="55">
        <v>5</v>
      </c>
      <c r="C93" s="51" t="s">
        <v>14</v>
      </c>
      <c r="D93" s="206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31" t="b">
        <f>+ISNUMBER(PAGOS[[#This Row],[REG]])</f>
        <v>1</v>
      </c>
    </row>
    <row r="94" spans="1:12" x14ac:dyDescent="0.3">
      <c r="A94" s="287">
        <v>87</v>
      </c>
      <c r="B94" s="55">
        <v>6</v>
      </c>
      <c r="C94" s="51" t="s">
        <v>24</v>
      </c>
      <c r="D94" s="206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31" t="b">
        <f>+ISNUMBER(PAGOS[[#This Row],[REG]])</f>
        <v>1</v>
      </c>
    </row>
    <row r="95" spans="1:12" x14ac:dyDescent="0.3">
      <c r="A95" s="287">
        <v>88</v>
      </c>
      <c r="B95" s="55">
        <v>12</v>
      </c>
      <c r="C95" s="51" t="s">
        <v>20</v>
      </c>
      <c r="D95" s="206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31" t="b">
        <f>+ISNUMBER(PAGOS[[#This Row],[REG]])</f>
        <v>1</v>
      </c>
    </row>
    <row r="96" spans="1:12" x14ac:dyDescent="0.3">
      <c r="A96" s="287">
        <v>89</v>
      </c>
      <c r="B96" s="55">
        <v>16</v>
      </c>
      <c r="C96" s="51" t="s">
        <v>23</v>
      </c>
      <c r="D96" s="206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31" t="b">
        <f>+ISNUMBER(PAGOS[[#This Row],[REG]])</f>
        <v>1</v>
      </c>
    </row>
    <row r="97" spans="1:12" x14ac:dyDescent="0.3">
      <c r="A97" s="287">
        <v>90</v>
      </c>
      <c r="B97" s="55">
        <v>9</v>
      </c>
      <c r="C97" s="51" t="s">
        <v>17</v>
      </c>
      <c r="D97" s="206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31" t="b">
        <f>+ISNUMBER(PAGOS[[#This Row],[REG]])</f>
        <v>1</v>
      </c>
    </row>
    <row r="98" spans="1:12" x14ac:dyDescent="0.3">
      <c r="A98" s="287">
        <v>91</v>
      </c>
      <c r="B98" s="55">
        <v>14</v>
      </c>
      <c r="C98" s="51" t="s">
        <v>21</v>
      </c>
      <c r="D98" s="206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31" t="b">
        <f>+ISNUMBER(PAGOS[[#This Row],[REG]])</f>
        <v>1</v>
      </c>
    </row>
    <row r="99" spans="1:12" x14ac:dyDescent="0.3">
      <c r="A99" s="287">
        <v>92</v>
      </c>
      <c r="B99" s="55">
        <v>3</v>
      </c>
      <c r="C99" s="51" t="s">
        <v>13</v>
      </c>
      <c r="D99" s="206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31" t="b">
        <f>+ISNUMBER(PAGOS[[#This Row],[REG]])</f>
        <v>1</v>
      </c>
    </row>
    <row r="100" spans="1:12" x14ac:dyDescent="0.3">
      <c r="A100" s="296">
        <v>93</v>
      </c>
      <c r="B100" s="55">
        <v>9</v>
      </c>
      <c r="C100" s="51" t="s">
        <v>17</v>
      </c>
      <c r="D100" s="206">
        <v>28</v>
      </c>
      <c r="E100" s="33">
        <v>600</v>
      </c>
      <c r="F100" s="52">
        <v>45337</v>
      </c>
      <c r="G100" s="298">
        <v>4</v>
      </c>
      <c r="H100" s="33">
        <v>0</v>
      </c>
      <c r="I100" s="52">
        <v>45337</v>
      </c>
      <c r="J100" s="299">
        <v>4</v>
      </c>
      <c r="K100" s="36" t="s">
        <v>449</v>
      </c>
      <c r="L100" s="231" t="b">
        <f>+ISNUMBER(PAGOS[[#This Row],[REG]])</f>
        <v>1</v>
      </c>
    </row>
    <row r="101" spans="1:12" x14ac:dyDescent="0.3">
      <c r="A101" s="287">
        <v>94</v>
      </c>
      <c r="B101" s="55">
        <v>5</v>
      </c>
      <c r="C101" s="51" t="s">
        <v>14</v>
      </c>
      <c r="D101" s="206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31" t="b">
        <f>+ISNUMBER(PAGOS[[#This Row],[REG]])</f>
        <v>1</v>
      </c>
    </row>
    <row r="102" spans="1:12" x14ac:dyDescent="0.3">
      <c r="A102" s="287">
        <v>95</v>
      </c>
      <c r="B102" s="55">
        <v>6</v>
      </c>
      <c r="C102" s="51" t="s">
        <v>24</v>
      </c>
      <c r="D102" s="206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31" t="b">
        <f>+ISNUMBER(PAGOS[[#This Row],[REG]])</f>
        <v>1</v>
      </c>
    </row>
    <row r="103" spans="1:12" x14ac:dyDescent="0.3">
      <c r="A103" s="287">
        <v>96</v>
      </c>
      <c r="B103" s="55">
        <v>12</v>
      </c>
      <c r="C103" s="51" t="s">
        <v>20</v>
      </c>
      <c r="D103" s="206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31" t="b">
        <f>+ISNUMBER(PAGOS[[#This Row],[REG]])</f>
        <v>1</v>
      </c>
    </row>
    <row r="104" spans="1:12" x14ac:dyDescent="0.3">
      <c r="A104" s="287">
        <v>97</v>
      </c>
      <c r="B104" s="55">
        <v>15</v>
      </c>
      <c r="C104" s="51" t="s">
        <v>22</v>
      </c>
      <c r="D104" s="206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31" t="b">
        <f>+ISNUMBER(PAGOS[[#This Row],[REG]])</f>
        <v>1</v>
      </c>
    </row>
    <row r="105" spans="1:12" x14ac:dyDescent="0.3">
      <c r="A105" s="287">
        <v>98</v>
      </c>
      <c r="B105" s="55">
        <v>9</v>
      </c>
      <c r="C105" s="51" t="s">
        <v>17</v>
      </c>
      <c r="D105" s="206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31" t="b">
        <f>+ISNUMBER(PAGOS[[#This Row],[REG]])</f>
        <v>1</v>
      </c>
    </row>
    <row r="106" spans="1:12" x14ac:dyDescent="0.3">
      <c r="A106" s="287">
        <v>99</v>
      </c>
      <c r="B106" s="55">
        <v>14</v>
      </c>
      <c r="C106" s="51" t="s">
        <v>21</v>
      </c>
      <c r="D106" s="206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31" t="b">
        <f>+ISNUMBER(PAGOS[[#This Row],[REG]])</f>
        <v>1</v>
      </c>
    </row>
    <row r="107" spans="1:12" x14ac:dyDescent="0.3">
      <c r="A107" s="287" t="s">
        <v>158</v>
      </c>
      <c r="B107" s="55">
        <v>1</v>
      </c>
      <c r="C107" s="51" t="s">
        <v>403</v>
      </c>
      <c r="D107" s="289">
        <v>0</v>
      </c>
      <c r="E107" s="33">
        <v>0</v>
      </c>
      <c r="F107" s="52">
        <v>45337</v>
      </c>
      <c r="G107" s="292" t="s">
        <v>568</v>
      </c>
      <c r="H107" s="33">
        <v>4</v>
      </c>
      <c r="I107" s="52">
        <v>45337</v>
      </c>
      <c r="J107" s="293" t="s">
        <v>568</v>
      </c>
      <c r="K107" s="36" t="s">
        <v>159</v>
      </c>
      <c r="L107" s="231" t="b">
        <f>+ISNUMBER(PAGOS[[#This Row],[REG]])</f>
        <v>0</v>
      </c>
    </row>
    <row r="108" spans="1:12" x14ac:dyDescent="0.3">
      <c r="A108" s="287" t="s">
        <v>160</v>
      </c>
      <c r="B108" s="55">
        <v>1</v>
      </c>
      <c r="C108" s="51" t="s">
        <v>404</v>
      </c>
      <c r="D108" s="289">
        <v>0</v>
      </c>
      <c r="E108" s="33">
        <v>0</v>
      </c>
      <c r="F108" s="52">
        <v>45337</v>
      </c>
      <c r="G108" s="292" t="s">
        <v>568</v>
      </c>
      <c r="H108" s="33">
        <v>4</v>
      </c>
      <c r="I108" s="52">
        <v>45337</v>
      </c>
      <c r="J108" s="293" t="s">
        <v>568</v>
      </c>
      <c r="K108" s="36" t="s">
        <v>159</v>
      </c>
      <c r="L108" s="231" t="b">
        <f>+ISNUMBER(PAGOS[[#This Row],[REG]])</f>
        <v>0</v>
      </c>
    </row>
    <row r="109" spans="1:12" x14ac:dyDescent="0.3">
      <c r="A109" s="287">
        <v>100</v>
      </c>
      <c r="B109" s="55">
        <v>6</v>
      </c>
      <c r="C109" s="51" t="s">
        <v>24</v>
      </c>
      <c r="D109" s="206">
        <v>25</v>
      </c>
      <c r="E109" s="33">
        <v>500</v>
      </c>
      <c r="F109" s="52">
        <v>45366</v>
      </c>
      <c r="G109" s="298">
        <v>6</v>
      </c>
      <c r="H109" s="33">
        <v>0</v>
      </c>
      <c r="I109" s="52">
        <v>45366</v>
      </c>
      <c r="J109" s="299">
        <v>6</v>
      </c>
      <c r="K109" s="36" t="s">
        <v>459</v>
      </c>
      <c r="L109" s="231" t="b">
        <f>+ISNUMBER(PAGOS[[#This Row],[REG]])</f>
        <v>1</v>
      </c>
    </row>
    <row r="110" spans="1:12" x14ac:dyDescent="0.3">
      <c r="A110" s="287">
        <v>101</v>
      </c>
      <c r="B110" s="55">
        <v>14</v>
      </c>
      <c r="C110" s="51" t="s">
        <v>21</v>
      </c>
      <c r="D110" s="206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31" t="b">
        <f>+ISNUMBER(PAGOS[[#This Row],[REG]])</f>
        <v>1</v>
      </c>
    </row>
    <row r="111" spans="1:12" x14ac:dyDescent="0.3">
      <c r="A111" s="287" t="s">
        <v>201</v>
      </c>
      <c r="B111" s="55">
        <v>15</v>
      </c>
      <c r="C111" s="51" t="s">
        <v>22</v>
      </c>
      <c r="D111" s="206">
        <v>34</v>
      </c>
      <c r="E111" s="33">
        <v>0</v>
      </c>
      <c r="F111" s="52">
        <v>45366</v>
      </c>
      <c r="G111" s="53" t="s">
        <v>569</v>
      </c>
      <c r="H111" s="33">
        <v>6</v>
      </c>
      <c r="I111" s="52">
        <v>45366</v>
      </c>
      <c r="J111" s="54" t="s">
        <v>569</v>
      </c>
      <c r="K111" s="36" t="s">
        <v>460</v>
      </c>
      <c r="L111" s="231" t="b">
        <f>+ISNUMBER(PAGOS[[#This Row],[REG]])</f>
        <v>0</v>
      </c>
    </row>
    <row r="112" spans="1:12" x14ac:dyDescent="0.3">
      <c r="A112" s="287">
        <v>102</v>
      </c>
      <c r="B112" s="55">
        <v>15</v>
      </c>
      <c r="C112" s="51" t="s">
        <v>22</v>
      </c>
      <c r="D112" s="206">
        <v>34</v>
      </c>
      <c r="E112" s="33">
        <v>100</v>
      </c>
      <c r="F112" s="52">
        <v>45366</v>
      </c>
      <c r="G112" s="298">
        <v>5</v>
      </c>
      <c r="H112" s="33">
        <v>0</v>
      </c>
      <c r="I112" s="52">
        <v>45366</v>
      </c>
      <c r="J112" s="299">
        <v>5</v>
      </c>
      <c r="K112" s="36" t="s">
        <v>461</v>
      </c>
      <c r="L112" s="231" t="b">
        <f>+ISNUMBER(PAGOS[[#This Row],[REG]])</f>
        <v>1</v>
      </c>
    </row>
    <row r="113" spans="1:12" x14ac:dyDescent="0.3">
      <c r="A113" s="287">
        <v>103</v>
      </c>
      <c r="B113" s="55">
        <v>12</v>
      </c>
      <c r="C113" s="51" t="s">
        <v>20</v>
      </c>
      <c r="D113" s="206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31" t="b">
        <f>+ISNUMBER(PAGOS[[#This Row],[REG]])</f>
        <v>1</v>
      </c>
    </row>
    <row r="114" spans="1:12" x14ac:dyDescent="0.3">
      <c r="A114" s="287">
        <v>104</v>
      </c>
      <c r="B114" s="55">
        <v>5</v>
      </c>
      <c r="C114" s="51" t="s">
        <v>14</v>
      </c>
      <c r="D114" s="206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31" t="b">
        <f>+ISNUMBER(PAGOS[[#This Row],[REG]])</f>
        <v>1</v>
      </c>
    </row>
    <row r="115" spans="1:12" x14ac:dyDescent="0.3">
      <c r="A115" s="287">
        <v>105</v>
      </c>
      <c r="B115" s="55">
        <v>6</v>
      </c>
      <c r="C115" s="51" t="s">
        <v>24</v>
      </c>
      <c r="D115" s="206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31" t="b">
        <f>+ISNUMBER(PAGOS[[#This Row],[REG]])</f>
        <v>1</v>
      </c>
    </row>
    <row r="116" spans="1:12" x14ac:dyDescent="0.3">
      <c r="A116" s="287">
        <v>106</v>
      </c>
      <c r="B116" s="55">
        <v>15</v>
      </c>
      <c r="C116" s="51" t="s">
        <v>22</v>
      </c>
      <c r="D116" s="206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31" t="b">
        <f>+ISNUMBER(PAGOS[[#This Row],[REG]])</f>
        <v>1</v>
      </c>
    </row>
    <row r="117" spans="1:12" x14ac:dyDescent="0.3">
      <c r="A117" s="287">
        <v>107</v>
      </c>
      <c r="B117" s="55">
        <v>9</v>
      </c>
      <c r="C117" s="51" t="s">
        <v>17</v>
      </c>
      <c r="D117" s="206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31" t="b">
        <f>+ISNUMBER(PAGOS[[#This Row],[REG]])</f>
        <v>1</v>
      </c>
    </row>
    <row r="118" spans="1:12" x14ac:dyDescent="0.3">
      <c r="A118" s="287">
        <v>108</v>
      </c>
      <c r="B118" s="55">
        <v>14</v>
      </c>
      <c r="C118" s="51" t="s">
        <v>21</v>
      </c>
      <c r="D118" s="206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31" t="b">
        <f>+ISNUMBER(PAGOS[[#This Row],[REG]])</f>
        <v>1</v>
      </c>
    </row>
    <row r="119" spans="1:12" x14ac:dyDescent="0.3">
      <c r="A119" s="287">
        <v>109</v>
      </c>
      <c r="B119" s="55">
        <v>4</v>
      </c>
      <c r="C119" s="51" t="s">
        <v>12</v>
      </c>
      <c r="D119" s="206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31" t="b">
        <f>+ISNUMBER(PAGOS[[#This Row],[REG]])</f>
        <v>1</v>
      </c>
    </row>
    <row r="120" spans="1:12" x14ac:dyDescent="0.3">
      <c r="A120" s="287">
        <v>110</v>
      </c>
      <c r="B120" s="55">
        <v>4</v>
      </c>
      <c r="C120" s="51" t="s">
        <v>12</v>
      </c>
      <c r="D120" s="206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31" t="b">
        <f>+ISNUMBER(PAGOS[[#This Row],[REG]])</f>
        <v>1</v>
      </c>
    </row>
    <row r="121" spans="1:12" x14ac:dyDescent="0.3">
      <c r="A121" s="287">
        <v>111</v>
      </c>
      <c r="B121" s="55">
        <v>5</v>
      </c>
      <c r="C121" s="51" t="s">
        <v>14</v>
      </c>
      <c r="D121" s="206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31" t="b">
        <f>+ISNUMBER(PAGOS[[#This Row],[REG]])</f>
        <v>1</v>
      </c>
    </row>
    <row r="122" spans="1:12" x14ac:dyDescent="0.3">
      <c r="A122" s="287">
        <v>112</v>
      </c>
      <c r="B122" s="55">
        <v>9</v>
      </c>
      <c r="C122" s="51" t="s">
        <v>17</v>
      </c>
      <c r="D122" s="206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31" t="b">
        <f>+ISNUMBER(PAGOS[[#This Row],[REG]])</f>
        <v>1</v>
      </c>
    </row>
    <row r="123" spans="1:12" x14ac:dyDescent="0.3">
      <c r="A123" s="287">
        <v>113</v>
      </c>
      <c r="B123" s="55">
        <v>10</v>
      </c>
      <c r="C123" s="51" t="s">
        <v>18</v>
      </c>
      <c r="D123" s="206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31" t="b">
        <f>+ISNUMBER(PAGOS[[#This Row],[REG]])</f>
        <v>1</v>
      </c>
    </row>
    <row r="124" spans="1:12" x14ac:dyDescent="0.3">
      <c r="A124" s="287">
        <v>114</v>
      </c>
      <c r="B124" s="55">
        <v>12</v>
      </c>
      <c r="C124" s="51" t="s">
        <v>20</v>
      </c>
      <c r="D124" s="206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31" t="b">
        <f>+ISNUMBER(PAGOS[[#This Row],[REG]])</f>
        <v>1</v>
      </c>
    </row>
    <row r="125" spans="1:12" x14ac:dyDescent="0.3">
      <c r="A125" s="287">
        <v>115</v>
      </c>
      <c r="B125" s="55">
        <v>14</v>
      </c>
      <c r="C125" s="51" t="s">
        <v>21</v>
      </c>
      <c r="D125" s="206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31" t="b">
        <f>+ISNUMBER(PAGOS[[#This Row],[REG]])</f>
        <v>1</v>
      </c>
    </row>
    <row r="126" spans="1:12" x14ac:dyDescent="0.3">
      <c r="A126" s="287">
        <v>116</v>
      </c>
      <c r="B126" s="55">
        <v>15</v>
      </c>
      <c r="C126" s="51" t="s">
        <v>22</v>
      </c>
      <c r="D126" s="206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31" t="b">
        <f>+ISNUMBER(PAGOS[[#This Row],[REG]])</f>
        <v>1</v>
      </c>
    </row>
    <row r="127" spans="1:12" x14ac:dyDescent="0.3">
      <c r="A127" s="287">
        <v>117</v>
      </c>
      <c r="B127" s="55">
        <v>5</v>
      </c>
      <c r="C127" s="51" t="s">
        <v>14</v>
      </c>
      <c r="D127" s="206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31" t="b">
        <f>+ISNUMBER(PAGOS[[#This Row],[REG]])</f>
        <v>1</v>
      </c>
    </row>
    <row r="128" spans="1:12" x14ac:dyDescent="0.3">
      <c r="A128" s="287">
        <v>118</v>
      </c>
      <c r="B128" s="55">
        <v>4</v>
      </c>
      <c r="C128" s="51" t="s">
        <v>12</v>
      </c>
      <c r="D128" s="206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31" t="b">
        <f>+ISNUMBER(PAGOS[[#This Row],[REG]])</f>
        <v>1</v>
      </c>
    </row>
    <row r="129" spans="1:12" x14ac:dyDescent="0.3">
      <c r="A129" s="287">
        <v>119</v>
      </c>
      <c r="B129" s="55">
        <v>12</v>
      </c>
      <c r="C129" s="51" t="s">
        <v>20</v>
      </c>
      <c r="D129" s="206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31" t="b">
        <f>+ISNUMBER(PAGOS[[#This Row],[REG]])</f>
        <v>1</v>
      </c>
    </row>
    <row r="130" spans="1:12" x14ac:dyDescent="0.3">
      <c r="A130" s="287">
        <v>120</v>
      </c>
      <c r="B130" s="55">
        <v>15</v>
      </c>
      <c r="C130" s="51" t="s">
        <v>22</v>
      </c>
      <c r="D130" s="206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31" t="b">
        <f>+ISNUMBER(PAGOS[[#This Row],[REG]])</f>
        <v>1</v>
      </c>
    </row>
    <row r="131" spans="1:12" x14ac:dyDescent="0.3">
      <c r="A131" s="287">
        <v>121</v>
      </c>
      <c r="B131" s="55">
        <v>10</v>
      </c>
      <c r="C131" s="51" t="s">
        <v>18</v>
      </c>
      <c r="D131" s="206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31" t="b">
        <f>+ISNUMBER(PAGOS[[#This Row],[REG]])</f>
        <v>1</v>
      </c>
    </row>
    <row r="132" spans="1:12" x14ac:dyDescent="0.3">
      <c r="A132" s="287">
        <v>122</v>
      </c>
      <c r="B132" s="55">
        <v>9</v>
      </c>
      <c r="C132" s="51" t="s">
        <v>17</v>
      </c>
      <c r="D132" s="206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31" t="b">
        <f>+ISNUMBER(PAGOS[[#This Row],[REG]])</f>
        <v>1</v>
      </c>
    </row>
    <row r="133" spans="1:12" x14ac:dyDescent="0.3">
      <c r="A133" s="287">
        <v>123</v>
      </c>
      <c r="B133" s="55">
        <v>14</v>
      </c>
      <c r="C133" s="51" t="s">
        <v>21</v>
      </c>
      <c r="D133" s="206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31" t="b">
        <f>+ISNUMBER(PAGOS[[#This Row],[REG]])</f>
        <v>1</v>
      </c>
    </row>
    <row r="134" spans="1:12" x14ac:dyDescent="0.3">
      <c r="A134" s="287" t="s">
        <v>210</v>
      </c>
      <c r="B134" s="55">
        <v>1</v>
      </c>
      <c r="C134" s="51" t="s">
        <v>19</v>
      </c>
      <c r="D134" s="289">
        <v>0</v>
      </c>
      <c r="E134" s="33">
        <v>0</v>
      </c>
      <c r="F134" s="52">
        <v>45427</v>
      </c>
      <c r="G134" s="292" t="s">
        <v>568</v>
      </c>
      <c r="H134" s="33">
        <v>4</v>
      </c>
      <c r="I134" s="52">
        <v>45427</v>
      </c>
      <c r="J134" s="293" t="s">
        <v>568</v>
      </c>
      <c r="K134" s="36" t="s">
        <v>159</v>
      </c>
      <c r="L134" s="231" t="b">
        <f>+ISNUMBER(PAGOS[[#This Row],[REG]])</f>
        <v>0</v>
      </c>
    </row>
    <row r="135" spans="1:12" x14ac:dyDescent="0.3">
      <c r="A135" s="287">
        <v>124</v>
      </c>
      <c r="B135" s="55">
        <v>14</v>
      </c>
      <c r="C135" s="51" t="s">
        <v>21</v>
      </c>
      <c r="D135" s="206">
        <v>39</v>
      </c>
      <c r="E135" s="33">
        <v>200</v>
      </c>
      <c r="F135" s="297">
        <v>45458</v>
      </c>
      <c r="G135" s="298">
        <v>4</v>
      </c>
      <c r="H135" s="33">
        <v>0</v>
      </c>
      <c r="I135" s="297">
        <v>45458</v>
      </c>
      <c r="J135" s="299">
        <v>4</v>
      </c>
      <c r="K135" s="36" t="s">
        <v>462</v>
      </c>
      <c r="L135" s="239" t="b">
        <f>+ISNUMBER(PAGOS[[#This Row],[REG]])</f>
        <v>1</v>
      </c>
    </row>
    <row r="136" spans="1:12" x14ac:dyDescent="0.3">
      <c r="A136" s="287" t="s">
        <v>212</v>
      </c>
      <c r="B136" s="55">
        <v>14</v>
      </c>
      <c r="C136" s="51" t="s">
        <v>21</v>
      </c>
      <c r="D136" s="206">
        <v>39</v>
      </c>
      <c r="E136" s="33">
        <v>0</v>
      </c>
      <c r="F136" s="297">
        <v>45458</v>
      </c>
      <c r="G136" s="53" t="s">
        <v>569</v>
      </c>
      <c r="H136" s="33">
        <v>8</v>
      </c>
      <c r="I136" s="297">
        <v>45458</v>
      </c>
      <c r="J136" s="54" t="s">
        <v>569</v>
      </c>
      <c r="K136" s="36" t="s">
        <v>463</v>
      </c>
      <c r="L136" s="239" t="b">
        <f>+ISNUMBER(PAGOS[[#This Row],[REG]])</f>
        <v>0</v>
      </c>
    </row>
    <row r="137" spans="1:12" x14ac:dyDescent="0.3">
      <c r="A137" s="287">
        <v>125</v>
      </c>
      <c r="B137" s="55">
        <v>5</v>
      </c>
      <c r="C137" s="51" t="s">
        <v>14</v>
      </c>
      <c r="D137" s="206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31" t="b">
        <f>+ISNUMBER(PAGOS[[#This Row],[REG]])</f>
        <v>1</v>
      </c>
    </row>
    <row r="138" spans="1:12" x14ac:dyDescent="0.3">
      <c r="A138" s="287">
        <v>126</v>
      </c>
      <c r="B138" s="55">
        <v>4</v>
      </c>
      <c r="C138" s="51" t="s">
        <v>12</v>
      </c>
      <c r="D138" s="206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31" t="b">
        <f>+ISNUMBER(PAGOS[[#This Row],[REG]])</f>
        <v>1</v>
      </c>
    </row>
    <row r="139" spans="1:12" x14ac:dyDescent="0.3">
      <c r="A139" s="287">
        <v>127</v>
      </c>
      <c r="B139" s="55">
        <v>12</v>
      </c>
      <c r="C139" s="51" t="s">
        <v>20</v>
      </c>
      <c r="D139" s="206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31" t="b">
        <f>+ISNUMBER(PAGOS[[#This Row],[REG]])</f>
        <v>1</v>
      </c>
    </row>
    <row r="140" spans="1:12" x14ac:dyDescent="0.3">
      <c r="A140" s="287">
        <v>128</v>
      </c>
      <c r="B140" s="55">
        <v>15</v>
      </c>
      <c r="C140" s="51" t="s">
        <v>22</v>
      </c>
      <c r="D140" s="206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31" t="b">
        <f>+ISNUMBER(PAGOS[[#This Row],[REG]])</f>
        <v>1</v>
      </c>
    </row>
    <row r="141" spans="1:12" x14ac:dyDescent="0.3">
      <c r="A141" s="287">
        <v>129</v>
      </c>
      <c r="B141" s="55">
        <v>10</v>
      </c>
      <c r="C141" s="51" t="s">
        <v>18</v>
      </c>
      <c r="D141" s="206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31" t="b">
        <f>+ISNUMBER(PAGOS[[#This Row],[REG]])</f>
        <v>1</v>
      </c>
    </row>
    <row r="142" spans="1:12" x14ac:dyDescent="0.3">
      <c r="A142" s="287">
        <v>130</v>
      </c>
      <c r="B142" s="55">
        <v>7</v>
      </c>
      <c r="C142" s="51" t="s">
        <v>15</v>
      </c>
      <c r="D142" s="206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31" t="b">
        <f>+ISNUMBER(PAGOS[[#This Row],[REG]])</f>
        <v>1</v>
      </c>
    </row>
    <row r="143" spans="1:12" x14ac:dyDescent="0.3">
      <c r="A143" s="287">
        <v>131</v>
      </c>
      <c r="B143" s="55">
        <v>9</v>
      </c>
      <c r="C143" s="51" t="s">
        <v>17</v>
      </c>
      <c r="D143" s="206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31" t="b">
        <f>+ISNUMBER(PAGOS[[#This Row],[REG]])</f>
        <v>1</v>
      </c>
    </row>
    <row r="144" spans="1:12" x14ac:dyDescent="0.3">
      <c r="A144" s="287">
        <v>132</v>
      </c>
      <c r="B144" s="55">
        <v>14</v>
      </c>
      <c r="C144" s="51" t="s">
        <v>21</v>
      </c>
      <c r="D144" s="206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31" t="b">
        <f>+ISNUMBER(PAGOS[[#This Row],[REG]])</f>
        <v>1</v>
      </c>
    </row>
    <row r="145" spans="1:12" x14ac:dyDescent="0.3">
      <c r="A145" s="287">
        <v>133</v>
      </c>
      <c r="B145" s="55">
        <v>5</v>
      </c>
      <c r="C145" s="51" t="s">
        <v>14</v>
      </c>
      <c r="D145" s="206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31" t="b">
        <f>+ISNUMBER(PAGOS[[#This Row],[REG]])</f>
        <v>1</v>
      </c>
    </row>
    <row r="146" spans="1:12" x14ac:dyDescent="0.3">
      <c r="A146" s="287">
        <v>134</v>
      </c>
      <c r="B146" s="55">
        <v>12</v>
      </c>
      <c r="C146" s="51" t="s">
        <v>20</v>
      </c>
      <c r="D146" s="206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31" t="b">
        <f>+ISNUMBER(PAGOS[[#This Row],[REG]])</f>
        <v>1</v>
      </c>
    </row>
    <row r="147" spans="1:12" x14ac:dyDescent="0.3">
      <c r="A147" s="287">
        <v>135</v>
      </c>
      <c r="B147" s="55">
        <v>15</v>
      </c>
      <c r="C147" s="51" t="s">
        <v>22</v>
      </c>
      <c r="D147" s="206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31" t="b">
        <f>+ISNUMBER(PAGOS[[#This Row],[REG]])</f>
        <v>1</v>
      </c>
    </row>
    <row r="148" spans="1:12" x14ac:dyDescent="0.3">
      <c r="A148" s="287">
        <v>136</v>
      </c>
      <c r="B148" s="55">
        <v>16</v>
      </c>
      <c r="C148" s="51" t="s">
        <v>23</v>
      </c>
      <c r="D148" s="206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31" t="b">
        <f>+ISNUMBER(PAGOS[[#This Row],[REG]])</f>
        <v>1</v>
      </c>
    </row>
    <row r="149" spans="1:12" x14ac:dyDescent="0.3">
      <c r="A149" s="287">
        <v>137</v>
      </c>
      <c r="B149" s="55">
        <v>10</v>
      </c>
      <c r="C149" s="51" t="s">
        <v>18</v>
      </c>
      <c r="D149" s="206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31" t="b">
        <f>+ISNUMBER(PAGOS[[#This Row],[REG]])</f>
        <v>1</v>
      </c>
    </row>
    <row r="150" spans="1:12" x14ac:dyDescent="0.3">
      <c r="A150" s="287">
        <v>138</v>
      </c>
      <c r="B150" s="55">
        <v>7</v>
      </c>
      <c r="C150" s="51" t="s">
        <v>15</v>
      </c>
      <c r="D150" s="206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31" t="b">
        <f>+ISNUMBER(PAGOS[[#This Row],[REG]])</f>
        <v>1</v>
      </c>
    </row>
    <row r="151" spans="1:12" x14ac:dyDescent="0.3">
      <c r="A151" s="287">
        <v>139</v>
      </c>
      <c r="B151" s="55">
        <v>8</v>
      </c>
      <c r="C151" s="51" t="s">
        <v>16</v>
      </c>
      <c r="D151" s="206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31" t="b">
        <f>+ISNUMBER(PAGOS[[#This Row],[REG]])</f>
        <v>1</v>
      </c>
    </row>
    <row r="152" spans="1:12" x14ac:dyDescent="0.3">
      <c r="A152" s="287">
        <v>140</v>
      </c>
      <c r="B152" s="55">
        <v>9</v>
      </c>
      <c r="C152" s="51" t="s">
        <v>17</v>
      </c>
      <c r="D152" s="206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31" t="b">
        <f>+ISNUMBER(PAGOS[[#This Row],[REG]])</f>
        <v>1</v>
      </c>
    </row>
    <row r="153" spans="1:12" x14ac:dyDescent="0.3">
      <c r="A153" s="287">
        <v>141</v>
      </c>
      <c r="B153" s="55">
        <v>14</v>
      </c>
      <c r="C153" s="51" t="s">
        <v>21</v>
      </c>
      <c r="D153" s="206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31" t="b">
        <f>+ISNUMBER(PAGOS[[#This Row],[REG]])</f>
        <v>1</v>
      </c>
    </row>
    <row r="154" spans="1:12" x14ac:dyDescent="0.3">
      <c r="A154" s="287">
        <v>142</v>
      </c>
      <c r="B154" s="55">
        <v>5</v>
      </c>
      <c r="C154" s="51" t="s">
        <v>14</v>
      </c>
      <c r="D154" s="206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31" t="b">
        <f>+ISNUMBER(PAGOS[[#This Row],[REG]])</f>
        <v>1</v>
      </c>
    </row>
    <row r="155" spans="1:12" x14ac:dyDescent="0.3">
      <c r="A155" s="287">
        <v>143</v>
      </c>
      <c r="B155" s="55">
        <v>6</v>
      </c>
      <c r="C155" s="51" t="s">
        <v>24</v>
      </c>
      <c r="D155" s="206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31" t="b">
        <f>+ISNUMBER(PAGOS[[#This Row],[REG]])</f>
        <v>1</v>
      </c>
    </row>
    <row r="156" spans="1:12" x14ac:dyDescent="0.3">
      <c r="A156" s="287">
        <v>144</v>
      </c>
      <c r="B156" s="55">
        <v>12</v>
      </c>
      <c r="C156" s="51" t="s">
        <v>20</v>
      </c>
      <c r="D156" s="206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31" t="b">
        <f>+ISNUMBER(PAGOS[[#This Row],[REG]])</f>
        <v>1</v>
      </c>
    </row>
    <row r="157" spans="1:12" x14ac:dyDescent="0.3">
      <c r="A157" s="287">
        <v>145</v>
      </c>
      <c r="B157" s="55">
        <v>15</v>
      </c>
      <c r="C157" s="51" t="s">
        <v>22</v>
      </c>
      <c r="D157" s="206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31" t="b">
        <f>+ISNUMBER(PAGOS[[#This Row],[REG]])</f>
        <v>1</v>
      </c>
    </row>
    <row r="158" spans="1:12" x14ac:dyDescent="0.3">
      <c r="A158" s="287">
        <v>146</v>
      </c>
      <c r="B158" s="55">
        <v>16</v>
      </c>
      <c r="C158" s="51" t="s">
        <v>23</v>
      </c>
      <c r="D158" s="206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31" t="b">
        <f>+ISNUMBER(PAGOS[[#This Row],[REG]])</f>
        <v>1</v>
      </c>
    </row>
    <row r="159" spans="1:12" x14ac:dyDescent="0.3">
      <c r="A159" s="287">
        <v>147</v>
      </c>
      <c r="B159" s="55">
        <v>10</v>
      </c>
      <c r="C159" s="51" t="s">
        <v>18</v>
      </c>
      <c r="D159" s="206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31" t="b">
        <f>+ISNUMBER(PAGOS[[#This Row],[REG]])</f>
        <v>1</v>
      </c>
    </row>
    <row r="160" spans="1:12" x14ac:dyDescent="0.3">
      <c r="A160" s="287">
        <v>148</v>
      </c>
      <c r="B160" s="55">
        <v>7</v>
      </c>
      <c r="C160" s="51" t="s">
        <v>15</v>
      </c>
      <c r="D160" s="206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31" t="b">
        <f>+ISNUMBER(PAGOS[[#This Row],[REG]])</f>
        <v>1</v>
      </c>
    </row>
    <row r="161" spans="1:12" x14ac:dyDescent="0.3">
      <c r="A161" s="287">
        <v>149</v>
      </c>
      <c r="B161" s="55">
        <v>14</v>
      </c>
      <c r="C161" s="51" t="s">
        <v>21</v>
      </c>
      <c r="D161" s="206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31" t="b">
        <f>+ISNUMBER(PAGOS[[#This Row],[REG]])</f>
        <v>1</v>
      </c>
    </row>
    <row r="162" spans="1:12" x14ac:dyDescent="0.3">
      <c r="A162" s="287">
        <v>150</v>
      </c>
      <c r="B162" s="55">
        <v>8</v>
      </c>
      <c r="C162" s="51" t="s">
        <v>16</v>
      </c>
      <c r="D162" s="206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31" t="b">
        <f>+ISNUMBER(PAGOS[[#This Row],[REG]])</f>
        <v>1</v>
      </c>
    </row>
    <row r="163" spans="1:12" x14ac:dyDescent="0.3">
      <c r="A163" s="287">
        <v>151</v>
      </c>
      <c r="B163" s="55">
        <v>4</v>
      </c>
      <c r="C163" s="51" t="s">
        <v>12</v>
      </c>
      <c r="D163" s="206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31" t="b">
        <f>+ISNUMBER(PAGOS[[#This Row],[REG]])</f>
        <v>1</v>
      </c>
    </row>
    <row r="164" spans="1:12" x14ac:dyDescent="0.3">
      <c r="A164" s="287">
        <v>152</v>
      </c>
      <c r="B164" s="55">
        <v>5</v>
      </c>
      <c r="C164" s="51" t="s">
        <v>14</v>
      </c>
      <c r="D164" s="206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31" t="b">
        <f>+ISNUMBER(PAGOS[[#This Row],[REG]])</f>
        <v>1</v>
      </c>
    </row>
    <row r="165" spans="1:12" x14ac:dyDescent="0.3">
      <c r="A165" s="287">
        <v>153</v>
      </c>
      <c r="B165" s="55">
        <v>7</v>
      </c>
      <c r="C165" s="51" t="s">
        <v>15</v>
      </c>
      <c r="D165" s="206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31" t="b">
        <f>+ISNUMBER(PAGOS[[#This Row],[REG]])</f>
        <v>1</v>
      </c>
    </row>
    <row r="166" spans="1:12" x14ac:dyDescent="0.3">
      <c r="A166" s="287">
        <v>154</v>
      </c>
      <c r="B166" s="55">
        <v>8</v>
      </c>
      <c r="C166" s="51" t="s">
        <v>16</v>
      </c>
      <c r="D166" s="206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31" t="b">
        <f>+ISNUMBER(PAGOS[[#This Row],[REG]])</f>
        <v>1</v>
      </c>
    </row>
    <row r="167" spans="1:12" x14ac:dyDescent="0.3">
      <c r="A167" s="287">
        <v>155</v>
      </c>
      <c r="B167" s="55">
        <v>9</v>
      </c>
      <c r="C167" s="51" t="s">
        <v>17</v>
      </c>
      <c r="D167" s="206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31" t="b">
        <f>+ISNUMBER(PAGOS[[#This Row],[REG]])</f>
        <v>1</v>
      </c>
    </row>
    <row r="168" spans="1:12" x14ac:dyDescent="0.3">
      <c r="A168" s="287">
        <v>156</v>
      </c>
      <c r="B168" s="55">
        <v>12</v>
      </c>
      <c r="C168" s="51" t="s">
        <v>20</v>
      </c>
      <c r="D168" s="206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31" t="b">
        <f>+ISNUMBER(PAGOS[[#This Row],[REG]])</f>
        <v>1</v>
      </c>
    </row>
    <row r="169" spans="1:12" x14ac:dyDescent="0.3">
      <c r="A169" s="287">
        <v>157</v>
      </c>
      <c r="B169" s="55">
        <v>14</v>
      </c>
      <c r="C169" s="51" t="s">
        <v>21</v>
      </c>
      <c r="D169" s="206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31" t="b">
        <f>+ISNUMBER(PAGOS[[#This Row],[REG]])</f>
        <v>1</v>
      </c>
    </row>
    <row r="170" spans="1:12" x14ac:dyDescent="0.3">
      <c r="A170" s="287">
        <v>158</v>
      </c>
      <c r="B170" s="55">
        <v>15</v>
      </c>
      <c r="C170" s="51" t="s">
        <v>22</v>
      </c>
      <c r="D170" s="206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31" t="b">
        <f>+ISNUMBER(PAGOS[[#This Row],[REG]])</f>
        <v>1</v>
      </c>
    </row>
    <row r="171" spans="1:12" x14ac:dyDescent="0.3">
      <c r="A171" s="287">
        <v>159</v>
      </c>
      <c r="B171" s="55">
        <v>16</v>
      </c>
      <c r="C171" s="51" t="s">
        <v>23</v>
      </c>
      <c r="D171" s="206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31" t="b">
        <f>+ISNUMBER(PAGOS[[#This Row],[REG]])</f>
        <v>1</v>
      </c>
    </row>
    <row r="172" spans="1:12" x14ac:dyDescent="0.3">
      <c r="A172" s="287">
        <v>160</v>
      </c>
      <c r="B172" s="55">
        <v>6</v>
      </c>
      <c r="C172" s="51" t="s">
        <v>24</v>
      </c>
      <c r="D172" s="206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31" t="b">
        <f>+ISNUMBER(PAGOS[[#This Row],[REG]])</f>
        <v>1</v>
      </c>
    </row>
    <row r="173" spans="1:12" x14ac:dyDescent="0.3">
      <c r="A173" s="287" t="s">
        <v>241</v>
      </c>
      <c r="B173" s="55">
        <v>14</v>
      </c>
      <c r="C173" s="51" t="s">
        <v>21</v>
      </c>
      <c r="D173" s="206">
        <v>44</v>
      </c>
      <c r="E173" s="33">
        <v>0</v>
      </c>
      <c r="F173" s="52">
        <v>45580</v>
      </c>
      <c r="G173" s="53" t="s">
        <v>569</v>
      </c>
      <c r="H173" s="33">
        <v>14</v>
      </c>
      <c r="I173" s="52">
        <v>45580</v>
      </c>
      <c r="J173" s="54" t="s">
        <v>569</v>
      </c>
      <c r="K173" s="36" t="s">
        <v>259</v>
      </c>
      <c r="L173" s="231" t="b">
        <f>+ISNUMBER(PAGOS[[#This Row],[REG]])</f>
        <v>0</v>
      </c>
    </row>
    <row r="174" spans="1:12" x14ac:dyDescent="0.3">
      <c r="A174" s="287" t="s">
        <v>245</v>
      </c>
      <c r="B174" s="55">
        <v>2</v>
      </c>
      <c r="C174" s="51" t="s">
        <v>71</v>
      </c>
      <c r="D174" s="206">
        <v>0</v>
      </c>
      <c r="E174" s="33">
        <v>200</v>
      </c>
      <c r="F174" s="52">
        <v>45580</v>
      </c>
      <c r="G174" s="53" t="s">
        <v>569</v>
      </c>
      <c r="H174" s="33">
        <v>0</v>
      </c>
      <c r="I174" s="52">
        <v>45580</v>
      </c>
      <c r="J174" s="54" t="s">
        <v>569</v>
      </c>
      <c r="K174" s="36" t="s">
        <v>246</v>
      </c>
      <c r="L174" s="231" t="b">
        <f>+ISNUMBER(PAGOS[[#This Row],[REG]])</f>
        <v>0</v>
      </c>
    </row>
    <row r="175" spans="1:12" x14ac:dyDescent="0.3">
      <c r="A175" s="287">
        <v>161</v>
      </c>
      <c r="B175" s="55">
        <v>5</v>
      </c>
      <c r="C175" s="51" t="s">
        <v>14</v>
      </c>
      <c r="D175" s="206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31" t="b">
        <f>+ISNUMBER(PAGOS[[#This Row],[REG]])</f>
        <v>1</v>
      </c>
    </row>
    <row r="176" spans="1:12" x14ac:dyDescent="0.3">
      <c r="A176" s="287">
        <v>162</v>
      </c>
      <c r="B176" s="55">
        <v>4</v>
      </c>
      <c r="C176" s="51" t="s">
        <v>12</v>
      </c>
      <c r="D176" s="206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31" t="b">
        <f>+ISNUMBER(PAGOS[[#This Row],[REG]])</f>
        <v>1</v>
      </c>
    </row>
    <row r="177" spans="1:12" x14ac:dyDescent="0.3">
      <c r="A177" s="287">
        <v>163</v>
      </c>
      <c r="B177" s="55">
        <v>6</v>
      </c>
      <c r="C177" s="51" t="s">
        <v>24</v>
      </c>
      <c r="D177" s="206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31" t="b">
        <f>+ISNUMBER(PAGOS[[#This Row],[REG]])</f>
        <v>1</v>
      </c>
    </row>
    <row r="178" spans="1:12" x14ac:dyDescent="0.3">
      <c r="A178" s="287">
        <v>164</v>
      </c>
      <c r="B178" s="55">
        <v>12</v>
      </c>
      <c r="C178" s="51" t="s">
        <v>20</v>
      </c>
      <c r="D178" s="206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31" t="b">
        <f>+ISNUMBER(PAGOS[[#This Row],[REG]])</f>
        <v>1</v>
      </c>
    </row>
    <row r="179" spans="1:12" x14ac:dyDescent="0.3">
      <c r="A179" s="287">
        <v>165</v>
      </c>
      <c r="B179" s="55">
        <v>15</v>
      </c>
      <c r="C179" s="51" t="s">
        <v>22</v>
      </c>
      <c r="D179" s="206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31" t="b">
        <f>+ISNUMBER(PAGOS[[#This Row],[REG]])</f>
        <v>1</v>
      </c>
    </row>
    <row r="180" spans="1:12" x14ac:dyDescent="0.3">
      <c r="A180" s="287">
        <v>166</v>
      </c>
      <c r="B180" s="55">
        <v>16</v>
      </c>
      <c r="C180" s="51" t="s">
        <v>23</v>
      </c>
      <c r="D180" s="206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31" t="b">
        <f>+ISNUMBER(PAGOS[[#This Row],[REG]])</f>
        <v>1</v>
      </c>
    </row>
    <row r="181" spans="1:12" x14ac:dyDescent="0.3">
      <c r="A181" s="287">
        <v>167</v>
      </c>
      <c r="B181" s="55">
        <v>11</v>
      </c>
      <c r="C181" s="51" t="s">
        <v>19</v>
      </c>
      <c r="D181" s="206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31" t="b">
        <f>+ISNUMBER(PAGOS[[#This Row],[REG]])</f>
        <v>1</v>
      </c>
    </row>
    <row r="182" spans="1:12" x14ac:dyDescent="0.3">
      <c r="A182" s="287">
        <v>168</v>
      </c>
      <c r="B182" s="55">
        <v>9</v>
      </c>
      <c r="C182" s="51" t="s">
        <v>17</v>
      </c>
      <c r="D182" s="206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31" t="b">
        <f>+ISNUMBER(PAGOS[[#This Row],[REG]])</f>
        <v>1</v>
      </c>
    </row>
    <row r="183" spans="1:12" x14ac:dyDescent="0.3">
      <c r="A183" s="287">
        <v>169</v>
      </c>
      <c r="B183" s="55">
        <v>14</v>
      </c>
      <c r="C183" s="51" t="s">
        <v>21</v>
      </c>
      <c r="D183" s="206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31" t="b">
        <f>+ISNUMBER(PAGOS[[#This Row],[REG]])</f>
        <v>1</v>
      </c>
    </row>
    <row r="184" spans="1:12" x14ac:dyDescent="0.3">
      <c r="A184" s="287" t="s">
        <v>271</v>
      </c>
      <c r="B184" s="55">
        <v>1</v>
      </c>
      <c r="C184" s="51" t="s">
        <v>14</v>
      </c>
      <c r="D184" s="206">
        <v>0</v>
      </c>
      <c r="E184" s="33">
        <v>13.35</v>
      </c>
      <c r="F184" s="52">
        <v>45580</v>
      </c>
      <c r="G184" s="292" t="s">
        <v>568</v>
      </c>
      <c r="H184" s="33">
        <v>0</v>
      </c>
      <c r="I184" s="52">
        <v>45580</v>
      </c>
      <c r="J184" s="293" t="s">
        <v>568</v>
      </c>
      <c r="K184" s="36" t="s">
        <v>270</v>
      </c>
      <c r="L184" s="231" t="b">
        <f>+ISNUMBER(PAGOS[[#This Row],[REG]])</f>
        <v>0</v>
      </c>
    </row>
    <row r="185" spans="1:12" x14ac:dyDescent="0.3">
      <c r="A185" s="287" t="s">
        <v>272</v>
      </c>
      <c r="B185" s="55">
        <v>1</v>
      </c>
      <c r="C185" s="51" t="s">
        <v>403</v>
      </c>
      <c r="D185" s="206">
        <v>0</v>
      </c>
      <c r="E185" s="33">
        <v>13.35</v>
      </c>
      <c r="F185" s="52">
        <v>45580</v>
      </c>
      <c r="G185" s="292" t="s">
        <v>568</v>
      </c>
      <c r="H185" s="33">
        <v>0</v>
      </c>
      <c r="I185" s="52">
        <v>45580</v>
      </c>
      <c r="J185" s="293" t="s">
        <v>568</v>
      </c>
      <c r="K185" s="36" t="s">
        <v>270</v>
      </c>
      <c r="L185" s="231" t="b">
        <f>+ISNUMBER(PAGOS[[#This Row],[REG]])</f>
        <v>0</v>
      </c>
    </row>
    <row r="186" spans="1:12" x14ac:dyDescent="0.3">
      <c r="A186" s="287">
        <v>170</v>
      </c>
      <c r="B186" s="55">
        <v>12</v>
      </c>
      <c r="C186" s="51" t="s">
        <v>20</v>
      </c>
      <c r="D186" s="206">
        <v>42</v>
      </c>
      <c r="E186" s="33">
        <v>85.71</v>
      </c>
      <c r="F186" s="52">
        <v>45611</v>
      </c>
      <c r="G186" s="298">
        <v>7</v>
      </c>
      <c r="H186" s="33">
        <v>0</v>
      </c>
      <c r="I186" s="52">
        <v>45611</v>
      </c>
      <c r="J186" s="299">
        <v>7</v>
      </c>
      <c r="K186" s="36" t="s">
        <v>464</v>
      </c>
      <c r="L186" s="231" t="b">
        <f>+ISNUMBER(PAGOS[[#This Row],[REG]])</f>
        <v>1</v>
      </c>
    </row>
    <row r="187" spans="1:12" x14ac:dyDescent="0.3">
      <c r="A187" s="287" t="s">
        <v>267</v>
      </c>
      <c r="B187" s="55">
        <v>12</v>
      </c>
      <c r="C187" s="51" t="s">
        <v>20</v>
      </c>
      <c r="D187" s="206">
        <v>42</v>
      </c>
      <c r="E187" s="33">
        <v>0</v>
      </c>
      <c r="F187" s="52">
        <v>45611</v>
      </c>
      <c r="G187" s="53" t="s">
        <v>569</v>
      </c>
      <c r="H187" s="33">
        <v>12</v>
      </c>
      <c r="I187" s="52">
        <v>45611</v>
      </c>
      <c r="J187" s="54" t="s">
        <v>569</v>
      </c>
      <c r="K187" s="36" t="s">
        <v>268</v>
      </c>
      <c r="L187" s="231" t="b">
        <f>+ISNUMBER(PAGOS[[#This Row],[REG]])</f>
        <v>0</v>
      </c>
    </row>
    <row r="188" spans="1:12" x14ac:dyDescent="0.3">
      <c r="A188" s="287">
        <v>171</v>
      </c>
      <c r="B188" s="55">
        <v>15</v>
      </c>
      <c r="C188" s="51" t="s">
        <v>22</v>
      </c>
      <c r="D188" s="206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31" t="b">
        <f>+ISNUMBER(PAGOS[[#This Row],[REG]])</f>
        <v>1</v>
      </c>
    </row>
    <row r="189" spans="1:12" x14ac:dyDescent="0.3">
      <c r="A189" s="287">
        <v>172</v>
      </c>
      <c r="B189" s="55">
        <v>12</v>
      </c>
      <c r="C189" s="51" t="s">
        <v>20</v>
      </c>
      <c r="D189" s="206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31" t="b">
        <f>+ISNUMBER(PAGOS[[#This Row],[REG]])</f>
        <v>1</v>
      </c>
    </row>
    <row r="190" spans="1:12" x14ac:dyDescent="0.3">
      <c r="A190" s="287">
        <v>173</v>
      </c>
      <c r="B190" s="55">
        <v>16</v>
      </c>
      <c r="C190" s="51" t="s">
        <v>23</v>
      </c>
      <c r="D190" s="206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31" t="b">
        <f>+ISNUMBER(PAGOS[[#This Row],[REG]])</f>
        <v>1</v>
      </c>
    </row>
    <row r="191" spans="1:12" x14ac:dyDescent="0.3">
      <c r="A191" s="287">
        <v>174</v>
      </c>
      <c r="B191" s="55">
        <v>4</v>
      </c>
      <c r="C191" s="51" t="s">
        <v>12</v>
      </c>
      <c r="D191" s="206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31" t="b">
        <f>+ISNUMBER(PAGOS[[#This Row],[REG]])</f>
        <v>1</v>
      </c>
    </row>
    <row r="192" spans="1:12" x14ac:dyDescent="0.3">
      <c r="A192" s="287">
        <v>175</v>
      </c>
      <c r="B192" s="55">
        <v>11</v>
      </c>
      <c r="C192" s="51" t="s">
        <v>19</v>
      </c>
      <c r="D192" s="206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31" t="b">
        <f>+ISNUMBER(PAGOS[[#This Row],[REG]])</f>
        <v>1</v>
      </c>
    </row>
    <row r="193" spans="1:12" x14ac:dyDescent="0.3">
      <c r="A193" s="287">
        <v>176</v>
      </c>
      <c r="B193" s="55">
        <v>7</v>
      </c>
      <c r="C193" s="51" t="s">
        <v>15</v>
      </c>
      <c r="D193" s="206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31" t="b">
        <f>+ISNUMBER(PAGOS[[#This Row],[REG]])</f>
        <v>1</v>
      </c>
    </row>
    <row r="194" spans="1:12" x14ac:dyDescent="0.3">
      <c r="A194" s="287">
        <v>177</v>
      </c>
      <c r="B194" s="55">
        <v>8</v>
      </c>
      <c r="C194" s="51" t="s">
        <v>16</v>
      </c>
      <c r="D194" s="206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31" t="b">
        <f>+ISNUMBER(PAGOS[[#This Row],[REG]])</f>
        <v>1</v>
      </c>
    </row>
    <row r="195" spans="1:12" x14ac:dyDescent="0.3">
      <c r="A195" s="287">
        <v>178</v>
      </c>
      <c r="B195" s="55">
        <v>14</v>
      </c>
      <c r="C195" s="51" t="s">
        <v>21</v>
      </c>
      <c r="D195" s="206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31" t="b">
        <f>+ISNUMBER(PAGOS[[#This Row],[REG]])</f>
        <v>1</v>
      </c>
    </row>
    <row r="196" spans="1:12" x14ac:dyDescent="0.3">
      <c r="A196" s="287">
        <v>179</v>
      </c>
      <c r="B196" s="55">
        <v>5</v>
      </c>
      <c r="C196" s="51" t="s">
        <v>14</v>
      </c>
      <c r="D196" s="206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31" t="b">
        <f>+ISNUMBER(PAGOS[[#This Row],[REG]])</f>
        <v>1</v>
      </c>
    </row>
    <row r="197" spans="1:12" x14ac:dyDescent="0.3">
      <c r="A197" s="287">
        <v>180</v>
      </c>
      <c r="B197" s="55">
        <v>6</v>
      </c>
      <c r="C197" s="51" t="s">
        <v>24</v>
      </c>
      <c r="D197" s="206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31" t="b">
        <f>+ISNUMBER(PAGOS[[#This Row],[REG]])</f>
        <v>1</v>
      </c>
    </row>
    <row r="198" spans="1:12" x14ac:dyDescent="0.3">
      <c r="A198" s="287" t="s">
        <v>273</v>
      </c>
      <c r="B198" s="55">
        <v>1</v>
      </c>
      <c r="C198" s="51" t="s">
        <v>13</v>
      </c>
      <c r="D198" s="206">
        <v>0</v>
      </c>
      <c r="E198" s="33">
        <v>13.35</v>
      </c>
      <c r="F198" s="52">
        <v>45611</v>
      </c>
      <c r="G198" s="292" t="s">
        <v>568</v>
      </c>
      <c r="H198" s="33">
        <v>0</v>
      </c>
      <c r="I198" s="52">
        <v>45611</v>
      </c>
      <c r="J198" s="293" t="s">
        <v>568</v>
      </c>
      <c r="K198" s="36" t="s">
        <v>270</v>
      </c>
      <c r="L198" s="231" t="b">
        <f>+ISNUMBER(PAGOS[[#This Row],[REG]])</f>
        <v>0</v>
      </c>
    </row>
    <row r="199" spans="1:12" x14ac:dyDescent="0.3">
      <c r="A199" s="287" t="s">
        <v>274</v>
      </c>
      <c r="B199" s="55">
        <v>1</v>
      </c>
      <c r="C199" s="51" t="s">
        <v>17</v>
      </c>
      <c r="D199" s="206">
        <v>0</v>
      </c>
      <c r="E199" s="33">
        <v>13.35</v>
      </c>
      <c r="F199" s="52">
        <v>45611</v>
      </c>
      <c r="G199" s="292" t="s">
        <v>568</v>
      </c>
      <c r="H199" s="33">
        <v>0</v>
      </c>
      <c r="I199" s="52">
        <v>45611</v>
      </c>
      <c r="J199" s="293" t="s">
        <v>568</v>
      </c>
      <c r="K199" s="36" t="s">
        <v>270</v>
      </c>
      <c r="L199" s="231" t="b">
        <f>+ISNUMBER(PAGOS[[#This Row],[REG]])</f>
        <v>0</v>
      </c>
    </row>
    <row r="200" spans="1:12" x14ac:dyDescent="0.3">
      <c r="A200" s="287" t="s">
        <v>275</v>
      </c>
      <c r="B200" s="55">
        <v>1</v>
      </c>
      <c r="C200" s="51" t="s">
        <v>18</v>
      </c>
      <c r="D200" s="206">
        <v>0</v>
      </c>
      <c r="E200" s="33">
        <v>13.35</v>
      </c>
      <c r="F200" s="52">
        <v>45611</v>
      </c>
      <c r="G200" s="292" t="s">
        <v>568</v>
      </c>
      <c r="H200" s="33">
        <v>0</v>
      </c>
      <c r="I200" s="52">
        <v>45611</v>
      </c>
      <c r="J200" s="293" t="s">
        <v>568</v>
      </c>
      <c r="K200" s="36" t="s">
        <v>270</v>
      </c>
      <c r="L200" s="231" t="b">
        <f>+ISNUMBER(PAGOS[[#This Row],[REG]])</f>
        <v>0</v>
      </c>
    </row>
    <row r="201" spans="1:12" x14ac:dyDescent="0.3">
      <c r="A201" s="287" t="s">
        <v>276</v>
      </c>
      <c r="B201" s="55">
        <v>1</v>
      </c>
      <c r="C201" s="51" t="s">
        <v>19</v>
      </c>
      <c r="D201" s="206">
        <v>0</v>
      </c>
      <c r="E201" s="33">
        <v>13.35</v>
      </c>
      <c r="F201" s="52">
        <v>45611</v>
      </c>
      <c r="G201" s="292" t="s">
        <v>568</v>
      </c>
      <c r="H201" s="33">
        <v>0</v>
      </c>
      <c r="I201" s="52">
        <v>45611</v>
      </c>
      <c r="J201" s="293" t="s">
        <v>568</v>
      </c>
      <c r="K201" s="36" t="s">
        <v>270</v>
      </c>
      <c r="L201" s="231" t="b">
        <f>+ISNUMBER(PAGOS[[#This Row],[REG]])</f>
        <v>0</v>
      </c>
    </row>
    <row r="202" spans="1:12" x14ac:dyDescent="0.3">
      <c r="A202" s="287" t="s">
        <v>277</v>
      </c>
      <c r="B202" s="55">
        <v>1</v>
      </c>
      <c r="C202" s="51" t="s">
        <v>20</v>
      </c>
      <c r="D202" s="206">
        <v>0</v>
      </c>
      <c r="E202" s="33">
        <v>13.35</v>
      </c>
      <c r="F202" s="52">
        <v>45611</v>
      </c>
      <c r="G202" s="292" t="s">
        <v>568</v>
      </c>
      <c r="H202" s="33">
        <v>0</v>
      </c>
      <c r="I202" s="52">
        <v>45611</v>
      </c>
      <c r="J202" s="293" t="s">
        <v>568</v>
      </c>
      <c r="K202" s="36" t="s">
        <v>270</v>
      </c>
      <c r="L202" s="231" t="b">
        <f>+ISNUMBER(PAGOS[[#This Row],[REG]])</f>
        <v>0</v>
      </c>
    </row>
    <row r="203" spans="1:12" x14ac:dyDescent="0.3">
      <c r="A203" s="287" t="s">
        <v>278</v>
      </c>
      <c r="B203" s="55">
        <v>1</v>
      </c>
      <c r="C203" s="51" t="s">
        <v>21</v>
      </c>
      <c r="D203" s="206">
        <v>0</v>
      </c>
      <c r="E203" s="33">
        <v>13.35</v>
      </c>
      <c r="F203" s="52">
        <v>45611</v>
      </c>
      <c r="G203" s="292" t="s">
        <v>568</v>
      </c>
      <c r="H203" s="33">
        <v>0</v>
      </c>
      <c r="I203" s="52">
        <v>45611</v>
      </c>
      <c r="J203" s="293" t="s">
        <v>568</v>
      </c>
      <c r="K203" s="36" t="s">
        <v>270</v>
      </c>
      <c r="L203" s="231" t="b">
        <f>+ISNUMBER(PAGOS[[#This Row],[REG]])</f>
        <v>0</v>
      </c>
    </row>
    <row r="204" spans="1:12" x14ac:dyDescent="0.3">
      <c r="A204" s="287" t="s">
        <v>279</v>
      </c>
      <c r="B204" s="55">
        <v>1</v>
      </c>
      <c r="C204" s="51" t="s">
        <v>22</v>
      </c>
      <c r="D204" s="206">
        <v>0</v>
      </c>
      <c r="E204" s="33">
        <v>13.35</v>
      </c>
      <c r="F204" s="52">
        <v>45611</v>
      </c>
      <c r="G204" s="292" t="s">
        <v>568</v>
      </c>
      <c r="H204" s="33">
        <v>0</v>
      </c>
      <c r="I204" s="52">
        <v>45611</v>
      </c>
      <c r="J204" s="293" t="s">
        <v>568</v>
      </c>
      <c r="K204" s="36" t="s">
        <v>270</v>
      </c>
      <c r="L204" s="231" t="b">
        <f>+ISNUMBER(PAGOS[[#This Row],[REG]])</f>
        <v>0</v>
      </c>
    </row>
    <row r="205" spans="1:12" x14ac:dyDescent="0.3">
      <c r="A205" s="287" t="s">
        <v>280</v>
      </c>
      <c r="B205" s="55">
        <v>1</v>
      </c>
      <c r="C205" s="51" t="s">
        <v>23</v>
      </c>
      <c r="D205" s="206">
        <v>0</v>
      </c>
      <c r="E205" s="33">
        <v>13.35</v>
      </c>
      <c r="F205" s="52">
        <v>45611</v>
      </c>
      <c r="G205" s="292" t="s">
        <v>568</v>
      </c>
      <c r="H205" s="33">
        <v>0</v>
      </c>
      <c r="I205" s="52">
        <v>45611</v>
      </c>
      <c r="J205" s="293" t="s">
        <v>568</v>
      </c>
      <c r="K205" s="36" t="s">
        <v>270</v>
      </c>
      <c r="L205" s="231" t="b">
        <f>+ISNUMBER(PAGOS[[#This Row],[REG]])</f>
        <v>0</v>
      </c>
    </row>
    <row r="206" spans="1:12" x14ac:dyDescent="0.3">
      <c r="A206" s="287">
        <v>181</v>
      </c>
      <c r="B206" s="55">
        <v>9</v>
      </c>
      <c r="C206" s="51" t="s">
        <v>17</v>
      </c>
      <c r="D206" s="206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31" t="b">
        <f>+ISNUMBER(PAGOS[[#This Row],[REG]])</f>
        <v>1</v>
      </c>
    </row>
    <row r="207" spans="1:12" x14ac:dyDescent="0.3">
      <c r="A207" s="287">
        <v>182</v>
      </c>
      <c r="B207" s="55">
        <v>6</v>
      </c>
      <c r="C207" s="51" t="s">
        <v>24</v>
      </c>
      <c r="D207" s="206">
        <v>46</v>
      </c>
      <c r="E207" s="33">
        <v>100</v>
      </c>
      <c r="F207" s="52">
        <v>45641</v>
      </c>
      <c r="G207" s="298">
        <v>5</v>
      </c>
      <c r="H207" s="33">
        <v>0</v>
      </c>
      <c r="I207" s="52">
        <v>45641</v>
      </c>
      <c r="J207" s="299">
        <v>5</v>
      </c>
      <c r="K207" s="36" t="s">
        <v>286</v>
      </c>
      <c r="L207" s="231" t="b">
        <f>+ISNUMBER(PAGOS[[#This Row],[REG]])</f>
        <v>1</v>
      </c>
    </row>
    <row r="208" spans="1:12" x14ac:dyDescent="0.3">
      <c r="A208" s="287" t="s">
        <v>302</v>
      </c>
      <c r="B208" s="55">
        <v>6</v>
      </c>
      <c r="C208" s="51" t="s">
        <v>24</v>
      </c>
      <c r="D208" s="206">
        <v>46</v>
      </c>
      <c r="E208" s="33">
        <v>0</v>
      </c>
      <c r="F208" s="52">
        <v>45641</v>
      </c>
      <c r="G208" s="53" t="s">
        <v>569</v>
      </c>
      <c r="H208" s="33">
        <v>10</v>
      </c>
      <c r="I208" s="52">
        <v>45641</v>
      </c>
      <c r="J208" s="54" t="s">
        <v>569</v>
      </c>
      <c r="K208" s="36" t="s">
        <v>268</v>
      </c>
      <c r="L208" s="231" t="b">
        <f>+ISNUMBER(PAGOS[[#This Row],[REG]])</f>
        <v>0</v>
      </c>
    </row>
    <row r="209" spans="1:12" x14ac:dyDescent="0.3">
      <c r="A209" s="287">
        <v>183</v>
      </c>
      <c r="B209" s="55">
        <v>11</v>
      </c>
      <c r="C209" s="51" t="s">
        <v>19</v>
      </c>
      <c r="D209" s="206">
        <v>50</v>
      </c>
      <c r="E209" s="33">
        <v>100</v>
      </c>
      <c r="F209" s="52">
        <v>45641</v>
      </c>
      <c r="G209" s="298">
        <v>4</v>
      </c>
      <c r="H209" s="33">
        <v>0</v>
      </c>
      <c r="I209" s="52">
        <v>45641</v>
      </c>
      <c r="J209" s="299">
        <v>4</v>
      </c>
      <c r="K209" s="36" t="s">
        <v>450</v>
      </c>
      <c r="L209" s="231" t="b">
        <f>+ISNUMBER(PAGOS[[#This Row],[REG]])</f>
        <v>1</v>
      </c>
    </row>
    <row r="210" spans="1:12" x14ac:dyDescent="0.3">
      <c r="A210" s="287" t="s">
        <v>305</v>
      </c>
      <c r="B210" s="55">
        <v>11</v>
      </c>
      <c r="C210" s="51" t="s">
        <v>19</v>
      </c>
      <c r="D210" s="206">
        <v>50</v>
      </c>
      <c r="E210" s="33">
        <v>0</v>
      </c>
      <c r="F210" s="52">
        <v>45641</v>
      </c>
      <c r="G210" s="53" t="s">
        <v>569</v>
      </c>
      <c r="H210" s="33">
        <v>8</v>
      </c>
      <c r="I210" s="52">
        <v>45641</v>
      </c>
      <c r="J210" s="54" t="s">
        <v>569</v>
      </c>
      <c r="K210" s="36" t="s">
        <v>290</v>
      </c>
      <c r="L210" s="231" t="b">
        <f>+ISNUMBER(PAGOS[[#This Row],[REG]])</f>
        <v>0</v>
      </c>
    </row>
    <row r="211" spans="1:12" x14ac:dyDescent="0.3">
      <c r="A211" s="287">
        <v>184</v>
      </c>
      <c r="B211" s="55">
        <v>15</v>
      </c>
      <c r="C211" s="51" t="s">
        <v>22</v>
      </c>
      <c r="D211" s="206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31" t="b">
        <f>+ISNUMBER(PAGOS[[#This Row],[REG]])</f>
        <v>1</v>
      </c>
    </row>
    <row r="212" spans="1:12" x14ac:dyDescent="0.3">
      <c r="A212" s="287">
        <v>185</v>
      </c>
      <c r="B212" s="55">
        <v>5</v>
      </c>
      <c r="C212" s="51" t="s">
        <v>14</v>
      </c>
      <c r="D212" s="206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31" t="b">
        <f>+ISNUMBER(PAGOS[[#This Row],[REG]])</f>
        <v>1</v>
      </c>
    </row>
    <row r="213" spans="1:12" x14ac:dyDescent="0.3">
      <c r="A213" s="287">
        <v>186</v>
      </c>
      <c r="B213" s="55">
        <v>12</v>
      </c>
      <c r="C213" s="51" t="s">
        <v>20</v>
      </c>
      <c r="D213" s="206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31" t="b">
        <f>+ISNUMBER(PAGOS[[#This Row],[REG]])</f>
        <v>1</v>
      </c>
    </row>
    <row r="214" spans="1:12" x14ac:dyDescent="0.3">
      <c r="A214" s="287">
        <v>187</v>
      </c>
      <c r="B214" s="55">
        <v>16</v>
      </c>
      <c r="C214" s="51" t="s">
        <v>23</v>
      </c>
      <c r="D214" s="206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31" t="b">
        <f>+ISNUMBER(PAGOS[[#This Row],[REG]])</f>
        <v>1</v>
      </c>
    </row>
    <row r="215" spans="1:12" x14ac:dyDescent="0.3">
      <c r="A215" s="287">
        <v>188</v>
      </c>
      <c r="B215" s="55">
        <v>9</v>
      </c>
      <c r="C215" s="51" t="s">
        <v>17</v>
      </c>
      <c r="D215" s="206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31" t="b">
        <f>+ISNUMBER(PAGOS[[#This Row],[REG]])</f>
        <v>1</v>
      </c>
    </row>
    <row r="216" spans="1:12" x14ac:dyDescent="0.3">
      <c r="A216" s="287">
        <v>189</v>
      </c>
      <c r="B216" s="55">
        <v>4</v>
      </c>
      <c r="C216" s="51" t="s">
        <v>12</v>
      </c>
      <c r="D216" s="206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31" t="b">
        <f>+ISNUMBER(PAGOS[[#This Row],[REG]])</f>
        <v>1</v>
      </c>
    </row>
    <row r="217" spans="1:12" x14ac:dyDescent="0.3">
      <c r="A217" s="287">
        <v>190</v>
      </c>
      <c r="B217" s="55">
        <v>11</v>
      </c>
      <c r="C217" s="51" t="s">
        <v>19</v>
      </c>
      <c r="D217" s="206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31" t="b">
        <f>+ISNUMBER(PAGOS[[#This Row],[REG]])</f>
        <v>1</v>
      </c>
    </row>
    <row r="218" spans="1:12" x14ac:dyDescent="0.3">
      <c r="A218" s="287">
        <v>191</v>
      </c>
      <c r="B218" s="55">
        <v>7</v>
      </c>
      <c r="C218" s="51" t="s">
        <v>15</v>
      </c>
      <c r="D218" s="206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31" t="b">
        <f>+ISNUMBER(PAGOS[[#This Row],[REG]])</f>
        <v>1</v>
      </c>
    </row>
    <row r="219" spans="1:12" x14ac:dyDescent="0.3">
      <c r="A219" s="287">
        <v>192</v>
      </c>
      <c r="B219" s="55">
        <v>8</v>
      </c>
      <c r="C219" s="51" t="s">
        <v>16</v>
      </c>
      <c r="D219" s="206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31" t="b">
        <f>+ISNUMBER(PAGOS[[#This Row],[REG]])</f>
        <v>1</v>
      </c>
    </row>
    <row r="220" spans="1:12" x14ac:dyDescent="0.3">
      <c r="A220" s="287">
        <v>193</v>
      </c>
      <c r="B220" s="55">
        <v>14</v>
      </c>
      <c r="C220" s="51" t="s">
        <v>21</v>
      </c>
      <c r="D220" s="206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31" t="b">
        <f>+ISNUMBER(PAGOS[[#This Row],[REG]])</f>
        <v>1</v>
      </c>
    </row>
    <row r="221" spans="1:12" x14ac:dyDescent="0.3">
      <c r="A221" s="287">
        <v>194</v>
      </c>
      <c r="B221" s="55">
        <v>10</v>
      </c>
      <c r="C221" s="51" t="s">
        <v>18</v>
      </c>
      <c r="D221" s="206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31" t="b">
        <f>+ISNUMBER(PAGOS[[#This Row],[REG]])</f>
        <v>1</v>
      </c>
    </row>
    <row r="222" spans="1:12" x14ac:dyDescent="0.3">
      <c r="A222" s="287" t="s">
        <v>282</v>
      </c>
      <c r="B222" s="55">
        <v>1</v>
      </c>
      <c r="C222" s="51" t="s">
        <v>24</v>
      </c>
      <c r="D222" s="289">
        <v>0</v>
      </c>
      <c r="E222" s="33">
        <v>13.35</v>
      </c>
      <c r="F222" s="52">
        <v>45641</v>
      </c>
      <c r="G222" s="292" t="s">
        <v>568</v>
      </c>
      <c r="H222" s="33">
        <v>0</v>
      </c>
      <c r="I222" s="52">
        <v>45641</v>
      </c>
      <c r="J222" s="293" t="s">
        <v>568</v>
      </c>
      <c r="K222" s="36" t="s">
        <v>270</v>
      </c>
      <c r="L222" s="231" t="b">
        <f>+ISNUMBER(PAGOS[[#This Row],[REG]])</f>
        <v>0</v>
      </c>
    </row>
    <row r="223" spans="1:12" x14ac:dyDescent="0.3">
      <c r="A223" s="287" t="s">
        <v>283</v>
      </c>
      <c r="B223" s="55">
        <v>1</v>
      </c>
      <c r="C223" s="51" t="s">
        <v>404</v>
      </c>
      <c r="D223" s="289">
        <v>0</v>
      </c>
      <c r="E223" s="33">
        <v>13.35</v>
      </c>
      <c r="F223" s="52">
        <v>45641</v>
      </c>
      <c r="G223" s="292" t="s">
        <v>568</v>
      </c>
      <c r="H223" s="33">
        <v>0</v>
      </c>
      <c r="I223" s="52">
        <v>45641</v>
      </c>
      <c r="J223" s="293" t="s">
        <v>568</v>
      </c>
      <c r="K223" s="36" t="s">
        <v>270</v>
      </c>
      <c r="L223" s="231" t="b">
        <f>+ISNUMBER(PAGOS[[#This Row],[REG]])</f>
        <v>0</v>
      </c>
    </row>
    <row r="224" spans="1:12" x14ac:dyDescent="0.3">
      <c r="A224" s="287">
        <v>195</v>
      </c>
      <c r="B224" s="55">
        <v>3</v>
      </c>
      <c r="C224" s="51" t="s">
        <v>13</v>
      </c>
      <c r="D224" s="206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31" t="b">
        <f>+ISNUMBER(PAGOS[[#This Row],[REG]])</f>
        <v>1</v>
      </c>
    </row>
    <row r="225" spans="1:12" x14ac:dyDescent="0.3">
      <c r="A225" s="287">
        <v>196</v>
      </c>
      <c r="B225" s="55">
        <v>10</v>
      </c>
      <c r="C225" s="51" t="s">
        <v>18</v>
      </c>
      <c r="D225" s="206">
        <v>56</v>
      </c>
      <c r="E225" s="33">
        <v>40</v>
      </c>
      <c r="F225" s="297">
        <v>45672</v>
      </c>
      <c r="G225" s="298">
        <v>2</v>
      </c>
      <c r="H225" s="33">
        <v>0</v>
      </c>
      <c r="I225" s="297">
        <v>45672</v>
      </c>
      <c r="J225" s="299">
        <v>2</v>
      </c>
      <c r="K225" s="36" t="s">
        <v>451</v>
      </c>
      <c r="L225" s="238" t="b">
        <f>+ISNUMBER(PAGOS[[#This Row],[REG]])</f>
        <v>1</v>
      </c>
    </row>
    <row r="226" spans="1:12" x14ac:dyDescent="0.3">
      <c r="A226" s="296" t="s">
        <v>287</v>
      </c>
      <c r="B226" s="55">
        <v>10</v>
      </c>
      <c r="C226" s="51" t="s">
        <v>18</v>
      </c>
      <c r="D226" s="206">
        <v>56</v>
      </c>
      <c r="E226" s="33">
        <v>0</v>
      </c>
      <c r="F226" s="297">
        <v>45672</v>
      </c>
      <c r="G226" s="53" t="s">
        <v>569</v>
      </c>
      <c r="H226" s="33">
        <v>4</v>
      </c>
      <c r="I226" s="297">
        <v>45672</v>
      </c>
      <c r="J226" s="54" t="s">
        <v>569</v>
      </c>
      <c r="K226" s="36" t="s">
        <v>452</v>
      </c>
      <c r="L226" s="238" t="b">
        <f>+ISNUMBER(PAGOS[[#This Row],[REG]])</f>
        <v>0</v>
      </c>
    </row>
    <row r="227" spans="1:12" x14ac:dyDescent="0.3">
      <c r="A227" s="287">
        <v>197</v>
      </c>
      <c r="B227" s="55">
        <v>9</v>
      </c>
      <c r="C227" s="51" t="s">
        <v>17</v>
      </c>
      <c r="D227" s="206">
        <v>48</v>
      </c>
      <c r="E227" s="33">
        <v>100</v>
      </c>
      <c r="F227" s="297">
        <v>45672</v>
      </c>
      <c r="G227" s="298">
        <v>5</v>
      </c>
      <c r="H227" s="33">
        <v>0</v>
      </c>
      <c r="I227" s="297">
        <v>45672</v>
      </c>
      <c r="J227" s="299">
        <v>5</v>
      </c>
      <c r="K227" s="36" t="s">
        <v>333</v>
      </c>
      <c r="L227" s="238" t="b">
        <f>+ISNUMBER(PAGOS[[#This Row],[REG]])</f>
        <v>1</v>
      </c>
    </row>
    <row r="228" spans="1:12" x14ac:dyDescent="0.3">
      <c r="A228" s="287" t="s">
        <v>395</v>
      </c>
      <c r="B228" s="55">
        <v>9</v>
      </c>
      <c r="C228" s="51" t="s">
        <v>17</v>
      </c>
      <c r="D228" s="206">
        <v>48</v>
      </c>
      <c r="E228" s="33">
        <v>0</v>
      </c>
      <c r="F228" s="297">
        <v>45672</v>
      </c>
      <c r="G228" s="53" t="s">
        <v>569</v>
      </c>
      <c r="H228" s="33">
        <v>12</v>
      </c>
      <c r="I228" s="297">
        <v>45672</v>
      </c>
      <c r="J228" s="54" t="s">
        <v>569</v>
      </c>
      <c r="K228" s="36" t="s">
        <v>453</v>
      </c>
      <c r="L228" s="238" t="b">
        <f>+ISNUMBER(PAGOS[[#This Row],[REG]])</f>
        <v>0</v>
      </c>
    </row>
    <row r="229" spans="1:12" x14ac:dyDescent="0.3">
      <c r="A229" s="287">
        <v>198</v>
      </c>
      <c r="B229" s="55">
        <v>9</v>
      </c>
      <c r="C229" s="51" t="s">
        <v>17</v>
      </c>
      <c r="D229" s="206">
        <v>48</v>
      </c>
      <c r="E229" s="33">
        <v>100</v>
      </c>
      <c r="F229" s="52">
        <v>45672</v>
      </c>
      <c r="G229" s="298">
        <v>6</v>
      </c>
      <c r="H229" s="33">
        <v>0</v>
      </c>
      <c r="I229" s="52">
        <v>45672</v>
      </c>
      <c r="J229" s="299">
        <v>6</v>
      </c>
      <c r="K229" s="36" t="s">
        <v>465</v>
      </c>
      <c r="L229" s="231" t="b">
        <f>+ISNUMBER(PAGOS[[#This Row],[REG]])</f>
        <v>1</v>
      </c>
    </row>
    <row r="230" spans="1:12" x14ac:dyDescent="0.3">
      <c r="A230" s="287" t="s">
        <v>335</v>
      </c>
      <c r="B230" s="55">
        <v>9</v>
      </c>
      <c r="C230" s="51" t="s">
        <v>17</v>
      </c>
      <c r="D230" s="206">
        <v>48</v>
      </c>
      <c r="E230" s="33">
        <v>0</v>
      </c>
      <c r="F230" s="52">
        <v>45672</v>
      </c>
      <c r="G230" s="53" t="s">
        <v>569</v>
      </c>
      <c r="H230" s="33">
        <v>12</v>
      </c>
      <c r="I230" s="52">
        <v>45672</v>
      </c>
      <c r="J230" s="54" t="s">
        <v>569</v>
      </c>
      <c r="K230" s="36" t="s">
        <v>466</v>
      </c>
      <c r="L230" s="231" t="b">
        <f>+ISNUMBER(PAGOS[[#This Row],[REG]])</f>
        <v>0</v>
      </c>
    </row>
    <row r="231" spans="1:12" x14ac:dyDescent="0.3">
      <c r="A231" s="287">
        <v>199</v>
      </c>
      <c r="B231" s="55">
        <v>3</v>
      </c>
      <c r="C231" s="51" t="s">
        <v>13</v>
      </c>
      <c r="D231" s="206">
        <v>54</v>
      </c>
      <c r="E231" s="33">
        <v>22.1</v>
      </c>
      <c r="F231" s="52">
        <v>45672</v>
      </c>
      <c r="G231" s="298">
        <v>3</v>
      </c>
      <c r="H231" s="33">
        <v>0</v>
      </c>
      <c r="I231" s="52">
        <v>45672</v>
      </c>
      <c r="J231" s="299">
        <v>3</v>
      </c>
      <c r="K231" s="36" t="s">
        <v>467</v>
      </c>
      <c r="L231" s="231" t="b">
        <f>+ISNUMBER(PAGOS[[#This Row],[REG]])</f>
        <v>1</v>
      </c>
    </row>
    <row r="232" spans="1:12" x14ac:dyDescent="0.3">
      <c r="A232" s="287">
        <v>200</v>
      </c>
      <c r="B232" s="55">
        <v>14</v>
      </c>
      <c r="C232" s="51" t="s">
        <v>21</v>
      </c>
      <c r="D232" s="206">
        <v>53</v>
      </c>
      <c r="E232" s="33">
        <v>125</v>
      </c>
      <c r="F232" s="52">
        <v>45672</v>
      </c>
      <c r="G232" s="298">
        <v>4</v>
      </c>
      <c r="H232" s="33">
        <v>0</v>
      </c>
      <c r="I232" s="52">
        <v>45672</v>
      </c>
      <c r="J232" s="299">
        <v>4</v>
      </c>
      <c r="K232" s="36" t="s">
        <v>468</v>
      </c>
      <c r="L232" s="231" t="b">
        <f>+ISNUMBER(PAGOS[[#This Row],[REG]])</f>
        <v>1</v>
      </c>
    </row>
    <row r="233" spans="1:12" x14ac:dyDescent="0.3">
      <c r="A233" s="287" t="s">
        <v>351</v>
      </c>
      <c r="B233" s="55">
        <v>14</v>
      </c>
      <c r="C233" s="51" t="s">
        <v>21</v>
      </c>
      <c r="D233" s="206">
        <v>53</v>
      </c>
      <c r="E233" s="33">
        <v>0</v>
      </c>
      <c r="F233" s="52">
        <v>45672</v>
      </c>
      <c r="G233" s="53" t="s">
        <v>569</v>
      </c>
      <c r="H233" s="33">
        <v>10</v>
      </c>
      <c r="I233" s="52">
        <v>45672</v>
      </c>
      <c r="J233" s="54" t="s">
        <v>569</v>
      </c>
      <c r="K233" s="36" t="s">
        <v>466</v>
      </c>
      <c r="L233" s="231" t="b">
        <f>+ISNUMBER(PAGOS[[#This Row],[REG]])</f>
        <v>0</v>
      </c>
    </row>
    <row r="234" spans="1:12" x14ac:dyDescent="0.3">
      <c r="A234" s="287">
        <v>201</v>
      </c>
      <c r="B234" s="55">
        <v>15</v>
      </c>
      <c r="C234" s="51" t="s">
        <v>22</v>
      </c>
      <c r="D234" s="206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31" t="b">
        <f>+ISNUMBER(PAGOS[[#This Row],[REG]])</f>
        <v>1</v>
      </c>
    </row>
    <row r="235" spans="1:12" x14ac:dyDescent="0.3">
      <c r="A235" s="287">
        <v>202</v>
      </c>
      <c r="B235" s="55">
        <v>16</v>
      </c>
      <c r="C235" s="51" t="s">
        <v>23</v>
      </c>
      <c r="D235" s="206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31" t="b">
        <f>+ISNUMBER(PAGOS[[#This Row],[REG]])</f>
        <v>1</v>
      </c>
    </row>
    <row r="236" spans="1:12" x14ac:dyDescent="0.3">
      <c r="A236" s="287">
        <v>203</v>
      </c>
      <c r="B236" s="55">
        <v>4</v>
      </c>
      <c r="C236" s="51" t="s">
        <v>12</v>
      </c>
      <c r="D236" s="206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31" t="b">
        <f>+ISNUMBER(PAGOS[[#This Row],[REG]])</f>
        <v>1</v>
      </c>
    </row>
    <row r="237" spans="1:12" x14ac:dyDescent="0.3">
      <c r="A237" s="287">
        <v>204</v>
      </c>
      <c r="B237" s="55">
        <v>7</v>
      </c>
      <c r="C237" s="51" t="s">
        <v>15</v>
      </c>
      <c r="D237" s="206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31" t="b">
        <f>+ISNUMBER(PAGOS[[#This Row],[REG]])</f>
        <v>1</v>
      </c>
    </row>
    <row r="238" spans="1:12" x14ac:dyDescent="0.3">
      <c r="A238" s="287">
        <v>205</v>
      </c>
      <c r="B238" s="55">
        <v>8</v>
      </c>
      <c r="C238" s="51" t="s">
        <v>16</v>
      </c>
      <c r="D238" s="206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31" t="b">
        <f>+ISNUMBER(PAGOS[[#This Row],[REG]])</f>
        <v>1</v>
      </c>
    </row>
    <row r="239" spans="1:12" x14ac:dyDescent="0.3">
      <c r="A239" s="287">
        <v>206</v>
      </c>
      <c r="B239" s="55">
        <v>14</v>
      </c>
      <c r="C239" s="51" t="s">
        <v>21</v>
      </c>
      <c r="D239" s="206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31" t="b">
        <f>+ISNUMBER(PAGOS[[#This Row],[REG]])</f>
        <v>1</v>
      </c>
    </row>
    <row r="240" spans="1:12" x14ac:dyDescent="0.3">
      <c r="A240" s="287">
        <v>207</v>
      </c>
      <c r="B240" s="55">
        <v>12</v>
      </c>
      <c r="C240" s="51" t="s">
        <v>20</v>
      </c>
      <c r="D240" s="206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31" t="b">
        <f>+ISNUMBER(PAGOS[[#This Row],[REG]])</f>
        <v>1</v>
      </c>
    </row>
    <row r="241" spans="1:12" x14ac:dyDescent="0.3">
      <c r="A241" s="287">
        <v>208</v>
      </c>
      <c r="B241" s="55">
        <v>6</v>
      </c>
      <c r="C241" s="51" t="s">
        <v>24</v>
      </c>
      <c r="D241" s="206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31" t="b">
        <f>+ISNUMBER(PAGOS[[#This Row],[REG]])</f>
        <v>1</v>
      </c>
    </row>
    <row r="242" spans="1:12" x14ac:dyDescent="0.3">
      <c r="A242" s="287">
        <v>209</v>
      </c>
      <c r="B242" s="55">
        <v>11</v>
      </c>
      <c r="C242" s="51" t="s">
        <v>19</v>
      </c>
      <c r="D242" s="206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31" t="b">
        <f>+ISNUMBER(PAGOS[[#This Row],[REG]])</f>
        <v>1</v>
      </c>
    </row>
    <row r="243" spans="1:12" x14ac:dyDescent="0.3">
      <c r="A243" s="287">
        <v>210</v>
      </c>
      <c r="B243" s="55">
        <v>5</v>
      </c>
      <c r="C243" s="51" t="s">
        <v>14</v>
      </c>
      <c r="D243" s="206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31" t="b">
        <f>+ISNUMBER(PAGOS[[#This Row],[REG]])</f>
        <v>1</v>
      </c>
    </row>
    <row r="244" spans="1:12" x14ac:dyDescent="0.3">
      <c r="A244" s="287">
        <v>211</v>
      </c>
      <c r="B244" s="55">
        <v>3</v>
      </c>
      <c r="C244" s="51" t="s">
        <v>13</v>
      </c>
      <c r="D244" s="206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571</v>
      </c>
      <c r="L244" s="231" t="b">
        <f>+ISNUMBER(PAGOS[[#This Row],[REG]])</f>
        <v>1</v>
      </c>
    </row>
    <row r="245" spans="1:12" x14ac:dyDescent="0.3">
      <c r="A245" s="287">
        <v>212</v>
      </c>
      <c r="B245" s="55">
        <v>16</v>
      </c>
      <c r="C245" s="51" t="s">
        <v>23</v>
      </c>
      <c r="D245" s="206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31" t="b">
        <f>+ISNUMBER(PAGOS[[#This Row],[REG]])</f>
        <v>1</v>
      </c>
    </row>
    <row r="246" spans="1:12" x14ac:dyDescent="0.3">
      <c r="A246" s="287">
        <v>213</v>
      </c>
      <c r="B246" s="55">
        <v>15</v>
      </c>
      <c r="C246" s="51" t="s">
        <v>22</v>
      </c>
      <c r="D246" s="206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31" t="b">
        <f>+ISNUMBER(PAGOS[[#This Row],[REG]])</f>
        <v>1</v>
      </c>
    </row>
    <row r="247" spans="1:12" x14ac:dyDescent="0.3">
      <c r="A247" s="287">
        <v>214</v>
      </c>
      <c r="B247" s="55">
        <v>16</v>
      </c>
      <c r="C247" s="51" t="s">
        <v>23</v>
      </c>
      <c r="D247" s="206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31" t="b">
        <f>+ISNUMBER(PAGOS[[#This Row],[REG]])</f>
        <v>1</v>
      </c>
    </row>
    <row r="248" spans="1:12" x14ac:dyDescent="0.3">
      <c r="A248" s="287">
        <v>215</v>
      </c>
      <c r="B248" s="55">
        <v>4</v>
      </c>
      <c r="C248" s="51" t="s">
        <v>12</v>
      </c>
      <c r="D248" s="206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31" t="b">
        <f>+ISNUMBER(PAGOS[[#This Row],[REG]])</f>
        <v>1</v>
      </c>
    </row>
    <row r="249" spans="1:12" x14ac:dyDescent="0.3">
      <c r="A249" s="287">
        <v>216</v>
      </c>
      <c r="B249" s="55">
        <v>7</v>
      </c>
      <c r="C249" s="51" t="s">
        <v>15</v>
      </c>
      <c r="D249" s="206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31" t="b">
        <f>+ISNUMBER(PAGOS[[#This Row],[REG]])</f>
        <v>1</v>
      </c>
    </row>
    <row r="250" spans="1:12" x14ac:dyDescent="0.3">
      <c r="A250" s="287">
        <v>217</v>
      </c>
      <c r="B250" s="55">
        <v>8</v>
      </c>
      <c r="C250" s="51" t="s">
        <v>16</v>
      </c>
      <c r="D250" s="206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31" t="b">
        <f>+ISNUMBER(PAGOS[[#This Row],[REG]])</f>
        <v>1</v>
      </c>
    </row>
    <row r="251" spans="1:12" x14ac:dyDescent="0.3">
      <c r="A251" s="287">
        <v>218</v>
      </c>
      <c r="B251" s="55">
        <v>3</v>
      </c>
      <c r="C251" s="51" t="s">
        <v>13</v>
      </c>
      <c r="D251" s="206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31" t="b">
        <f>+ISNUMBER(PAGOS[[#This Row],[REG]])</f>
        <v>1</v>
      </c>
    </row>
    <row r="252" spans="1:12" x14ac:dyDescent="0.3">
      <c r="A252" s="287">
        <v>219</v>
      </c>
      <c r="B252" s="55">
        <v>12</v>
      </c>
      <c r="C252" s="51" t="s">
        <v>20</v>
      </c>
      <c r="D252" s="206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31" t="b">
        <f>+ISNUMBER(PAGOS[[#This Row],[REG]])</f>
        <v>1</v>
      </c>
    </row>
    <row r="253" spans="1:12" x14ac:dyDescent="0.3">
      <c r="A253" s="287">
        <v>220</v>
      </c>
      <c r="B253" s="55">
        <v>10</v>
      </c>
      <c r="C253" s="51" t="s">
        <v>18</v>
      </c>
      <c r="D253" s="206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31" t="b">
        <f>+ISNUMBER(PAGOS[[#This Row],[REG]])</f>
        <v>1</v>
      </c>
    </row>
    <row r="254" spans="1:12" x14ac:dyDescent="0.3">
      <c r="A254" s="287">
        <v>221</v>
      </c>
      <c r="B254" s="55">
        <v>6</v>
      </c>
      <c r="C254" s="51" t="s">
        <v>24</v>
      </c>
      <c r="D254" s="206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31" t="b">
        <f>+ISNUMBER(PAGOS[[#This Row],[REG]])</f>
        <v>1</v>
      </c>
    </row>
    <row r="255" spans="1:12" x14ac:dyDescent="0.3">
      <c r="A255" s="287">
        <v>222</v>
      </c>
      <c r="B255" s="55">
        <v>11</v>
      </c>
      <c r="C255" s="51" t="s">
        <v>19</v>
      </c>
      <c r="D255" s="206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31" t="b">
        <f>+ISNUMBER(PAGOS[[#This Row],[REG]])</f>
        <v>1</v>
      </c>
    </row>
    <row r="256" spans="1:12" x14ac:dyDescent="0.3">
      <c r="A256" s="287">
        <v>223</v>
      </c>
      <c r="B256" s="55">
        <v>9</v>
      </c>
      <c r="C256" s="51" t="s">
        <v>17</v>
      </c>
      <c r="D256" s="206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31" t="b">
        <f>+ISNUMBER(PAGOS[[#This Row],[REG]])</f>
        <v>1</v>
      </c>
    </row>
    <row r="257" spans="1:12" x14ac:dyDescent="0.3">
      <c r="A257" s="287">
        <v>224</v>
      </c>
      <c r="B257" s="55">
        <v>14</v>
      </c>
      <c r="C257" s="51" t="s">
        <v>21</v>
      </c>
      <c r="D257" s="206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31" t="b">
        <f>+ISNUMBER(PAGOS[[#This Row],[REG]])</f>
        <v>1</v>
      </c>
    </row>
    <row r="258" spans="1:12" x14ac:dyDescent="0.3">
      <c r="A258" s="287" t="s">
        <v>315</v>
      </c>
      <c r="B258" s="246">
        <v>1</v>
      </c>
      <c r="C258" s="51" t="s">
        <v>70</v>
      </c>
      <c r="D258" s="206">
        <v>0</v>
      </c>
      <c r="E258" s="33">
        <v>0</v>
      </c>
      <c r="F258" s="52">
        <v>45704</v>
      </c>
      <c r="G258" s="292" t="s">
        <v>568</v>
      </c>
      <c r="H258" s="33">
        <v>1</v>
      </c>
      <c r="I258" s="52">
        <v>45704</v>
      </c>
      <c r="J258" s="293" t="s">
        <v>568</v>
      </c>
      <c r="K258" s="36" t="s">
        <v>316</v>
      </c>
      <c r="L258" s="231" t="b">
        <f>+ISNUMBER(PAGOS[[#This Row],[REG]])</f>
        <v>0</v>
      </c>
    </row>
    <row r="259" spans="1:12" x14ac:dyDescent="0.3">
      <c r="A259" s="287">
        <v>225</v>
      </c>
      <c r="B259" s="55">
        <v>16</v>
      </c>
      <c r="C259" s="51" t="s">
        <v>23</v>
      </c>
      <c r="D259" s="206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31" t="b">
        <f>+ISNUMBER(PAGOS[[#This Row],[REG]])</f>
        <v>1</v>
      </c>
    </row>
    <row r="260" spans="1:12" x14ac:dyDescent="0.3">
      <c r="A260" s="287">
        <v>226</v>
      </c>
      <c r="B260" s="55">
        <v>15</v>
      </c>
      <c r="C260" s="51" t="s">
        <v>22</v>
      </c>
      <c r="D260" s="206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31" t="b">
        <f>+ISNUMBER(PAGOS[[#This Row],[REG]])</f>
        <v>1</v>
      </c>
    </row>
    <row r="261" spans="1:12" x14ac:dyDescent="0.3">
      <c r="A261" s="287">
        <v>227</v>
      </c>
      <c r="B261" s="55">
        <v>16</v>
      </c>
      <c r="C261" s="51" t="s">
        <v>23</v>
      </c>
      <c r="D261" s="206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31" t="b">
        <f>+ISNUMBER(PAGOS[[#This Row],[REG]])</f>
        <v>1</v>
      </c>
    </row>
    <row r="262" spans="1:12" x14ac:dyDescent="0.3">
      <c r="A262" s="287">
        <v>228</v>
      </c>
      <c r="B262" s="55">
        <v>12</v>
      </c>
      <c r="C262" s="51" t="s">
        <v>20</v>
      </c>
      <c r="D262" s="206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31" t="b">
        <f>+ISNUMBER(PAGOS[[#This Row],[REG]])</f>
        <v>1</v>
      </c>
    </row>
    <row r="263" spans="1:12" x14ac:dyDescent="0.3">
      <c r="A263" s="287">
        <v>229</v>
      </c>
      <c r="B263" s="55">
        <v>6</v>
      </c>
      <c r="C263" s="51" t="s">
        <v>24</v>
      </c>
      <c r="D263" s="206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31" t="b">
        <f>+ISNUMBER(PAGOS[[#This Row],[REG]])</f>
        <v>1</v>
      </c>
    </row>
    <row r="264" spans="1:12" x14ac:dyDescent="0.3">
      <c r="A264" s="287">
        <v>230</v>
      </c>
      <c r="B264" s="55">
        <v>11</v>
      </c>
      <c r="C264" s="51" t="s">
        <v>19</v>
      </c>
      <c r="D264" s="206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31" t="b">
        <f>+ISNUMBER(PAGOS[[#This Row],[REG]])</f>
        <v>1</v>
      </c>
    </row>
    <row r="265" spans="1:12" x14ac:dyDescent="0.3">
      <c r="A265" s="287">
        <v>231</v>
      </c>
      <c r="B265" s="55">
        <v>14</v>
      </c>
      <c r="C265" s="51" t="s">
        <v>21</v>
      </c>
      <c r="D265" s="206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31" t="b">
        <f>+ISNUMBER(PAGOS[[#This Row],[REG]])</f>
        <v>1</v>
      </c>
    </row>
    <row r="266" spans="1:12" x14ac:dyDescent="0.3">
      <c r="A266" s="287">
        <v>232</v>
      </c>
      <c r="B266" s="55">
        <v>5</v>
      </c>
      <c r="C266" s="51" t="s">
        <v>14</v>
      </c>
      <c r="D266" s="206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31" t="b">
        <f>+ISNUMBER(PAGOS[[#This Row],[REG]])</f>
        <v>1</v>
      </c>
    </row>
    <row r="267" spans="1:12" x14ac:dyDescent="0.3">
      <c r="A267" s="287">
        <v>233</v>
      </c>
      <c r="B267" s="55">
        <v>8</v>
      </c>
      <c r="C267" s="51" t="s">
        <v>16</v>
      </c>
      <c r="D267" s="206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31" t="b">
        <f>+ISNUMBER(PAGOS[[#This Row],[REG]])</f>
        <v>1</v>
      </c>
    </row>
    <row r="268" spans="1:12" x14ac:dyDescent="0.3">
      <c r="A268" s="287">
        <v>234</v>
      </c>
      <c r="B268" s="55">
        <v>16</v>
      </c>
      <c r="C268" s="51" t="s">
        <v>23</v>
      </c>
      <c r="D268" s="206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31" t="b">
        <f>+ISNUMBER(PAGOS[[#This Row],[REG]])</f>
        <v>1</v>
      </c>
    </row>
    <row r="269" spans="1:12" x14ac:dyDescent="0.3">
      <c r="A269" s="287">
        <v>235</v>
      </c>
      <c r="B269" s="55">
        <v>16</v>
      </c>
      <c r="C269" s="51" t="s">
        <v>23</v>
      </c>
      <c r="D269" s="206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31" t="b">
        <f>+ISNUMBER(PAGOS[[#This Row],[REG]])</f>
        <v>1</v>
      </c>
    </row>
    <row r="270" spans="1:12" x14ac:dyDescent="0.3">
      <c r="A270" s="287">
        <v>236</v>
      </c>
      <c r="B270" s="55">
        <v>10</v>
      </c>
      <c r="C270" s="51" t="s">
        <v>18</v>
      </c>
      <c r="D270" s="206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31" t="b">
        <f>+ISNUMBER(PAGOS[[#This Row],[REG]])</f>
        <v>1</v>
      </c>
    </row>
    <row r="271" spans="1:12" x14ac:dyDescent="0.3">
      <c r="A271" s="287">
        <v>237</v>
      </c>
      <c r="B271" s="55">
        <v>9</v>
      </c>
      <c r="C271" s="51" t="s">
        <v>17</v>
      </c>
      <c r="D271" s="206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31" t="b">
        <f>+ISNUMBER(PAGOS[[#This Row],[REG]])</f>
        <v>1</v>
      </c>
    </row>
    <row r="272" spans="1:12" x14ac:dyDescent="0.3">
      <c r="A272" s="287">
        <v>238</v>
      </c>
      <c r="B272" s="55">
        <v>10</v>
      </c>
      <c r="C272" s="51" t="s">
        <v>18</v>
      </c>
      <c r="D272" s="206">
        <v>56</v>
      </c>
      <c r="E272" s="33">
        <v>40</v>
      </c>
      <c r="F272" s="52">
        <v>45762</v>
      </c>
      <c r="G272" s="298">
        <v>5</v>
      </c>
      <c r="H272" s="33">
        <v>0</v>
      </c>
      <c r="I272" s="52">
        <v>45762</v>
      </c>
      <c r="J272" s="299">
        <v>5</v>
      </c>
      <c r="K272" s="36" t="s">
        <v>333</v>
      </c>
      <c r="L272" s="231" t="b">
        <f>+ISNUMBER(PAGOS[[#This Row],[REG]])</f>
        <v>1</v>
      </c>
    </row>
    <row r="273" spans="1:12" x14ac:dyDescent="0.3">
      <c r="A273" s="287" t="s">
        <v>387</v>
      </c>
      <c r="B273" s="55">
        <v>10</v>
      </c>
      <c r="C273" s="51" t="s">
        <v>18</v>
      </c>
      <c r="D273" s="206">
        <v>56</v>
      </c>
      <c r="E273" s="33">
        <v>0</v>
      </c>
      <c r="F273" s="52">
        <v>45762</v>
      </c>
      <c r="G273" s="53" t="s">
        <v>569</v>
      </c>
      <c r="H273" s="33">
        <v>4</v>
      </c>
      <c r="I273" s="52">
        <v>45762</v>
      </c>
      <c r="J273" s="54" t="s">
        <v>569</v>
      </c>
      <c r="K273" s="36" t="s">
        <v>334</v>
      </c>
      <c r="L273" s="231" t="b">
        <f>+ISNUMBER(PAGOS[[#This Row],[REG]])</f>
        <v>0</v>
      </c>
    </row>
    <row r="274" spans="1:12" x14ac:dyDescent="0.3">
      <c r="A274" s="287">
        <v>239</v>
      </c>
      <c r="B274" s="55">
        <v>12</v>
      </c>
      <c r="C274" s="51" t="s">
        <v>20</v>
      </c>
      <c r="D274" s="206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31" t="b">
        <f>+ISNUMBER(PAGOS[[#This Row],[REG]])</f>
        <v>1</v>
      </c>
    </row>
    <row r="275" spans="1:12" x14ac:dyDescent="0.3">
      <c r="A275" s="287">
        <v>240</v>
      </c>
      <c r="B275" s="55">
        <v>6</v>
      </c>
      <c r="C275" s="51" t="s">
        <v>24</v>
      </c>
      <c r="D275" s="206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31" t="b">
        <f>+ISNUMBER(PAGOS[[#This Row],[REG]])</f>
        <v>1</v>
      </c>
    </row>
    <row r="276" spans="1:12" x14ac:dyDescent="0.3">
      <c r="A276" s="287">
        <v>241</v>
      </c>
      <c r="B276" s="55">
        <v>11</v>
      </c>
      <c r="C276" s="51" t="s">
        <v>19</v>
      </c>
      <c r="D276" s="206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31" t="b">
        <f>+ISNUMBER(PAGOS[[#This Row],[REG]])</f>
        <v>1</v>
      </c>
    </row>
    <row r="277" spans="1:12" x14ac:dyDescent="0.3">
      <c r="A277" s="287">
        <v>242</v>
      </c>
      <c r="B277" s="55">
        <v>14</v>
      </c>
      <c r="C277" s="51" t="s">
        <v>21</v>
      </c>
      <c r="D277" s="206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31" t="b">
        <f>+ISNUMBER(PAGOS[[#This Row],[REG]])</f>
        <v>1</v>
      </c>
    </row>
    <row r="278" spans="1:12" x14ac:dyDescent="0.3">
      <c r="A278" s="287">
        <v>243</v>
      </c>
      <c r="B278" s="55">
        <v>5</v>
      </c>
      <c r="C278" s="51" t="s">
        <v>14</v>
      </c>
      <c r="D278" s="206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31" t="b">
        <f>+ISNUMBER(PAGOS[[#This Row],[REG]])</f>
        <v>1</v>
      </c>
    </row>
    <row r="279" spans="1:12" x14ac:dyDescent="0.3">
      <c r="A279" s="287">
        <v>244</v>
      </c>
      <c r="B279" s="55">
        <v>8</v>
      </c>
      <c r="C279" s="51" t="s">
        <v>16</v>
      </c>
      <c r="D279" s="206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31" t="b">
        <f>+ISNUMBER(PAGOS[[#This Row],[REG]])</f>
        <v>1</v>
      </c>
    </row>
    <row r="280" spans="1:12" x14ac:dyDescent="0.3">
      <c r="A280" s="287">
        <v>245</v>
      </c>
      <c r="B280" s="55">
        <v>8</v>
      </c>
      <c r="C280" s="51" t="s">
        <v>16</v>
      </c>
      <c r="D280" s="206">
        <v>64</v>
      </c>
      <c r="E280" s="33">
        <v>100</v>
      </c>
      <c r="F280" s="52">
        <v>45764</v>
      </c>
      <c r="G280" s="298">
        <v>3</v>
      </c>
      <c r="H280" s="33">
        <v>0</v>
      </c>
      <c r="I280" s="52">
        <v>45764</v>
      </c>
      <c r="J280" s="299">
        <v>3</v>
      </c>
      <c r="K280" s="36" t="s">
        <v>349</v>
      </c>
      <c r="L280" s="231" t="b">
        <f>+ISNUMBER(PAGOS[[#This Row],[REG]])</f>
        <v>1</v>
      </c>
    </row>
    <row r="281" spans="1:12" x14ac:dyDescent="0.3">
      <c r="A281" s="287" t="s">
        <v>388</v>
      </c>
      <c r="B281" s="55">
        <v>8</v>
      </c>
      <c r="C281" s="51" t="s">
        <v>16</v>
      </c>
      <c r="D281" s="206">
        <v>64</v>
      </c>
      <c r="E281" s="33">
        <v>0</v>
      </c>
      <c r="F281" s="52">
        <v>45764</v>
      </c>
      <c r="G281" s="53" t="s">
        <v>569</v>
      </c>
      <c r="H281" s="33">
        <v>6</v>
      </c>
      <c r="I281" s="52">
        <v>45764</v>
      </c>
      <c r="J281" s="54" t="s">
        <v>569</v>
      </c>
      <c r="K281" s="36" t="s">
        <v>350</v>
      </c>
      <c r="L281" s="231" t="b">
        <f>+ISNUMBER(PAGOS[[#This Row],[REG]])</f>
        <v>0</v>
      </c>
    </row>
    <row r="282" spans="1:12" x14ac:dyDescent="0.3">
      <c r="A282" s="287">
        <v>246</v>
      </c>
      <c r="B282" s="55">
        <v>16</v>
      </c>
      <c r="C282" s="51" t="s">
        <v>23</v>
      </c>
      <c r="D282" s="206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31" t="b">
        <f>+ISNUMBER(PAGOS[[#This Row],[REG]])</f>
        <v>1</v>
      </c>
    </row>
    <row r="283" spans="1:12" x14ac:dyDescent="0.3">
      <c r="A283" s="287">
        <v>247</v>
      </c>
      <c r="B283" s="55">
        <v>9</v>
      </c>
      <c r="C283" s="51" t="s">
        <v>17</v>
      </c>
      <c r="D283" s="206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31" t="b">
        <f>+ISNUMBER(PAGOS[[#This Row],[REG]])</f>
        <v>1</v>
      </c>
    </row>
    <row r="284" spans="1:12" x14ac:dyDescent="0.3">
      <c r="A284" s="287" t="s">
        <v>344</v>
      </c>
      <c r="B284" s="35">
        <v>17</v>
      </c>
      <c r="C284" s="51" t="s">
        <v>337</v>
      </c>
      <c r="D284" s="289">
        <v>0</v>
      </c>
      <c r="E284" s="33">
        <v>0</v>
      </c>
      <c r="F284" s="52">
        <v>45764</v>
      </c>
      <c r="G284" s="53" t="s">
        <v>570</v>
      </c>
      <c r="H284" s="33">
        <v>0</v>
      </c>
      <c r="I284" s="52">
        <v>45764</v>
      </c>
      <c r="J284" s="54" t="s">
        <v>570</v>
      </c>
      <c r="K284" s="36" t="s">
        <v>355</v>
      </c>
      <c r="L284" s="231" t="b">
        <f>+ISNUMBER(PAGOS[[#This Row],[REG]])</f>
        <v>0</v>
      </c>
    </row>
    <row r="285" spans="1:12" x14ac:dyDescent="0.3">
      <c r="A285" s="287" t="s">
        <v>346</v>
      </c>
      <c r="B285" s="35">
        <v>18</v>
      </c>
      <c r="C285" s="51" t="s">
        <v>338</v>
      </c>
      <c r="D285" s="289">
        <v>0</v>
      </c>
      <c r="E285" s="33">
        <v>0</v>
      </c>
      <c r="F285" s="52">
        <v>45764</v>
      </c>
      <c r="G285" s="53" t="s">
        <v>570</v>
      </c>
      <c r="H285" s="33">
        <v>0</v>
      </c>
      <c r="I285" s="52">
        <v>45764</v>
      </c>
      <c r="J285" s="54" t="s">
        <v>570</v>
      </c>
      <c r="K285" s="36" t="s">
        <v>355</v>
      </c>
      <c r="L285" s="231" t="b">
        <f>+ISNUMBER(PAGOS[[#This Row],[REG]])</f>
        <v>0</v>
      </c>
    </row>
    <row r="286" spans="1:12" x14ac:dyDescent="0.3">
      <c r="A286" s="287" t="s">
        <v>356</v>
      </c>
      <c r="B286" s="35">
        <v>13</v>
      </c>
      <c r="C286" s="51" t="s">
        <v>339</v>
      </c>
      <c r="D286" s="289">
        <v>0</v>
      </c>
      <c r="E286" s="33">
        <v>0</v>
      </c>
      <c r="F286" s="52">
        <v>45764</v>
      </c>
      <c r="G286" s="53" t="s">
        <v>570</v>
      </c>
      <c r="H286" s="33">
        <v>0</v>
      </c>
      <c r="I286" s="52">
        <v>45764</v>
      </c>
      <c r="J286" s="54" t="s">
        <v>570</v>
      </c>
      <c r="K286" s="36" t="s">
        <v>355</v>
      </c>
      <c r="L286" s="231" t="b">
        <f>+ISNUMBER(PAGOS[[#This Row],[REG]])</f>
        <v>0</v>
      </c>
    </row>
    <row r="287" spans="1:12" x14ac:dyDescent="0.3">
      <c r="A287" s="287">
        <v>248</v>
      </c>
      <c r="B287" s="55">
        <v>7</v>
      </c>
      <c r="C287" s="51" t="s">
        <v>15</v>
      </c>
      <c r="D287" s="206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31" t="b">
        <f>+ISNUMBER(PAGOS[[#This Row],[REG]])</f>
        <v>1</v>
      </c>
    </row>
    <row r="288" spans="1:12" x14ac:dyDescent="0.3">
      <c r="A288" s="287">
        <v>249</v>
      </c>
      <c r="B288" s="55">
        <v>5</v>
      </c>
      <c r="C288" s="51" t="s">
        <v>14</v>
      </c>
      <c r="D288" s="206">
        <v>63</v>
      </c>
      <c r="E288" s="33">
        <v>100</v>
      </c>
      <c r="F288" s="52">
        <v>45792</v>
      </c>
      <c r="G288" s="298">
        <v>4</v>
      </c>
      <c r="H288" s="33">
        <v>0</v>
      </c>
      <c r="I288" s="52">
        <v>45792</v>
      </c>
      <c r="J288" s="299">
        <v>4</v>
      </c>
      <c r="K288" s="36" t="s">
        <v>364</v>
      </c>
      <c r="L288" s="231" t="b">
        <f>+ISNUMBER(PAGOS[[#This Row],[REG]])</f>
        <v>1</v>
      </c>
    </row>
    <row r="289" spans="1:12" x14ac:dyDescent="0.3">
      <c r="A289" s="287">
        <v>250</v>
      </c>
      <c r="B289" s="55">
        <v>5</v>
      </c>
      <c r="C289" s="51" t="s">
        <v>14</v>
      </c>
      <c r="D289" s="206">
        <v>63</v>
      </c>
      <c r="E289" s="33">
        <v>100</v>
      </c>
      <c r="F289" s="52">
        <v>45792</v>
      </c>
      <c r="G289" s="298">
        <v>5</v>
      </c>
      <c r="H289" s="33">
        <v>0</v>
      </c>
      <c r="I289" s="52">
        <v>45792</v>
      </c>
      <c r="J289" s="299">
        <v>5</v>
      </c>
      <c r="K289" s="36" t="s">
        <v>365</v>
      </c>
      <c r="L289" s="231" t="b">
        <f>+ISNUMBER(PAGOS[[#This Row],[REG]])</f>
        <v>1</v>
      </c>
    </row>
    <row r="290" spans="1:12" x14ac:dyDescent="0.3">
      <c r="A290" s="287" t="s">
        <v>389</v>
      </c>
      <c r="B290" s="55">
        <v>5</v>
      </c>
      <c r="C290" s="51" t="s">
        <v>14</v>
      </c>
      <c r="D290" s="206">
        <v>63</v>
      </c>
      <c r="E290" s="33">
        <v>0</v>
      </c>
      <c r="F290" s="52">
        <v>45792</v>
      </c>
      <c r="G290" s="53" t="s">
        <v>569</v>
      </c>
      <c r="H290" s="33">
        <v>10</v>
      </c>
      <c r="I290" s="52">
        <v>45792</v>
      </c>
      <c r="J290" s="54" t="s">
        <v>569</v>
      </c>
      <c r="K290" s="36" t="s">
        <v>366</v>
      </c>
      <c r="L290" s="231" t="b">
        <f>+ISNUMBER(PAGOS[[#This Row],[REG]])</f>
        <v>0</v>
      </c>
    </row>
    <row r="291" spans="1:12" x14ac:dyDescent="0.3">
      <c r="A291" s="287" t="s">
        <v>390</v>
      </c>
      <c r="B291" s="55">
        <v>5</v>
      </c>
      <c r="C291" s="51" t="s">
        <v>14</v>
      </c>
      <c r="D291" s="206">
        <v>63</v>
      </c>
      <c r="E291" s="33">
        <v>0</v>
      </c>
      <c r="F291" s="52">
        <v>45792</v>
      </c>
      <c r="G291" s="53" t="s">
        <v>569</v>
      </c>
      <c r="H291" s="33">
        <v>10</v>
      </c>
      <c r="I291" s="52">
        <v>45792</v>
      </c>
      <c r="J291" s="54" t="s">
        <v>569</v>
      </c>
      <c r="K291" s="36" t="s">
        <v>367</v>
      </c>
      <c r="L291" s="231" t="b">
        <f>+ISNUMBER(PAGOS[[#This Row],[REG]])</f>
        <v>0</v>
      </c>
    </row>
    <row r="292" spans="1:12" x14ac:dyDescent="0.3">
      <c r="A292" s="287">
        <v>251</v>
      </c>
      <c r="B292" s="55">
        <v>16</v>
      </c>
      <c r="C292" s="51" t="s">
        <v>23</v>
      </c>
      <c r="D292" s="206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31" t="b">
        <f>+ISNUMBER(PAGOS[[#This Row],[REG]])</f>
        <v>1</v>
      </c>
    </row>
    <row r="293" spans="1:12" x14ac:dyDescent="0.3">
      <c r="A293" s="287">
        <v>252</v>
      </c>
      <c r="B293" s="55">
        <v>6</v>
      </c>
      <c r="C293" s="51" t="s">
        <v>24</v>
      </c>
      <c r="D293" s="206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31" t="b">
        <f>+ISNUMBER(PAGOS[[#This Row],[REG]])</f>
        <v>1</v>
      </c>
    </row>
    <row r="294" spans="1:12" x14ac:dyDescent="0.3">
      <c r="A294" s="287">
        <v>253</v>
      </c>
      <c r="B294" s="55">
        <v>11</v>
      </c>
      <c r="C294" s="51" t="s">
        <v>19</v>
      </c>
      <c r="D294" s="206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31" t="b">
        <f>+ISNUMBER(PAGOS[[#This Row],[REG]])</f>
        <v>1</v>
      </c>
    </row>
    <row r="295" spans="1:12" x14ac:dyDescent="0.3">
      <c r="A295" s="287">
        <v>254</v>
      </c>
      <c r="B295" s="55">
        <v>9</v>
      </c>
      <c r="C295" s="51" t="s">
        <v>17</v>
      </c>
      <c r="D295" s="206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31" t="b">
        <f>+ISNUMBER(PAGOS[[#This Row],[REG]])</f>
        <v>1</v>
      </c>
    </row>
    <row r="296" spans="1:12" x14ac:dyDescent="0.3">
      <c r="A296" s="287">
        <v>255</v>
      </c>
      <c r="B296" s="55">
        <v>14</v>
      </c>
      <c r="C296" s="51" t="s">
        <v>21</v>
      </c>
      <c r="D296" s="206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31" t="b">
        <f>+ISNUMBER(PAGOS[[#This Row],[REG]])</f>
        <v>1</v>
      </c>
    </row>
    <row r="297" spans="1:12" x14ac:dyDescent="0.3">
      <c r="A297" s="287">
        <v>256</v>
      </c>
      <c r="B297" s="55">
        <v>5</v>
      </c>
      <c r="C297" s="51" t="s">
        <v>14</v>
      </c>
      <c r="D297" s="206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31" t="b">
        <f>+ISNUMBER(PAGOS[[#This Row],[REG]])</f>
        <v>1</v>
      </c>
    </row>
    <row r="298" spans="1:12" x14ac:dyDescent="0.3">
      <c r="A298" s="287">
        <v>257</v>
      </c>
      <c r="B298" s="55">
        <v>10</v>
      </c>
      <c r="C298" s="51" t="s">
        <v>18</v>
      </c>
      <c r="D298" s="206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31" t="b">
        <f>+ISNUMBER(PAGOS[[#This Row],[REG]])</f>
        <v>1</v>
      </c>
    </row>
    <row r="299" spans="1:12" x14ac:dyDescent="0.3">
      <c r="A299" s="287">
        <v>258</v>
      </c>
      <c r="B299" s="55">
        <v>8</v>
      </c>
      <c r="C299" s="51" t="s">
        <v>16</v>
      </c>
      <c r="D299" s="206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31" t="b">
        <f>+ISNUMBER(PAGOS[[#This Row],[REG]])</f>
        <v>1</v>
      </c>
    </row>
    <row r="300" spans="1:12" x14ac:dyDescent="0.3">
      <c r="A300" s="287">
        <v>259</v>
      </c>
      <c r="B300" s="55">
        <v>12</v>
      </c>
      <c r="C300" s="51" t="s">
        <v>20</v>
      </c>
      <c r="D300" s="206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31" t="b">
        <f>+ISNUMBER(PAGOS[[#This Row],[REG]])</f>
        <v>1</v>
      </c>
    </row>
    <row r="301" spans="1:12" x14ac:dyDescent="0.3">
      <c r="A301" s="287">
        <v>260</v>
      </c>
      <c r="B301" s="55">
        <v>4</v>
      </c>
      <c r="C301" s="51" t="s">
        <v>12</v>
      </c>
      <c r="D301" s="206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31" t="b">
        <f>+ISNUMBER(PAGOS[[#This Row],[REG]])</f>
        <v>1</v>
      </c>
    </row>
    <row r="302" spans="1:12" x14ac:dyDescent="0.3">
      <c r="A302" s="287">
        <v>261</v>
      </c>
      <c r="B302" s="55">
        <v>3</v>
      </c>
      <c r="C302" s="51" t="s">
        <v>13</v>
      </c>
      <c r="D302" s="206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31" t="b">
        <f>+ISNUMBER(PAGOS[[#This Row],[REG]])</f>
        <v>1</v>
      </c>
    </row>
    <row r="303" spans="1:12" x14ac:dyDescent="0.3">
      <c r="A303" s="287">
        <v>262</v>
      </c>
      <c r="B303" s="55">
        <v>16</v>
      </c>
      <c r="C303" s="51" t="s">
        <v>23</v>
      </c>
      <c r="D303" s="206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31" t="b">
        <f>+ISNUMBER(PAGOS[[#This Row],[REG]])</f>
        <v>1</v>
      </c>
    </row>
    <row r="304" spans="1:12" x14ac:dyDescent="0.3">
      <c r="A304" s="287">
        <v>263</v>
      </c>
      <c r="B304" s="55">
        <v>12</v>
      </c>
      <c r="C304" s="51" t="s">
        <v>20</v>
      </c>
      <c r="D304" s="206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31" t="b">
        <f>+ISNUMBER(PAGOS[[#This Row],[REG]])</f>
        <v>1</v>
      </c>
    </row>
    <row r="305" spans="1:12" x14ac:dyDescent="0.3">
      <c r="A305" s="287">
        <v>264</v>
      </c>
      <c r="B305" s="55">
        <v>6</v>
      </c>
      <c r="C305" s="51" t="s">
        <v>24</v>
      </c>
      <c r="D305" s="206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31" t="b">
        <f>+ISNUMBER(PAGOS[[#This Row],[REG]])</f>
        <v>1</v>
      </c>
    </row>
    <row r="306" spans="1:12" x14ac:dyDescent="0.3">
      <c r="A306" s="287">
        <v>265</v>
      </c>
      <c r="B306" s="55">
        <v>9</v>
      </c>
      <c r="C306" s="51" t="s">
        <v>17</v>
      </c>
      <c r="D306" s="206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31" t="b">
        <f>+ISNUMBER(PAGOS[[#This Row],[REG]])</f>
        <v>1</v>
      </c>
    </row>
    <row r="307" spans="1:12" x14ac:dyDescent="0.3">
      <c r="A307" s="287">
        <v>266</v>
      </c>
      <c r="B307" s="55">
        <v>14</v>
      </c>
      <c r="C307" s="51" t="s">
        <v>21</v>
      </c>
      <c r="D307" s="206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31" t="b">
        <f>+ISNUMBER(PAGOS[[#This Row],[REG]])</f>
        <v>1</v>
      </c>
    </row>
    <row r="308" spans="1:12" x14ac:dyDescent="0.3">
      <c r="A308" s="287">
        <v>267</v>
      </c>
      <c r="B308" s="55">
        <v>10</v>
      </c>
      <c r="C308" s="51" t="s">
        <v>18</v>
      </c>
      <c r="D308" s="206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31" t="b">
        <f>+ISNUMBER(PAGOS[[#This Row],[REG]])</f>
        <v>1</v>
      </c>
    </row>
    <row r="309" spans="1:12" x14ac:dyDescent="0.3">
      <c r="A309" s="287">
        <v>268</v>
      </c>
      <c r="B309" s="55">
        <v>8</v>
      </c>
      <c r="C309" s="51" t="s">
        <v>16</v>
      </c>
      <c r="D309" s="206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31" t="b">
        <f>+ISNUMBER(PAGOS[[#This Row],[REG]])</f>
        <v>1</v>
      </c>
    </row>
    <row r="310" spans="1:12" x14ac:dyDescent="0.3">
      <c r="A310" s="287">
        <v>269</v>
      </c>
      <c r="B310" s="55">
        <v>5</v>
      </c>
      <c r="C310" s="51" t="s">
        <v>14</v>
      </c>
      <c r="D310" s="206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31" t="b">
        <f>+ISNUMBER(PAGOS[[#This Row],[REG]])</f>
        <v>1</v>
      </c>
    </row>
    <row r="311" spans="1:12" x14ac:dyDescent="0.3">
      <c r="A311" s="287">
        <v>270</v>
      </c>
      <c r="B311" s="35">
        <v>17</v>
      </c>
      <c r="C311" s="51" t="s">
        <v>337</v>
      </c>
      <c r="D311" s="206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31" t="b">
        <f>+ISNUMBER(PAGOS[[#This Row],[REG]])</f>
        <v>1</v>
      </c>
    </row>
    <row r="312" spans="1:12" x14ac:dyDescent="0.3">
      <c r="A312" s="287">
        <v>271</v>
      </c>
      <c r="B312" s="55">
        <v>3</v>
      </c>
      <c r="C312" s="51" t="s">
        <v>13</v>
      </c>
      <c r="D312" s="206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31" t="b">
        <f>+ISNUMBER(PAGOS[[#This Row],[REG]])</f>
        <v>1</v>
      </c>
    </row>
    <row r="313" spans="1:12" x14ac:dyDescent="0.3">
      <c r="A313" s="287">
        <v>272</v>
      </c>
      <c r="B313" s="55">
        <v>4</v>
      </c>
      <c r="C313" s="51" t="s">
        <v>12</v>
      </c>
      <c r="D313" s="206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31" t="b">
        <f>+ISNUMBER(PAGOS[[#This Row],[REG]])</f>
        <v>1</v>
      </c>
    </row>
    <row r="314" spans="1:12" x14ac:dyDescent="0.3">
      <c r="A314" s="287">
        <v>273</v>
      </c>
      <c r="B314" s="55">
        <v>16</v>
      </c>
      <c r="C314" s="51" t="s">
        <v>23</v>
      </c>
      <c r="D314" s="206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31" t="b">
        <f>+ISNUMBER(PAGOS[[#This Row],[REG]])</f>
        <v>1</v>
      </c>
    </row>
    <row r="315" spans="1:12" x14ac:dyDescent="0.3">
      <c r="A315" s="287">
        <v>274</v>
      </c>
      <c r="B315" s="55">
        <v>11</v>
      </c>
      <c r="C315" s="51" t="s">
        <v>19</v>
      </c>
      <c r="D315" s="206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31" t="b">
        <f>+ISNUMBER(PAGOS[[#This Row],[REG]])</f>
        <v>1</v>
      </c>
    </row>
    <row r="316" spans="1:12" x14ac:dyDescent="0.3">
      <c r="A316" s="287">
        <v>275</v>
      </c>
      <c r="B316" s="55">
        <v>12</v>
      </c>
      <c r="C316" s="51" t="s">
        <v>20</v>
      </c>
      <c r="D316" s="206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31" t="b">
        <f>+ISNUMBER(PAGOS[[#This Row],[REG]])</f>
        <v>1</v>
      </c>
    </row>
    <row r="317" spans="1:12" x14ac:dyDescent="0.3">
      <c r="A317" s="287">
        <v>276</v>
      </c>
      <c r="B317" s="55">
        <v>6</v>
      </c>
      <c r="C317" s="51" t="s">
        <v>24</v>
      </c>
      <c r="D317" s="206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31" t="b">
        <f>+ISNUMBER(PAGOS[[#This Row],[REG]])</f>
        <v>1</v>
      </c>
    </row>
    <row r="318" spans="1:12" x14ac:dyDescent="0.3">
      <c r="A318" s="287">
        <v>277</v>
      </c>
      <c r="B318" s="55">
        <v>9</v>
      </c>
      <c r="C318" s="51" t="s">
        <v>17</v>
      </c>
      <c r="D318" s="206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31" t="b">
        <f>+ISNUMBER(PAGOS[[#This Row],[REG]])</f>
        <v>1</v>
      </c>
    </row>
    <row r="319" spans="1:12" x14ac:dyDescent="0.3">
      <c r="A319" s="287">
        <v>278</v>
      </c>
      <c r="B319" s="55">
        <v>14</v>
      </c>
      <c r="C319" s="51" t="s">
        <v>21</v>
      </c>
      <c r="D319" s="206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31" t="b">
        <f>+ISNUMBER(PAGOS[[#This Row],[REG]])</f>
        <v>1</v>
      </c>
    </row>
    <row r="320" spans="1:12" x14ac:dyDescent="0.3">
      <c r="A320" s="287">
        <v>279</v>
      </c>
      <c r="B320" s="55">
        <v>10</v>
      </c>
      <c r="C320" s="51" t="s">
        <v>18</v>
      </c>
      <c r="D320" s="206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31" t="b">
        <f>+ISNUMBER(PAGOS[[#This Row],[REG]])</f>
        <v>1</v>
      </c>
    </row>
    <row r="321" spans="1:12" x14ac:dyDescent="0.3">
      <c r="A321" s="287">
        <v>280</v>
      </c>
      <c r="B321" s="55">
        <v>8</v>
      </c>
      <c r="C321" s="51" t="s">
        <v>16</v>
      </c>
      <c r="D321" s="206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31" t="b">
        <f>+ISNUMBER(PAGOS[[#This Row],[REG]])</f>
        <v>1</v>
      </c>
    </row>
    <row r="322" spans="1:12" x14ac:dyDescent="0.3">
      <c r="A322" s="287">
        <v>281</v>
      </c>
      <c r="B322" s="55">
        <v>5</v>
      </c>
      <c r="C322" s="51" t="s">
        <v>14</v>
      </c>
      <c r="D322" s="206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31" t="b">
        <f>+ISNUMBER(PAGOS[[#This Row],[REG]])</f>
        <v>1</v>
      </c>
    </row>
    <row r="323" spans="1:12" x14ac:dyDescent="0.3">
      <c r="A323" s="287">
        <v>282</v>
      </c>
      <c r="B323" s="35">
        <v>17</v>
      </c>
      <c r="C323" s="51" t="s">
        <v>337</v>
      </c>
      <c r="D323" s="206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31" t="b">
        <f>+ISNUMBER(PAGOS[[#This Row],[REG]])</f>
        <v>1</v>
      </c>
    </row>
    <row r="324" spans="1:12" x14ac:dyDescent="0.3">
      <c r="A324" s="287">
        <v>283</v>
      </c>
      <c r="B324" s="55">
        <v>4</v>
      </c>
      <c r="C324" s="51" t="s">
        <v>12</v>
      </c>
      <c r="D324" s="206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31" t="b">
        <f>+ISNUMBER(PAGOS[[#This Row],[REG]])</f>
        <v>1</v>
      </c>
    </row>
    <row r="325" spans="1:12" x14ac:dyDescent="0.3">
      <c r="A325" s="287">
        <v>284</v>
      </c>
      <c r="B325" s="55">
        <v>3</v>
      </c>
      <c r="C325" s="51" t="s">
        <v>13</v>
      </c>
      <c r="D325" s="206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31" t="b">
        <f>+ISNUMBER(PAGOS[[#This Row],[REG]])</f>
        <v>1</v>
      </c>
    </row>
    <row r="326" spans="1:12" x14ac:dyDescent="0.3">
      <c r="A326" s="287">
        <v>285</v>
      </c>
      <c r="B326" s="55">
        <v>16</v>
      </c>
      <c r="C326" s="51" t="s">
        <v>23</v>
      </c>
      <c r="D326" s="206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31" t="b">
        <f>+ISNUMBER(PAGOS[[#This Row],[REG]])</f>
        <v>1</v>
      </c>
    </row>
    <row r="327" spans="1:12" x14ac:dyDescent="0.3">
      <c r="A327" s="287">
        <v>286</v>
      </c>
      <c r="B327" s="55">
        <v>11</v>
      </c>
      <c r="C327" s="51" t="s">
        <v>19</v>
      </c>
      <c r="D327" s="206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31" t="b">
        <f>+ISNUMBER(PAGOS[[#This Row],[REG]])</f>
        <v>1</v>
      </c>
    </row>
    <row r="328" spans="1:12" x14ac:dyDescent="0.3">
      <c r="A328" s="287">
        <v>287</v>
      </c>
      <c r="B328" s="55">
        <v>16</v>
      </c>
      <c r="C328" s="51" t="s">
        <v>23</v>
      </c>
      <c r="D328" s="206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31" t="b">
        <f>+ISNUMBER(PAGOS[[#This Row],[REG]])</f>
        <v>1</v>
      </c>
    </row>
    <row r="329" spans="1:12" x14ac:dyDescent="0.3">
      <c r="A329" s="287" t="s">
        <v>421</v>
      </c>
      <c r="B329" s="55">
        <v>1</v>
      </c>
      <c r="C329" s="51" t="s">
        <v>70</v>
      </c>
      <c r="D329" s="206">
        <v>0</v>
      </c>
      <c r="E329" s="33">
        <v>0</v>
      </c>
      <c r="F329" s="52">
        <v>45884</v>
      </c>
      <c r="G329" s="292" t="s">
        <v>568</v>
      </c>
      <c r="H329" s="33">
        <v>10</v>
      </c>
      <c r="I329" s="52">
        <v>45884</v>
      </c>
      <c r="J329" s="293" t="s">
        <v>568</v>
      </c>
      <c r="K329" s="36" t="s">
        <v>422</v>
      </c>
      <c r="L329" s="231" t="b">
        <f>+ISNUMBER(PAGOS[[#This Row],[REG]])</f>
        <v>0</v>
      </c>
    </row>
    <row r="330" spans="1:12" x14ac:dyDescent="0.3">
      <c r="A330" s="287">
        <v>288</v>
      </c>
      <c r="B330" s="55">
        <v>12</v>
      </c>
      <c r="C330" s="51" t="s">
        <v>20</v>
      </c>
      <c r="D330" s="206">
        <v>55</v>
      </c>
      <c r="E330" s="33">
        <v>100</v>
      </c>
      <c r="F330" s="52">
        <v>45884</v>
      </c>
      <c r="G330" s="53">
        <v>9</v>
      </c>
      <c r="H330" s="245">
        <v>20</v>
      </c>
      <c r="I330" s="52">
        <v>45884</v>
      </c>
      <c r="J330" s="54">
        <v>9</v>
      </c>
      <c r="K330" s="36" t="s">
        <v>424</v>
      </c>
      <c r="L330" s="231" t="b">
        <f>+ISNUMBER(PAGOS[[#This Row],[REG]])</f>
        <v>1</v>
      </c>
    </row>
    <row r="331" spans="1:12" x14ac:dyDescent="0.3">
      <c r="A331" s="287">
        <v>289</v>
      </c>
      <c r="B331" s="55">
        <v>6</v>
      </c>
      <c r="C331" s="51" t="s">
        <v>24</v>
      </c>
      <c r="D331" s="206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425</v>
      </c>
      <c r="L331" s="231" t="b">
        <f>+ISNUMBER(PAGOS[[#This Row],[REG]])</f>
        <v>1</v>
      </c>
    </row>
    <row r="332" spans="1:12" x14ac:dyDescent="0.3">
      <c r="A332" s="287">
        <v>290</v>
      </c>
      <c r="B332" s="55">
        <v>9</v>
      </c>
      <c r="C332" s="51" t="s">
        <v>17</v>
      </c>
      <c r="D332" s="206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426</v>
      </c>
      <c r="L332" s="231" t="b">
        <f>+ISNUMBER(PAGOS[[#This Row],[REG]])</f>
        <v>1</v>
      </c>
    </row>
    <row r="333" spans="1:12" x14ac:dyDescent="0.3">
      <c r="A333" s="287">
        <v>291</v>
      </c>
      <c r="B333" s="55">
        <v>14</v>
      </c>
      <c r="C333" s="51" t="s">
        <v>21</v>
      </c>
      <c r="D333" s="206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442</v>
      </c>
      <c r="L333" s="231" t="b">
        <f>+ISNUMBER(PAGOS[[#This Row],[REG]])</f>
        <v>1</v>
      </c>
    </row>
    <row r="334" spans="1:12" x14ac:dyDescent="0.3">
      <c r="A334" s="287">
        <v>292</v>
      </c>
      <c r="B334" s="55">
        <v>10</v>
      </c>
      <c r="C334" s="51" t="s">
        <v>18</v>
      </c>
      <c r="D334" s="206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427</v>
      </c>
      <c r="L334" s="231" t="b">
        <f>+ISNUMBER(PAGOS[[#This Row],[REG]])</f>
        <v>1</v>
      </c>
    </row>
    <row r="335" spans="1:12" x14ac:dyDescent="0.3">
      <c r="A335" s="287">
        <v>293</v>
      </c>
      <c r="B335" s="55">
        <v>8</v>
      </c>
      <c r="C335" s="51" t="s">
        <v>16</v>
      </c>
      <c r="D335" s="206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427</v>
      </c>
      <c r="L335" s="231" t="b">
        <f>+ISNUMBER(PAGOS[[#This Row],[REG]])</f>
        <v>1</v>
      </c>
    </row>
    <row r="336" spans="1:12" x14ac:dyDescent="0.3">
      <c r="A336" s="287">
        <v>294</v>
      </c>
      <c r="B336" s="55">
        <v>5</v>
      </c>
      <c r="C336" s="51" t="s">
        <v>14</v>
      </c>
      <c r="D336" s="206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428</v>
      </c>
      <c r="L336" s="231" t="b">
        <f>+ISNUMBER(PAGOS[[#This Row],[REG]])</f>
        <v>1</v>
      </c>
    </row>
    <row r="337" spans="1:12" x14ac:dyDescent="0.3">
      <c r="A337" s="287">
        <v>295</v>
      </c>
      <c r="B337" s="55">
        <v>11</v>
      </c>
      <c r="C337" s="51" t="s">
        <v>19</v>
      </c>
      <c r="D337" s="206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447</v>
      </c>
      <c r="L337" s="231" t="b">
        <f>+ISNUMBER(PAGOS[[#This Row],[REG]])</f>
        <v>1</v>
      </c>
    </row>
    <row r="338" spans="1:12" x14ac:dyDescent="0.3">
      <c r="A338" s="287">
        <v>296</v>
      </c>
      <c r="B338" s="55">
        <v>6</v>
      </c>
      <c r="C338" s="51" t="s">
        <v>24</v>
      </c>
      <c r="D338" s="206">
        <v>57</v>
      </c>
      <c r="E338" s="33">
        <v>100</v>
      </c>
      <c r="F338" s="52">
        <v>45884</v>
      </c>
      <c r="G338" s="298">
        <v>9</v>
      </c>
      <c r="H338" s="33">
        <v>0</v>
      </c>
      <c r="I338" s="52">
        <v>45884</v>
      </c>
      <c r="J338" s="299">
        <v>9</v>
      </c>
      <c r="K338" s="36" t="s">
        <v>443</v>
      </c>
      <c r="L338" s="231" t="b">
        <f>+ISNUMBER(PAGOS[[#This Row],[REG]])</f>
        <v>1</v>
      </c>
    </row>
    <row r="339" spans="1:12" x14ac:dyDescent="0.3">
      <c r="A339" s="287" t="s">
        <v>454</v>
      </c>
      <c r="B339" s="55">
        <v>6</v>
      </c>
      <c r="C339" s="51" t="s">
        <v>24</v>
      </c>
      <c r="D339" s="206">
        <v>57</v>
      </c>
      <c r="E339" s="33">
        <v>0</v>
      </c>
      <c r="F339" s="52">
        <v>45884</v>
      </c>
      <c r="G339" s="53" t="s">
        <v>569</v>
      </c>
      <c r="H339" s="33">
        <v>20</v>
      </c>
      <c r="I339" s="52">
        <v>45884</v>
      </c>
      <c r="J339" s="54" t="s">
        <v>569</v>
      </c>
      <c r="K339" s="36" t="s">
        <v>444</v>
      </c>
      <c r="L339" s="231" t="b">
        <f>+ISNUMBER(PAGOS[[#This Row],[REG]])</f>
        <v>0</v>
      </c>
    </row>
    <row r="340" spans="1:12" x14ac:dyDescent="0.3">
      <c r="A340" s="287">
        <v>297</v>
      </c>
      <c r="B340" s="55">
        <v>6</v>
      </c>
      <c r="C340" s="51" t="s">
        <v>24</v>
      </c>
      <c r="D340" s="206">
        <v>57</v>
      </c>
      <c r="E340" s="33">
        <v>100</v>
      </c>
      <c r="F340" s="52">
        <v>45884</v>
      </c>
      <c r="G340" s="298">
        <v>10</v>
      </c>
      <c r="H340" s="33">
        <v>0</v>
      </c>
      <c r="I340" s="52">
        <v>45884</v>
      </c>
      <c r="J340" s="299">
        <v>10</v>
      </c>
      <c r="K340" s="36" t="s">
        <v>445</v>
      </c>
      <c r="L340" s="231" t="b">
        <f>+ISNUMBER(PAGOS[[#This Row],[REG]])</f>
        <v>1</v>
      </c>
    </row>
    <row r="341" spans="1:12" x14ac:dyDescent="0.3">
      <c r="A341" s="287" t="s">
        <v>455</v>
      </c>
      <c r="B341" s="55">
        <v>6</v>
      </c>
      <c r="C341" s="51" t="s">
        <v>24</v>
      </c>
      <c r="D341" s="206">
        <v>57</v>
      </c>
      <c r="E341" s="33">
        <v>0</v>
      </c>
      <c r="F341" s="52">
        <v>45884</v>
      </c>
      <c r="G341" s="53" t="s">
        <v>569</v>
      </c>
      <c r="H341" s="33">
        <v>20</v>
      </c>
      <c r="I341" s="52">
        <v>45884</v>
      </c>
      <c r="J341" s="54" t="s">
        <v>569</v>
      </c>
      <c r="K341" s="36" t="s">
        <v>446</v>
      </c>
      <c r="L341" s="231" t="b">
        <f>+ISNUMBER(PAGOS[[#This Row],[REG]])</f>
        <v>0</v>
      </c>
    </row>
    <row r="342" spans="1:12" x14ac:dyDescent="0.3">
      <c r="A342" s="287">
        <v>298</v>
      </c>
      <c r="B342" s="55">
        <v>17</v>
      </c>
      <c r="C342" s="51" t="s">
        <v>337</v>
      </c>
      <c r="D342" s="206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428</v>
      </c>
      <c r="L342" s="231" t="b">
        <f>+ISNUMBER(PAGOS[[#This Row],[REG]])</f>
        <v>1</v>
      </c>
    </row>
    <row r="343" spans="1:12" x14ac:dyDescent="0.3">
      <c r="A343" s="287">
        <v>299</v>
      </c>
      <c r="B343" s="55">
        <v>12</v>
      </c>
      <c r="C343" s="51" t="s">
        <v>20</v>
      </c>
      <c r="D343" s="206">
        <v>55</v>
      </c>
      <c r="E343" s="33">
        <v>100</v>
      </c>
      <c r="F343" s="52">
        <v>45884</v>
      </c>
      <c r="G343" s="298">
        <v>10</v>
      </c>
      <c r="H343" s="33">
        <v>0</v>
      </c>
      <c r="I343" s="52">
        <v>45884</v>
      </c>
      <c r="J343" s="299">
        <v>10</v>
      </c>
      <c r="K343" s="36" t="s">
        <v>474</v>
      </c>
      <c r="L343" s="231" t="b">
        <f>+ISNUMBER(PAGOS[[#This Row],[REG]])</f>
        <v>1</v>
      </c>
    </row>
    <row r="344" spans="1:12" x14ac:dyDescent="0.3">
      <c r="A344" s="287" t="s">
        <v>456</v>
      </c>
      <c r="B344" s="55">
        <v>12</v>
      </c>
      <c r="C344" s="51" t="s">
        <v>20</v>
      </c>
      <c r="D344" s="206">
        <v>55</v>
      </c>
      <c r="E344" s="33">
        <v>0</v>
      </c>
      <c r="F344" s="52">
        <v>45884</v>
      </c>
      <c r="G344" s="53" t="s">
        <v>569</v>
      </c>
      <c r="H344" s="33">
        <v>20</v>
      </c>
      <c r="I344" s="52">
        <v>45884</v>
      </c>
      <c r="J344" s="54" t="s">
        <v>569</v>
      </c>
      <c r="K344" s="36" t="s">
        <v>473</v>
      </c>
      <c r="L344" s="231" t="b">
        <f>+ISNUMBER(PAGOS[[#This Row],[REG]])</f>
        <v>0</v>
      </c>
    </row>
    <row r="345" spans="1:12" x14ac:dyDescent="0.3">
      <c r="A345" s="287">
        <v>300</v>
      </c>
      <c r="B345" s="55">
        <v>16</v>
      </c>
      <c r="C345" s="51" t="s">
        <v>23</v>
      </c>
      <c r="D345" s="206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475</v>
      </c>
      <c r="L345" s="231" t="b">
        <f>+ISNUMBER(PAGOS[[#This Row],[REG]])</f>
        <v>1</v>
      </c>
    </row>
    <row r="346" spans="1:12" x14ac:dyDescent="0.3">
      <c r="A346" s="287">
        <v>301</v>
      </c>
      <c r="B346" s="55">
        <v>7</v>
      </c>
      <c r="C346" s="51" t="s">
        <v>403</v>
      </c>
      <c r="D346" s="206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481</v>
      </c>
      <c r="L346" s="231" t="b">
        <f>+ISNUMBER(PAGOS[[#This Row],[REG]])</f>
        <v>1</v>
      </c>
    </row>
    <row r="347" spans="1:12" x14ac:dyDescent="0.3">
      <c r="A347" s="287">
        <v>302</v>
      </c>
      <c r="B347" s="55">
        <v>7</v>
      </c>
      <c r="C347" s="51" t="s">
        <v>403</v>
      </c>
      <c r="D347" s="206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481</v>
      </c>
      <c r="L347" s="231" t="b">
        <f>+ISNUMBER(PAGOS[[#This Row],[REG]])</f>
        <v>1</v>
      </c>
    </row>
    <row r="348" spans="1:12" x14ac:dyDescent="0.3">
      <c r="A348" s="287">
        <v>303</v>
      </c>
      <c r="B348" s="55">
        <v>16</v>
      </c>
      <c r="C348" s="51" t="s">
        <v>23</v>
      </c>
      <c r="D348" s="206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475</v>
      </c>
      <c r="L348" s="231" t="b">
        <f>+ISNUMBER(PAGOS[[#This Row],[REG]])</f>
        <v>1</v>
      </c>
    </row>
    <row r="349" spans="1:12" x14ac:dyDescent="0.3">
      <c r="A349" s="287" t="s">
        <v>489</v>
      </c>
      <c r="B349" s="55">
        <v>1</v>
      </c>
      <c r="C349" s="51" t="s">
        <v>24</v>
      </c>
      <c r="D349" s="206">
        <v>0</v>
      </c>
      <c r="E349" s="33">
        <v>0</v>
      </c>
      <c r="F349" s="52">
        <v>45915</v>
      </c>
      <c r="G349" s="53" t="s">
        <v>568</v>
      </c>
      <c r="H349" s="33">
        <v>5</v>
      </c>
      <c r="I349" s="52">
        <v>45915</v>
      </c>
      <c r="J349" s="54" t="s">
        <v>568</v>
      </c>
      <c r="K349" s="36" t="s">
        <v>490</v>
      </c>
      <c r="L349" s="231" t="b">
        <f>+ISNUMBER(PAGOS[[#This Row],[REG]])</f>
        <v>0</v>
      </c>
    </row>
    <row r="350" spans="1:12" x14ac:dyDescent="0.3">
      <c r="A350" s="287">
        <v>304</v>
      </c>
      <c r="B350" s="55">
        <v>5</v>
      </c>
      <c r="C350" s="51" t="s">
        <v>14</v>
      </c>
      <c r="D350" s="206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427</v>
      </c>
      <c r="L350" s="231" t="b">
        <f>+ISNUMBER(PAGOS[[#This Row],[REG]])</f>
        <v>1</v>
      </c>
    </row>
    <row r="351" spans="1:12" x14ac:dyDescent="0.3">
      <c r="A351" s="287">
        <v>305</v>
      </c>
      <c r="B351" s="55">
        <v>17</v>
      </c>
      <c r="C351" s="51" t="s">
        <v>337</v>
      </c>
      <c r="D351" s="206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427</v>
      </c>
      <c r="L351" s="231" t="b">
        <f>+ISNUMBER(PAGOS[[#This Row],[REG]])</f>
        <v>1</v>
      </c>
    </row>
    <row r="352" spans="1:12" x14ac:dyDescent="0.3">
      <c r="A352" s="287">
        <v>306</v>
      </c>
      <c r="B352" s="55">
        <v>6</v>
      </c>
      <c r="C352" s="51" t="s">
        <v>24</v>
      </c>
      <c r="D352" s="206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491</v>
      </c>
      <c r="L352" s="231" t="b">
        <f>+ISNUMBER(PAGOS[[#This Row],[REG]])</f>
        <v>1</v>
      </c>
    </row>
    <row r="353" spans="1:12" x14ac:dyDescent="0.3">
      <c r="A353" s="287">
        <v>307</v>
      </c>
      <c r="B353" s="55">
        <v>15</v>
      </c>
      <c r="C353" s="51" t="s">
        <v>22</v>
      </c>
      <c r="D353" s="206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475</v>
      </c>
      <c r="L353" s="231" t="b">
        <f>+ISNUMBER(PAGOS[[#This Row],[REG]])</f>
        <v>1</v>
      </c>
    </row>
    <row r="354" spans="1:12" x14ac:dyDescent="0.3">
      <c r="A354" s="287">
        <v>308</v>
      </c>
      <c r="B354" s="55">
        <v>18</v>
      </c>
      <c r="C354" s="51" t="s">
        <v>338</v>
      </c>
      <c r="D354" s="206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475</v>
      </c>
      <c r="L354" s="231" t="b">
        <f>+ISNUMBER(PAGOS[[#This Row],[REG]])</f>
        <v>1</v>
      </c>
    </row>
    <row r="355" spans="1:12" x14ac:dyDescent="0.3">
      <c r="A355" s="287">
        <v>309</v>
      </c>
      <c r="B355" s="55">
        <v>12</v>
      </c>
      <c r="C355" s="51" t="s">
        <v>20</v>
      </c>
      <c r="D355" s="206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475</v>
      </c>
      <c r="L355" s="231" t="b">
        <f>+ISNUMBER(PAGOS[[#This Row],[REG]])</f>
        <v>1</v>
      </c>
    </row>
    <row r="356" spans="1:12" x14ac:dyDescent="0.3">
      <c r="A356" s="287">
        <v>310</v>
      </c>
      <c r="B356" s="55">
        <v>4</v>
      </c>
      <c r="C356" s="51" t="s">
        <v>12</v>
      </c>
      <c r="D356" s="206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475</v>
      </c>
      <c r="L356" s="231" t="b">
        <f>+ISNUMBER(PAGOS[[#This Row],[REG]])</f>
        <v>1</v>
      </c>
    </row>
    <row r="357" spans="1:12" x14ac:dyDescent="0.3">
      <c r="A357" s="287">
        <v>311</v>
      </c>
      <c r="B357" s="55">
        <v>12</v>
      </c>
      <c r="C357" s="51" t="s">
        <v>20</v>
      </c>
      <c r="D357" s="206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475</v>
      </c>
      <c r="L357" s="231" t="b">
        <f>+ISNUMBER(PAGOS[[#This Row],[REG]])</f>
        <v>1</v>
      </c>
    </row>
    <row r="358" spans="1:12" x14ac:dyDescent="0.3">
      <c r="A358" s="287">
        <v>312</v>
      </c>
      <c r="B358" s="55">
        <v>3</v>
      </c>
      <c r="C358" s="51" t="s">
        <v>13</v>
      </c>
      <c r="D358" s="206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491</v>
      </c>
      <c r="L358" s="231" t="b">
        <f>+ISNUMBER(PAGOS[[#This Row],[REG]])</f>
        <v>1</v>
      </c>
    </row>
    <row r="359" spans="1:12" x14ac:dyDescent="0.3">
      <c r="A359" s="287">
        <v>313</v>
      </c>
      <c r="B359" s="55">
        <v>7</v>
      </c>
      <c r="C359" s="51" t="s">
        <v>403</v>
      </c>
      <c r="D359" s="206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492</v>
      </c>
      <c r="L359" s="231" t="b">
        <f>+ISNUMBER(PAGOS[[#This Row],[REG]])</f>
        <v>1</v>
      </c>
    </row>
    <row r="360" spans="1:12" x14ac:dyDescent="0.3">
      <c r="A360" s="287">
        <v>314</v>
      </c>
      <c r="B360" s="55">
        <v>7</v>
      </c>
      <c r="C360" s="51" t="s">
        <v>403</v>
      </c>
      <c r="D360" s="206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492</v>
      </c>
      <c r="L360" s="231" t="b">
        <f>+ISNUMBER(PAGOS[[#This Row],[REG]])</f>
        <v>1</v>
      </c>
    </row>
    <row r="361" spans="1:12" x14ac:dyDescent="0.3">
      <c r="A361" s="287">
        <v>315</v>
      </c>
      <c r="B361" s="55">
        <v>8</v>
      </c>
      <c r="C361" s="51" t="s">
        <v>16</v>
      </c>
      <c r="D361" s="206">
        <v>70</v>
      </c>
      <c r="E361" s="33">
        <v>100</v>
      </c>
      <c r="F361" s="52">
        <v>45915</v>
      </c>
      <c r="G361" s="298">
        <v>5</v>
      </c>
      <c r="H361" s="33">
        <v>0</v>
      </c>
      <c r="I361" s="52">
        <v>45915</v>
      </c>
      <c r="J361" s="299">
        <v>5</v>
      </c>
      <c r="K361" s="36" t="s">
        <v>497</v>
      </c>
      <c r="L361" s="231" t="b">
        <f>+ISNUMBER(PAGOS[[#This Row],[REG]])</f>
        <v>1</v>
      </c>
    </row>
    <row r="362" spans="1:12" x14ac:dyDescent="0.3">
      <c r="A362" s="287" t="s">
        <v>495</v>
      </c>
      <c r="B362" s="55">
        <v>8</v>
      </c>
      <c r="C362" s="51" t="s">
        <v>16</v>
      </c>
      <c r="D362" s="206">
        <v>70</v>
      </c>
      <c r="E362" s="33">
        <v>0</v>
      </c>
      <c r="F362" s="52">
        <v>45915</v>
      </c>
      <c r="G362" s="53" t="s">
        <v>569</v>
      </c>
      <c r="H362" s="33">
        <v>10</v>
      </c>
      <c r="I362" s="52">
        <v>45915</v>
      </c>
      <c r="J362" s="54" t="s">
        <v>569</v>
      </c>
      <c r="K362" s="36" t="s">
        <v>496</v>
      </c>
      <c r="L362" s="231" t="b">
        <f>+ISNUMBER(PAGOS[[#This Row],[REG]])</f>
        <v>0</v>
      </c>
    </row>
    <row r="363" spans="1:12" x14ac:dyDescent="0.3">
      <c r="A363" s="287">
        <v>316</v>
      </c>
      <c r="B363" s="55">
        <v>7</v>
      </c>
      <c r="C363" s="51" t="s">
        <v>403</v>
      </c>
      <c r="D363" s="206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573</v>
      </c>
      <c r="L363" s="231" t="b">
        <f>+ISNUMBER(PAGOS[[#This Row],[REG]])</f>
        <v>1</v>
      </c>
    </row>
    <row r="364" spans="1:12" x14ac:dyDescent="0.3">
      <c r="A364" s="287">
        <v>317</v>
      </c>
      <c r="B364" s="55">
        <v>10</v>
      </c>
      <c r="C364" s="51" t="s">
        <v>18</v>
      </c>
      <c r="D364" s="206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499</v>
      </c>
      <c r="L364" s="231" t="b">
        <f>+ISNUMBER(PAGOS[[#This Row],[REG]])</f>
        <v>1</v>
      </c>
    </row>
    <row r="365" spans="1:12" x14ac:dyDescent="0.3">
      <c r="A365" s="287">
        <v>318</v>
      </c>
      <c r="B365" s="55">
        <v>9</v>
      </c>
      <c r="C365" s="51" t="s">
        <v>17</v>
      </c>
      <c r="D365" s="206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500</v>
      </c>
      <c r="L365" s="231" t="b">
        <f>+ISNUMBER(PAGOS[[#This Row],[REG]])</f>
        <v>1</v>
      </c>
    </row>
    <row r="366" spans="1:12" x14ac:dyDescent="0.3">
      <c r="A366" s="287">
        <v>319</v>
      </c>
      <c r="B366" s="55">
        <v>16</v>
      </c>
      <c r="C366" s="51" t="s">
        <v>23</v>
      </c>
      <c r="D366" s="206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475</v>
      </c>
      <c r="L366" s="231" t="b">
        <f>+ISNUMBER(PAGOS[[#This Row],[REG]])</f>
        <v>1</v>
      </c>
    </row>
    <row r="367" spans="1:12" x14ac:dyDescent="0.3">
      <c r="A367" s="287" t="s">
        <v>504</v>
      </c>
      <c r="B367" s="55">
        <v>1</v>
      </c>
      <c r="C367" s="51" t="s">
        <v>70</v>
      </c>
      <c r="D367" s="206">
        <v>0</v>
      </c>
      <c r="E367" s="33">
        <v>0</v>
      </c>
      <c r="F367" s="52">
        <v>45945</v>
      </c>
      <c r="G367" s="292" t="s">
        <v>568</v>
      </c>
      <c r="H367" s="33">
        <v>1</v>
      </c>
      <c r="I367" s="52">
        <v>45945</v>
      </c>
      <c r="J367" s="293" t="s">
        <v>568</v>
      </c>
      <c r="K367" s="36" t="s">
        <v>505</v>
      </c>
      <c r="L367" s="231" t="b">
        <f>+ISNUMBER(PAGOS[[#This Row],[REG]])</f>
        <v>0</v>
      </c>
    </row>
    <row r="368" spans="1:12" x14ac:dyDescent="0.3">
      <c r="A368" s="287">
        <v>320</v>
      </c>
      <c r="B368" s="55">
        <v>5</v>
      </c>
      <c r="C368" s="51" t="s">
        <v>14</v>
      </c>
      <c r="D368" s="206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499</v>
      </c>
      <c r="L368" s="231" t="b">
        <f>+ISNUMBER(PAGOS[[#This Row],[REG]])</f>
        <v>1</v>
      </c>
    </row>
    <row r="369" spans="1:12" x14ac:dyDescent="0.3">
      <c r="A369" s="287">
        <v>321</v>
      </c>
      <c r="B369" s="55">
        <v>17</v>
      </c>
      <c r="C369" s="51" t="s">
        <v>337</v>
      </c>
      <c r="D369" s="206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499</v>
      </c>
      <c r="L369" s="231" t="b">
        <f>+ISNUMBER(PAGOS[[#This Row],[REG]])</f>
        <v>1</v>
      </c>
    </row>
    <row r="370" spans="1:12" x14ac:dyDescent="0.3">
      <c r="A370" s="287">
        <v>322</v>
      </c>
      <c r="B370" s="55">
        <v>6</v>
      </c>
      <c r="C370" s="51" t="s">
        <v>24</v>
      </c>
      <c r="D370" s="206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506</v>
      </c>
      <c r="L370" s="231" t="b">
        <f>+ISNUMBER(PAGOS[[#This Row],[REG]])</f>
        <v>1</v>
      </c>
    </row>
    <row r="371" spans="1:12" x14ac:dyDescent="0.3">
      <c r="A371" s="287">
        <v>323</v>
      </c>
      <c r="B371" s="55">
        <v>15</v>
      </c>
      <c r="C371" s="51" t="s">
        <v>22</v>
      </c>
      <c r="D371" s="206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506</v>
      </c>
      <c r="L371" s="231" t="b">
        <f>+ISNUMBER(PAGOS[[#This Row],[REG]])</f>
        <v>1</v>
      </c>
    </row>
    <row r="372" spans="1:12" x14ac:dyDescent="0.3">
      <c r="A372" s="287">
        <v>324</v>
      </c>
      <c r="B372" s="55">
        <v>18</v>
      </c>
      <c r="C372" s="51" t="s">
        <v>338</v>
      </c>
      <c r="D372" s="206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506</v>
      </c>
      <c r="L372" s="231" t="b">
        <f>+ISNUMBER(PAGOS[[#This Row],[REG]])</f>
        <v>1</v>
      </c>
    </row>
    <row r="373" spans="1:12" x14ac:dyDescent="0.3">
      <c r="A373" s="287">
        <v>325</v>
      </c>
      <c r="B373" s="55">
        <v>7</v>
      </c>
      <c r="C373" s="51" t="s">
        <v>403</v>
      </c>
      <c r="D373" s="206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506</v>
      </c>
      <c r="L373" s="231" t="b">
        <f>+ISNUMBER(PAGOS[[#This Row],[REG]])</f>
        <v>1</v>
      </c>
    </row>
    <row r="374" spans="1:12" x14ac:dyDescent="0.3">
      <c r="A374" s="287">
        <v>326</v>
      </c>
      <c r="B374" s="55">
        <v>12</v>
      </c>
      <c r="C374" s="51" t="s">
        <v>20</v>
      </c>
      <c r="D374" s="206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506</v>
      </c>
      <c r="L374" s="231" t="b">
        <f>+ISNUMBER(PAGOS[[#This Row],[REG]])</f>
        <v>1</v>
      </c>
    </row>
    <row r="375" spans="1:12" x14ac:dyDescent="0.3">
      <c r="A375" s="287">
        <v>327</v>
      </c>
      <c r="B375" s="55">
        <v>4</v>
      </c>
      <c r="C375" s="51" t="s">
        <v>12</v>
      </c>
      <c r="D375" s="206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506</v>
      </c>
      <c r="L375" s="231" t="b">
        <f>+ISNUMBER(PAGOS[[#This Row],[REG]])</f>
        <v>1</v>
      </c>
    </row>
    <row r="376" spans="1:12" x14ac:dyDescent="0.3">
      <c r="A376" s="287">
        <v>328</v>
      </c>
      <c r="B376" s="55">
        <v>12</v>
      </c>
      <c r="C376" s="51" t="s">
        <v>20</v>
      </c>
      <c r="D376" s="206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506</v>
      </c>
      <c r="L376" s="231" t="b">
        <f>+ISNUMBER(PAGOS[[#This Row],[REG]])</f>
        <v>1</v>
      </c>
    </row>
    <row r="377" spans="1:12" x14ac:dyDescent="0.3">
      <c r="A377" s="287">
        <v>329</v>
      </c>
      <c r="B377" s="55">
        <v>5</v>
      </c>
      <c r="C377" s="51" t="s">
        <v>14</v>
      </c>
      <c r="D377" s="206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507</v>
      </c>
      <c r="L377" s="231" t="b">
        <f>+ISNUMBER(PAGOS[[#This Row],[REG]])</f>
        <v>1</v>
      </c>
    </row>
    <row r="378" spans="1:12" x14ac:dyDescent="0.3">
      <c r="A378" s="287">
        <v>330</v>
      </c>
      <c r="B378" s="55">
        <v>3</v>
      </c>
      <c r="C378" s="51" t="s">
        <v>13</v>
      </c>
      <c r="D378" s="206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506</v>
      </c>
      <c r="L378" s="231" t="b">
        <f>+ISNUMBER(PAGOS[[#This Row],[REG]])</f>
        <v>1</v>
      </c>
    </row>
    <row r="379" spans="1:12" x14ac:dyDescent="0.3">
      <c r="A379" s="287">
        <v>331</v>
      </c>
      <c r="B379" s="55">
        <v>8</v>
      </c>
      <c r="C379" s="51" t="s">
        <v>404</v>
      </c>
      <c r="D379" s="206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492</v>
      </c>
      <c r="L379" s="231" t="b">
        <f>+ISNUMBER(PAGOS[[#This Row],[REG]])</f>
        <v>1</v>
      </c>
    </row>
    <row r="380" spans="1:12" x14ac:dyDescent="0.3">
      <c r="A380" s="287">
        <v>332</v>
      </c>
      <c r="B380" s="55">
        <v>7</v>
      </c>
      <c r="C380" s="51" t="s">
        <v>403</v>
      </c>
      <c r="D380" s="206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475</v>
      </c>
      <c r="L380" s="231" t="b">
        <f>+ISNUMBER(PAGOS[[#This Row],[REG]])</f>
        <v>1</v>
      </c>
    </row>
    <row r="381" spans="1:12" x14ac:dyDescent="0.3">
      <c r="A381" s="287">
        <v>333</v>
      </c>
      <c r="B381" s="55">
        <v>9</v>
      </c>
      <c r="C381" s="51" t="s">
        <v>17</v>
      </c>
      <c r="D381" s="206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509</v>
      </c>
      <c r="L381" s="231" t="b">
        <f>+ISNUMBER(PAGOS[[#This Row],[REG]])</f>
        <v>1</v>
      </c>
    </row>
    <row r="382" spans="1:12" x14ac:dyDescent="0.3">
      <c r="A382" s="287">
        <v>334</v>
      </c>
      <c r="B382" s="55">
        <v>18</v>
      </c>
      <c r="C382" s="51" t="s">
        <v>338</v>
      </c>
      <c r="D382" s="206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511</v>
      </c>
      <c r="L382" s="231" t="b">
        <f>+ISNUMBER(PAGOS[[#This Row],[REG]])</f>
        <v>1</v>
      </c>
    </row>
    <row r="383" spans="1:12" x14ac:dyDescent="0.3">
      <c r="A383" s="287">
        <v>335</v>
      </c>
      <c r="B383" s="55">
        <v>18</v>
      </c>
      <c r="C383" s="51" t="s">
        <v>338</v>
      </c>
      <c r="D383" s="206">
        <v>79</v>
      </c>
      <c r="E383" s="33">
        <v>50</v>
      </c>
      <c r="F383" s="52">
        <v>45945</v>
      </c>
      <c r="G383" s="298">
        <v>4</v>
      </c>
      <c r="H383" s="33">
        <v>0</v>
      </c>
      <c r="I383" s="52">
        <v>45945</v>
      </c>
      <c r="J383" s="299">
        <v>4</v>
      </c>
      <c r="K383" s="36" t="s">
        <v>512</v>
      </c>
      <c r="L383" s="231" t="b">
        <f>+ISNUMBER(PAGOS[[#This Row],[REG]])</f>
        <v>1</v>
      </c>
    </row>
    <row r="384" spans="1:12" x14ac:dyDescent="0.3">
      <c r="A384" s="287" t="s">
        <v>513</v>
      </c>
      <c r="B384" s="55">
        <v>18</v>
      </c>
      <c r="C384" s="51" t="s">
        <v>338</v>
      </c>
      <c r="D384" s="206">
        <v>79</v>
      </c>
      <c r="E384" s="33">
        <v>0</v>
      </c>
      <c r="F384" s="52">
        <v>45945</v>
      </c>
      <c r="G384" s="53" t="s">
        <v>569</v>
      </c>
      <c r="H384" s="33">
        <v>4</v>
      </c>
      <c r="I384" s="52">
        <v>45945</v>
      </c>
      <c r="J384" s="54" t="s">
        <v>569</v>
      </c>
      <c r="K384" s="36" t="s">
        <v>514</v>
      </c>
      <c r="L384" s="231" t="b">
        <f>+ISNUMBER(PAGOS[[#This Row],[REG]])</f>
        <v>0</v>
      </c>
    </row>
    <row r="385" spans="1:12" x14ac:dyDescent="0.3">
      <c r="A385" s="287" t="s">
        <v>518</v>
      </c>
      <c r="B385" s="55">
        <v>2</v>
      </c>
      <c r="C385" s="51" t="s">
        <v>71</v>
      </c>
      <c r="D385" s="206">
        <v>0</v>
      </c>
      <c r="E385" s="33">
        <v>17.920000000000002</v>
      </c>
      <c r="F385" s="52">
        <v>45950</v>
      </c>
      <c r="G385" s="53" t="s">
        <v>569</v>
      </c>
      <c r="H385" s="33">
        <v>0</v>
      </c>
      <c r="I385" s="52">
        <v>45950</v>
      </c>
      <c r="J385" s="54" t="s">
        <v>569</v>
      </c>
      <c r="K385" s="36" t="s">
        <v>519</v>
      </c>
      <c r="L385" s="231" t="b">
        <f>+ISNUMBER(PAGOS[[#This Row],[REG]])</f>
        <v>0</v>
      </c>
    </row>
    <row r="386" spans="1:12" x14ac:dyDescent="0.3">
      <c r="A386" s="287">
        <v>336</v>
      </c>
      <c r="B386" s="55">
        <v>16</v>
      </c>
      <c r="C386" s="51" t="s">
        <v>23</v>
      </c>
      <c r="D386" s="206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506</v>
      </c>
      <c r="L386" s="231" t="b">
        <f>+ISNUMBER(PAGOS[[#This Row],[REG]])</f>
        <v>1</v>
      </c>
    </row>
    <row r="387" spans="1:12" x14ac:dyDescent="0.3">
      <c r="A387" s="287">
        <v>337</v>
      </c>
      <c r="B387" s="55">
        <v>5</v>
      </c>
      <c r="C387" s="51" t="s">
        <v>14</v>
      </c>
      <c r="D387" s="206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521</v>
      </c>
      <c r="L387" s="231" t="b">
        <f>+ISNUMBER(PAGOS[[#This Row],[REG]])</f>
        <v>1</v>
      </c>
    </row>
    <row r="388" spans="1:12" x14ac:dyDescent="0.3">
      <c r="A388" s="287">
        <v>338</v>
      </c>
      <c r="B388" s="55">
        <v>17</v>
      </c>
      <c r="C388" s="51" t="s">
        <v>337</v>
      </c>
      <c r="D388" s="206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521</v>
      </c>
      <c r="L388" s="231" t="b">
        <f>+ISNUMBER(PAGOS[[#This Row],[REG]])</f>
        <v>1</v>
      </c>
    </row>
    <row r="389" spans="1:12" x14ac:dyDescent="0.3">
      <c r="A389" s="287">
        <v>339</v>
      </c>
      <c r="B389" s="55">
        <v>6</v>
      </c>
      <c r="C389" s="51" t="s">
        <v>24</v>
      </c>
      <c r="D389" s="206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428</v>
      </c>
      <c r="L389" s="231" t="b">
        <f>+ISNUMBER(PAGOS[[#This Row],[REG]])</f>
        <v>1</v>
      </c>
    </row>
    <row r="390" spans="1:12" x14ac:dyDescent="0.3">
      <c r="A390" s="287">
        <v>340</v>
      </c>
      <c r="B390" s="55">
        <v>15</v>
      </c>
      <c r="C390" s="51" t="s">
        <v>22</v>
      </c>
      <c r="D390" s="206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428</v>
      </c>
      <c r="L390" s="231" t="b">
        <f>+ISNUMBER(PAGOS[[#This Row],[REG]])</f>
        <v>1</v>
      </c>
    </row>
    <row r="391" spans="1:12" x14ac:dyDescent="0.3">
      <c r="A391" s="287">
        <v>341</v>
      </c>
      <c r="B391" s="55">
        <v>7</v>
      </c>
      <c r="C391" s="51" t="s">
        <v>403</v>
      </c>
      <c r="D391" s="206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428</v>
      </c>
      <c r="L391" s="231" t="b">
        <f>+ISNUMBER(PAGOS[[#This Row],[REG]])</f>
        <v>1</v>
      </c>
    </row>
    <row r="392" spans="1:12" x14ac:dyDescent="0.3">
      <c r="A392" s="287">
        <v>342</v>
      </c>
      <c r="B392" s="55">
        <v>8</v>
      </c>
      <c r="C392" s="51" t="s">
        <v>404</v>
      </c>
      <c r="D392" s="206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522</v>
      </c>
      <c r="L392" s="231" t="b">
        <f>+ISNUMBER(PAGOS[[#This Row],[REG]])</f>
        <v>1</v>
      </c>
    </row>
    <row r="393" spans="1:12" x14ac:dyDescent="0.3">
      <c r="A393" s="287">
        <v>343</v>
      </c>
      <c r="B393" s="55">
        <v>18</v>
      </c>
      <c r="C393" s="51" t="s">
        <v>338</v>
      </c>
      <c r="D393" s="206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475</v>
      </c>
      <c r="L393" s="231" t="b">
        <f>+ISNUMBER(PAGOS[[#This Row],[REG]])</f>
        <v>1</v>
      </c>
    </row>
    <row r="394" spans="1:12" x14ac:dyDescent="0.3">
      <c r="A394" s="287">
        <v>344</v>
      </c>
      <c r="B394" s="55">
        <v>12</v>
      </c>
      <c r="C394" s="51" t="s">
        <v>20</v>
      </c>
      <c r="D394" s="206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523</v>
      </c>
      <c r="L394" s="231" t="b">
        <f>+ISNUMBER(PAGOS[[#This Row],[REG]])</f>
        <v>1</v>
      </c>
    </row>
    <row r="395" spans="1:12" x14ac:dyDescent="0.3">
      <c r="A395" s="287" t="s">
        <v>526</v>
      </c>
      <c r="B395" s="55">
        <v>2</v>
      </c>
      <c r="C395" s="51" t="s">
        <v>71</v>
      </c>
      <c r="D395" s="206">
        <v>0</v>
      </c>
      <c r="E395" s="33">
        <v>66.25</v>
      </c>
      <c r="F395" s="52">
        <v>45976</v>
      </c>
      <c r="G395" s="53" t="s">
        <v>569</v>
      </c>
      <c r="H395" s="33">
        <v>0</v>
      </c>
      <c r="I395" s="52">
        <v>45976</v>
      </c>
      <c r="J395" s="54" t="s">
        <v>569</v>
      </c>
      <c r="K395" s="36" t="s">
        <v>527</v>
      </c>
      <c r="L395" s="231" t="b">
        <f>+ISNUMBER(PAGOS[[#This Row],[REG]])</f>
        <v>0</v>
      </c>
    </row>
    <row r="396" spans="1:12" x14ac:dyDescent="0.3">
      <c r="A396" s="287">
        <v>345</v>
      </c>
      <c r="B396" s="55">
        <v>10</v>
      </c>
      <c r="C396" s="51" t="s">
        <v>18</v>
      </c>
      <c r="D396" s="206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528</v>
      </c>
      <c r="L396" s="231" t="b">
        <f>+ISNUMBER(PAGOS[[#This Row],[REG]])</f>
        <v>1</v>
      </c>
    </row>
    <row r="397" spans="1:12" x14ac:dyDescent="0.3">
      <c r="A397" s="287">
        <v>346</v>
      </c>
      <c r="B397" s="55">
        <v>16</v>
      </c>
      <c r="C397" s="51" t="s">
        <v>23</v>
      </c>
      <c r="D397" s="206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529</v>
      </c>
      <c r="L397" s="231" t="b">
        <f>+ISNUMBER(PAGOS[[#This Row],[REG]])</f>
        <v>1</v>
      </c>
    </row>
    <row r="398" spans="1:12" x14ac:dyDescent="0.3">
      <c r="A398" s="287" t="s">
        <v>530</v>
      </c>
      <c r="B398" s="55">
        <v>2</v>
      </c>
      <c r="C398" s="51" t="s">
        <v>71</v>
      </c>
      <c r="D398" s="206">
        <v>0</v>
      </c>
      <c r="E398" s="33">
        <v>160</v>
      </c>
      <c r="F398" s="52">
        <v>45983</v>
      </c>
      <c r="G398" s="53" t="s">
        <v>569</v>
      </c>
      <c r="H398" s="33">
        <v>0</v>
      </c>
      <c r="I398" s="52">
        <v>45983</v>
      </c>
      <c r="J398" s="54" t="s">
        <v>569</v>
      </c>
      <c r="K398" s="36" t="s">
        <v>531</v>
      </c>
      <c r="L398" s="231" t="b">
        <f>+ISNUMBER(PAGOS[[#This Row],[REG]])</f>
        <v>0</v>
      </c>
    </row>
    <row r="399" spans="1:12" x14ac:dyDescent="0.3">
      <c r="A399" s="287">
        <v>347</v>
      </c>
      <c r="B399" s="55">
        <v>16</v>
      </c>
      <c r="C399" s="51" t="s">
        <v>23</v>
      </c>
      <c r="D399" s="206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428</v>
      </c>
      <c r="L399" s="231" t="b">
        <f>+ISNUMBER(PAGOS[[#This Row],[REG]])</f>
        <v>1</v>
      </c>
    </row>
    <row r="400" spans="1:12" x14ac:dyDescent="0.3">
      <c r="A400" s="287" t="s">
        <v>532</v>
      </c>
      <c r="B400" s="55">
        <v>2</v>
      </c>
      <c r="C400" s="51" t="s">
        <v>71</v>
      </c>
      <c r="D400" s="206">
        <v>0</v>
      </c>
      <c r="E400" s="33">
        <v>624.14</v>
      </c>
      <c r="F400" s="52">
        <v>46003</v>
      </c>
      <c r="G400" s="53" t="s">
        <v>569</v>
      </c>
      <c r="H400" s="33">
        <v>0</v>
      </c>
      <c r="I400" s="52">
        <v>46003</v>
      </c>
      <c r="J400" s="54" t="s">
        <v>569</v>
      </c>
      <c r="K400" s="36" t="s">
        <v>533</v>
      </c>
      <c r="L400" s="231" t="b">
        <f>+ISNUMBER(PAGOS[[#This Row],[REG]])</f>
        <v>0</v>
      </c>
    </row>
    <row r="401" spans="1:12" x14ac:dyDescent="0.3">
      <c r="A401" s="287" t="s">
        <v>539</v>
      </c>
      <c r="B401" s="55">
        <v>1</v>
      </c>
      <c r="C401" s="51" t="s">
        <v>70</v>
      </c>
      <c r="D401" s="206">
        <v>0</v>
      </c>
      <c r="E401" s="33">
        <v>0</v>
      </c>
      <c r="F401" s="52">
        <v>46008</v>
      </c>
      <c r="G401" s="292" t="s">
        <v>568</v>
      </c>
      <c r="H401" s="33">
        <v>10</v>
      </c>
      <c r="I401" s="52">
        <v>46008</v>
      </c>
      <c r="J401" s="293" t="s">
        <v>568</v>
      </c>
      <c r="K401" s="36" t="s">
        <v>540</v>
      </c>
      <c r="L401" s="231" t="b">
        <f>+ISNUMBER(PAGOS[[#This Row],[REG]])</f>
        <v>0</v>
      </c>
    </row>
    <row r="402" spans="1:12" x14ac:dyDescent="0.3">
      <c r="A402" s="287">
        <v>348</v>
      </c>
      <c r="B402" s="55">
        <v>5</v>
      </c>
      <c r="C402" s="51" t="s">
        <v>14</v>
      </c>
      <c r="D402" s="206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426</v>
      </c>
      <c r="L402" s="231" t="b">
        <f>+ISNUMBER(PAGOS[[#This Row],[REG]])</f>
        <v>1</v>
      </c>
    </row>
    <row r="403" spans="1:12" x14ac:dyDescent="0.3">
      <c r="A403" s="287">
        <v>349</v>
      </c>
      <c r="B403" s="55">
        <v>17</v>
      </c>
      <c r="C403" s="51" t="s">
        <v>337</v>
      </c>
      <c r="D403" s="206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491</v>
      </c>
      <c r="L403" s="231" t="b">
        <f>+ISNUMBER(PAGOS[[#This Row],[REG]])</f>
        <v>1</v>
      </c>
    </row>
    <row r="404" spans="1:12" x14ac:dyDescent="0.3">
      <c r="A404" s="287">
        <v>350</v>
      </c>
      <c r="B404" s="55">
        <v>6</v>
      </c>
      <c r="C404" s="51" t="s">
        <v>24</v>
      </c>
      <c r="D404" s="206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427</v>
      </c>
      <c r="L404" s="231" t="b">
        <f>+ISNUMBER(PAGOS[[#This Row],[REG]])</f>
        <v>1</v>
      </c>
    </row>
    <row r="405" spans="1:12" x14ac:dyDescent="0.3">
      <c r="A405" s="287">
        <v>351</v>
      </c>
      <c r="B405" s="55">
        <v>15</v>
      </c>
      <c r="C405" s="51" t="s">
        <v>22</v>
      </c>
      <c r="D405" s="206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427</v>
      </c>
      <c r="L405" s="231" t="b">
        <f>+ISNUMBER(PAGOS[[#This Row],[REG]])</f>
        <v>1</v>
      </c>
    </row>
    <row r="406" spans="1:12" x14ac:dyDescent="0.3">
      <c r="A406" s="287">
        <v>352</v>
      </c>
      <c r="B406" s="55">
        <v>7</v>
      </c>
      <c r="C406" s="51" t="s">
        <v>403</v>
      </c>
      <c r="D406" s="206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427</v>
      </c>
      <c r="L406" s="231" t="b">
        <f>+ISNUMBER(PAGOS[[#This Row],[REG]])</f>
        <v>1</v>
      </c>
    </row>
    <row r="407" spans="1:12" x14ac:dyDescent="0.3">
      <c r="A407" s="287">
        <v>353</v>
      </c>
      <c r="B407" s="55">
        <v>12</v>
      </c>
      <c r="C407" s="51" t="s">
        <v>20</v>
      </c>
      <c r="D407" s="206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491</v>
      </c>
      <c r="L407" s="231" t="b">
        <f>+ISNUMBER(PAGOS[[#This Row],[REG]])</f>
        <v>1</v>
      </c>
    </row>
    <row r="408" spans="1:12" x14ac:dyDescent="0.3">
      <c r="A408" s="287">
        <v>354</v>
      </c>
      <c r="B408" s="55">
        <v>10</v>
      </c>
      <c r="C408" s="51" t="s">
        <v>18</v>
      </c>
      <c r="D408" s="206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506</v>
      </c>
      <c r="L408" s="231" t="b">
        <f>+ISNUMBER(PAGOS[[#This Row],[REG]])</f>
        <v>1</v>
      </c>
    </row>
    <row r="409" spans="1:12" x14ac:dyDescent="0.3">
      <c r="A409" s="287">
        <v>355</v>
      </c>
      <c r="B409" s="55">
        <v>18</v>
      </c>
      <c r="C409" s="51" t="s">
        <v>338</v>
      </c>
      <c r="D409" s="206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506</v>
      </c>
      <c r="L409" s="231" t="b">
        <f>+ISNUMBER(PAGOS[[#This Row],[REG]])</f>
        <v>1</v>
      </c>
    </row>
    <row r="410" spans="1:12" x14ac:dyDescent="0.3">
      <c r="A410" s="287">
        <v>356</v>
      </c>
      <c r="B410" s="55">
        <v>13</v>
      </c>
      <c r="C410" s="51" t="s">
        <v>339</v>
      </c>
      <c r="D410" s="206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475</v>
      </c>
      <c r="L410" s="231" t="b">
        <f>+ISNUMBER(PAGOS[[#This Row],[REG]])</f>
        <v>1</v>
      </c>
    </row>
    <row r="411" spans="1:12" x14ac:dyDescent="0.3">
      <c r="A411" s="287">
        <v>357</v>
      </c>
      <c r="B411" s="55">
        <v>11</v>
      </c>
      <c r="C411" s="51" t="s">
        <v>19</v>
      </c>
      <c r="D411" s="206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475</v>
      </c>
      <c r="L411" s="231" t="b">
        <f>+ISNUMBER(PAGOS[[#This Row],[REG]])</f>
        <v>1</v>
      </c>
    </row>
    <row r="412" spans="1:12" x14ac:dyDescent="0.3">
      <c r="A412" s="287">
        <v>358</v>
      </c>
      <c r="B412" s="55">
        <v>18</v>
      </c>
      <c r="C412" s="51" t="s">
        <v>338</v>
      </c>
      <c r="D412" s="206">
        <v>95</v>
      </c>
      <c r="E412" s="33">
        <v>200</v>
      </c>
      <c r="F412" s="52">
        <v>46008</v>
      </c>
      <c r="G412" s="298">
        <v>3</v>
      </c>
      <c r="H412" s="33">
        <v>0</v>
      </c>
      <c r="I412" s="52">
        <v>46008</v>
      </c>
      <c r="J412" s="299">
        <v>3</v>
      </c>
      <c r="K412" s="36" t="s">
        <v>543</v>
      </c>
      <c r="L412" s="231" t="b">
        <f>+ISNUMBER(PAGOS[[#This Row],[REG]])</f>
        <v>1</v>
      </c>
    </row>
    <row r="413" spans="1:12" x14ac:dyDescent="0.3">
      <c r="A413" s="287" t="s">
        <v>544</v>
      </c>
      <c r="B413" s="55">
        <v>18</v>
      </c>
      <c r="C413" s="51" t="s">
        <v>338</v>
      </c>
      <c r="D413" s="206">
        <v>95</v>
      </c>
      <c r="E413" s="33">
        <v>0</v>
      </c>
      <c r="F413" s="52">
        <v>46008</v>
      </c>
      <c r="G413" s="53" t="s">
        <v>569</v>
      </c>
      <c r="H413" s="33">
        <v>16</v>
      </c>
      <c r="I413" s="52">
        <v>46008</v>
      </c>
      <c r="J413" s="54" t="s">
        <v>569</v>
      </c>
      <c r="K413" s="36" t="s">
        <v>543</v>
      </c>
      <c r="L413" s="231" t="b">
        <f>+ISNUMBER(PAGOS[[#This Row],[REG]])</f>
        <v>0</v>
      </c>
    </row>
    <row r="414" spans="1:12" x14ac:dyDescent="0.3">
      <c r="A414" s="287">
        <v>359</v>
      </c>
      <c r="B414" s="55">
        <v>5</v>
      </c>
      <c r="C414" s="51" t="s">
        <v>14</v>
      </c>
      <c r="D414" s="206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425</v>
      </c>
      <c r="L414" s="231" t="b">
        <f>+ISNUMBER(PAGOS[[#This Row],[REG]])</f>
        <v>1</v>
      </c>
    </row>
    <row r="415" spans="1:12" x14ac:dyDescent="0.3">
      <c r="A415" s="287">
        <v>360</v>
      </c>
      <c r="B415" s="55">
        <v>17</v>
      </c>
      <c r="C415" s="51" t="s">
        <v>337</v>
      </c>
      <c r="D415" s="206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425</v>
      </c>
      <c r="L415" s="231" t="b">
        <f>+ISNUMBER(PAGOS[[#This Row],[REG]])</f>
        <v>1</v>
      </c>
    </row>
    <row r="416" spans="1:12" x14ac:dyDescent="0.3">
      <c r="A416" s="287">
        <v>361</v>
      </c>
      <c r="B416" s="55">
        <v>6</v>
      </c>
      <c r="C416" s="51" t="s">
        <v>24</v>
      </c>
      <c r="D416" s="206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499</v>
      </c>
      <c r="L416" s="231" t="b">
        <f>+ISNUMBER(PAGOS[[#This Row],[REG]])</f>
        <v>1</v>
      </c>
    </row>
    <row r="417" spans="1:12" x14ac:dyDescent="0.3">
      <c r="A417" s="287">
        <v>362</v>
      </c>
      <c r="B417" s="55">
        <v>15</v>
      </c>
      <c r="C417" s="51" t="s">
        <v>22</v>
      </c>
      <c r="D417" s="206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499</v>
      </c>
      <c r="L417" s="231" t="b">
        <f>+ISNUMBER(PAGOS[[#This Row],[REG]])</f>
        <v>1</v>
      </c>
    </row>
    <row r="418" spans="1:12" x14ac:dyDescent="0.3">
      <c r="A418" s="287">
        <v>363</v>
      </c>
      <c r="B418" s="55">
        <v>12</v>
      </c>
      <c r="C418" s="51" t="s">
        <v>20</v>
      </c>
      <c r="D418" s="206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499</v>
      </c>
      <c r="L418" s="231" t="b">
        <f>+ISNUMBER(PAGOS[[#This Row],[REG]])</f>
        <v>1</v>
      </c>
    </row>
    <row r="419" spans="1:12" x14ac:dyDescent="0.3">
      <c r="A419" s="287">
        <v>364</v>
      </c>
      <c r="B419" s="55">
        <v>10</v>
      </c>
      <c r="C419" s="51" t="s">
        <v>18</v>
      </c>
      <c r="D419" s="206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428</v>
      </c>
      <c r="L419" s="231" t="b">
        <f>+ISNUMBER(PAGOS[[#This Row],[REG]])</f>
        <v>1</v>
      </c>
    </row>
    <row r="420" spans="1:12" x14ac:dyDescent="0.3">
      <c r="A420" s="287">
        <v>365</v>
      </c>
      <c r="B420" s="55">
        <v>13</v>
      </c>
      <c r="C420" s="51" t="s">
        <v>339</v>
      </c>
      <c r="D420" s="206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506</v>
      </c>
      <c r="L420" s="231" t="b">
        <f>+ISNUMBER(PAGOS[[#This Row],[REG]])</f>
        <v>1</v>
      </c>
    </row>
    <row r="421" spans="1:12" x14ac:dyDescent="0.3">
      <c r="A421" s="287">
        <v>366</v>
      </c>
      <c r="B421" s="55">
        <v>11</v>
      </c>
      <c r="C421" s="51" t="s">
        <v>19</v>
      </c>
      <c r="D421" s="206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506</v>
      </c>
      <c r="L421" s="231" t="b">
        <f>+ISNUMBER(PAGOS[[#This Row],[REG]])</f>
        <v>1</v>
      </c>
    </row>
    <row r="422" spans="1:12" x14ac:dyDescent="0.3">
      <c r="A422" s="287">
        <v>367</v>
      </c>
      <c r="B422" s="55">
        <v>9</v>
      </c>
      <c r="C422" s="51" t="s">
        <v>17</v>
      </c>
      <c r="D422" s="206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475</v>
      </c>
      <c r="L422" s="231" t="b">
        <f>+ISNUMBER(PAGOS[[#This Row],[REG]])</f>
        <v>1</v>
      </c>
    </row>
    <row r="423" spans="1:12" x14ac:dyDescent="0.3">
      <c r="A423" s="287">
        <v>368</v>
      </c>
      <c r="B423" s="55">
        <v>14</v>
      </c>
      <c r="C423" s="51" t="s">
        <v>21</v>
      </c>
      <c r="D423" s="206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475</v>
      </c>
      <c r="L423" s="231" t="b">
        <f>+ISNUMBER(PAGOS[[#This Row],[REG]])</f>
        <v>1</v>
      </c>
    </row>
    <row r="424" spans="1:12" x14ac:dyDescent="0.3">
      <c r="A424" s="287">
        <v>369</v>
      </c>
      <c r="B424" s="55">
        <v>18</v>
      </c>
      <c r="C424" s="51" t="s">
        <v>338</v>
      </c>
      <c r="D424" s="206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475</v>
      </c>
      <c r="L424" s="231" t="b">
        <f>+ISNUMBER(PAGOS[[#This Row],[REG]])</f>
        <v>1</v>
      </c>
    </row>
    <row r="425" spans="1:12" x14ac:dyDescent="0.3">
      <c r="A425" s="287">
        <v>370</v>
      </c>
      <c r="B425" s="55">
        <v>6</v>
      </c>
      <c r="C425" s="51" t="s">
        <v>24</v>
      </c>
      <c r="D425" s="206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475</v>
      </c>
      <c r="L425" s="231" t="b">
        <f>+ISNUMBER(PAGOS[[#This Row],[REG]])</f>
        <v>1</v>
      </c>
    </row>
    <row r="426" spans="1:12" x14ac:dyDescent="0.3">
      <c r="A426" s="287">
        <v>371</v>
      </c>
      <c r="B426" s="55">
        <v>5</v>
      </c>
      <c r="C426" s="51" t="s">
        <v>14</v>
      </c>
      <c r="D426" s="206">
        <v>71</v>
      </c>
      <c r="E426" s="33">
        <v>400</v>
      </c>
      <c r="F426" s="52">
        <v>46037</v>
      </c>
      <c r="G426" s="298">
        <v>12</v>
      </c>
      <c r="H426" s="33">
        <v>0</v>
      </c>
      <c r="I426" s="52">
        <v>46037</v>
      </c>
      <c r="J426" s="299">
        <v>12</v>
      </c>
      <c r="K426" s="36" t="s">
        <v>554</v>
      </c>
      <c r="L426" s="231" t="b">
        <f>+ISNUMBER(PAGOS[[#This Row],[REG]])</f>
        <v>1</v>
      </c>
    </row>
    <row r="427" spans="1:12" x14ac:dyDescent="0.3">
      <c r="A427" s="287" t="s">
        <v>555</v>
      </c>
      <c r="B427" s="55">
        <v>5</v>
      </c>
      <c r="C427" s="51" t="s">
        <v>14</v>
      </c>
      <c r="D427" s="206">
        <v>71</v>
      </c>
      <c r="E427" s="33">
        <v>0</v>
      </c>
      <c r="F427" s="52">
        <v>46037</v>
      </c>
      <c r="G427" s="53" t="s">
        <v>569</v>
      </c>
      <c r="H427" s="33">
        <v>96</v>
      </c>
      <c r="I427" s="52">
        <v>46037</v>
      </c>
      <c r="J427" s="54" t="s">
        <v>569</v>
      </c>
      <c r="K427" s="36" t="s">
        <v>556</v>
      </c>
      <c r="L427" s="231" t="b">
        <f>+ISNUMBER(PAGOS[[#This Row],[REG]])</f>
        <v>0</v>
      </c>
    </row>
    <row r="428" spans="1:12" x14ac:dyDescent="0.3">
      <c r="A428" s="287" t="s">
        <v>574</v>
      </c>
      <c r="B428" s="55">
        <v>1</v>
      </c>
      <c r="C428" s="51" t="s">
        <v>70</v>
      </c>
      <c r="D428" s="206">
        <v>0</v>
      </c>
      <c r="E428" s="33">
        <v>0</v>
      </c>
      <c r="F428" s="52">
        <v>46037</v>
      </c>
      <c r="G428" s="292" t="s">
        <v>568</v>
      </c>
      <c r="H428" s="33">
        <v>10</v>
      </c>
      <c r="I428" s="52">
        <v>46037</v>
      </c>
      <c r="J428" s="293" t="s">
        <v>568</v>
      </c>
      <c r="K428" s="36" t="s">
        <v>572</v>
      </c>
      <c r="L428" s="231" t="b">
        <f>+ISNUMBER(PAGOS[[#This Row],[REG]])</f>
        <v>0</v>
      </c>
    </row>
    <row r="429" spans="1:12" x14ac:dyDescent="0.3">
      <c r="A429" s="287" t="s">
        <v>560</v>
      </c>
      <c r="B429" s="55">
        <v>2</v>
      </c>
      <c r="C429" s="51" t="s">
        <v>71</v>
      </c>
      <c r="D429" s="206">
        <v>0</v>
      </c>
      <c r="E429" s="33">
        <v>26.7</v>
      </c>
      <c r="F429" s="52">
        <v>46051</v>
      </c>
      <c r="G429" s="53" t="s">
        <v>569</v>
      </c>
      <c r="H429" s="33">
        <v>0</v>
      </c>
      <c r="I429" s="52">
        <v>46051</v>
      </c>
      <c r="J429" s="54" t="s">
        <v>569</v>
      </c>
      <c r="K429" s="36" t="s">
        <v>561</v>
      </c>
      <c r="L429" s="231" t="b">
        <f>+ISNUMBER(PAGOS[[#This Row],[REG]])</f>
        <v>0</v>
      </c>
    </row>
    <row r="430" spans="1:12" x14ac:dyDescent="0.3">
      <c r="A430" s="287">
        <v>372</v>
      </c>
      <c r="B430" s="55">
        <v>16</v>
      </c>
      <c r="C430" s="51" t="s">
        <v>23</v>
      </c>
      <c r="D430" s="206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575</v>
      </c>
      <c r="L430" s="231" t="b">
        <f>+ISNUMBER(PAGOS[[#This Row],[REG]])</f>
        <v>1</v>
      </c>
    </row>
    <row r="431" spans="1:12" x14ac:dyDescent="0.3">
      <c r="A431" s="287">
        <v>373</v>
      </c>
      <c r="B431" s="55">
        <v>17</v>
      </c>
      <c r="C431" s="51" t="s">
        <v>337</v>
      </c>
      <c r="D431" s="206">
        <v>72</v>
      </c>
      <c r="E431" s="33">
        <v>666.64</v>
      </c>
      <c r="F431" s="52">
        <v>46068</v>
      </c>
      <c r="G431" s="53">
        <v>12</v>
      </c>
      <c r="H431" s="33">
        <v>160</v>
      </c>
      <c r="I431" s="52">
        <v>46068</v>
      </c>
      <c r="J431" s="54">
        <v>12</v>
      </c>
      <c r="K431" s="36" t="s">
        <v>583</v>
      </c>
      <c r="L431" s="231" t="b">
        <f>+ISNUMBER(PAGOS[[#This Row],[REG]])</f>
        <v>1</v>
      </c>
    </row>
    <row r="432" spans="1:12" x14ac:dyDescent="0.3">
      <c r="A432" s="287">
        <v>374</v>
      </c>
      <c r="B432" s="55">
        <v>6</v>
      </c>
      <c r="C432" s="51" t="s">
        <v>24</v>
      </c>
      <c r="D432" s="206">
        <v>77</v>
      </c>
      <c r="E432" s="33">
        <v>100</v>
      </c>
      <c r="F432" s="52">
        <v>46068</v>
      </c>
      <c r="G432" s="53">
        <v>6</v>
      </c>
      <c r="H432" s="33">
        <v>24</v>
      </c>
      <c r="I432" s="52">
        <v>46068</v>
      </c>
      <c r="J432" s="54">
        <v>6</v>
      </c>
      <c r="K432" s="36" t="s">
        <v>521</v>
      </c>
      <c r="L432" s="231" t="b">
        <f>+ISNUMBER(PAGOS[[#This Row],[REG]])</f>
        <v>1</v>
      </c>
    </row>
    <row r="433" spans="1:12" x14ac:dyDescent="0.3">
      <c r="A433" s="287">
        <v>375</v>
      </c>
      <c r="B433" s="55">
        <v>15</v>
      </c>
      <c r="C433" s="51" t="s">
        <v>22</v>
      </c>
      <c r="D433" s="206">
        <v>78</v>
      </c>
      <c r="E433" s="33">
        <v>100</v>
      </c>
      <c r="F433" s="52">
        <v>46068</v>
      </c>
      <c r="G433" s="53">
        <v>6</v>
      </c>
      <c r="H433" s="33">
        <v>14</v>
      </c>
      <c r="I433" s="52">
        <v>46068</v>
      </c>
      <c r="J433" s="54">
        <v>6</v>
      </c>
      <c r="K433" s="36" t="s">
        <v>521</v>
      </c>
      <c r="L433" s="231" t="b">
        <f>+ISNUMBER(PAGOS[[#This Row],[REG]])</f>
        <v>1</v>
      </c>
    </row>
    <row r="434" spans="1:12" x14ac:dyDescent="0.3">
      <c r="A434" s="287">
        <v>376</v>
      </c>
      <c r="B434" s="55">
        <v>12</v>
      </c>
      <c r="C434" s="51" t="s">
        <v>20</v>
      </c>
      <c r="D434" s="206">
        <v>81</v>
      </c>
      <c r="E434" s="33">
        <v>110</v>
      </c>
      <c r="F434" s="52">
        <v>46068</v>
      </c>
      <c r="G434" s="53">
        <v>6</v>
      </c>
      <c r="H434" s="33">
        <v>22</v>
      </c>
      <c r="I434" s="52">
        <v>46068</v>
      </c>
      <c r="J434" s="54">
        <v>6</v>
      </c>
      <c r="K434" s="36" t="s">
        <v>521</v>
      </c>
      <c r="L434" s="231" t="b">
        <f>+ISNUMBER(PAGOS[[#This Row],[REG]])</f>
        <v>1</v>
      </c>
    </row>
    <row r="435" spans="1:12" x14ac:dyDescent="0.3">
      <c r="A435" s="287">
        <v>377</v>
      </c>
      <c r="B435" s="55">
        <v>13</v>
      </c>
      <c r="C435" s="51" t="s">
        <v>339</v>
      </c>
      <c r="D435" s="206">
        <v>97</v>
      </c>
      <c r="E435" s="33">
        <v>100</v>
      </c>
      <c r="F435" s="52">
        <v>46068</v>
      </c>
      <c r="G435" s="53">
        <v>3</v>
      </c>
      <c r="H435" s="33">
        <v>20</v>
      </c>
      <c r="I435" s="52">
        <v>46068</v>
      </c>
      <c r="J435" s="54">
        <v>3</v>
      </c>
      <c r="K435" s="36" t="s">
        <v>428</v>
      </c>
      <c r="L435" s="231" t="b">
        <f>+ISNUMBER(PAGOS[[#This Row],[REG]])</f>
        <v>1</v>
      </c>
    </row>
    <row r="436" spans="1:12" x14ac:dyDescent="0.3">
      <c r="A436" s="287">
        <v>378</v>
      </c>
      <c r="B436" s="55">
        <v>11</v>
      </c>
      <c r="C436" s="51" t="s">
        <v>19</v>
      </c>
      <c r="D436" s="206">
        <v>98</v>
      </c>
      <c r="E436" s="33">
        <v>33.33</v>
      </c>
      <c r="F436" s="52">
        <v>46068</v>
      </c>
      <c r="G436" s="53">
        <v>3</v>
      </c>
      <c r="H436" s="33">
        <v>4</v>
      </c>
      <c r="I436" s="52">
        <v>46068</v>
      </c>
      <c r="J436" s="54">
        <v>3</v>
      </c>
      <c r="K436" s="36" t="s">
        <v>428</v>
      </c>
      <c r="L436" s="231" t="b">
        <f>+ISNUMBER(PAGOS[[#This Row],[REG]])</f>
        <v>1</v>
      </c>
    </row>
    <row r="437" spans="1:12" x14ac:dyDescent="0.3">
      <c r="A437" s="287">
        <v>379</v>
      </c>
      <c r="B437" s="55">
        <v>9</v>
      </c>
      <c r="C437" s="51" t="s">
        <v>17</v>
      </c>
      <c r="D437" s="206">
        <v>99</v>
      </c>
      <c r="E437" s="33">
        <v>100</v>
      </c>
      <c r="F437" s="52">
        <v>46068</v>
      </c>
      <c r="G437" s="53">
        <v>2</v>
      </c>
      <c r="H437" s="33">
        <v>10</v>
      </c>
      <c r="I437" s="52">
        <v>46068</v>
      </c>
      <c r="J437" s="54">
        <v>2</v>
      </c>
      <c r="K437" s="36" t="s">
        <v>506</v>
      </c>
      <c r="L437" s="231" t="b">
        <f>+ISNUMBER(PAGOS[[#This Row],[REG]])</f>
        <v>1</v>
      </c>
    </row>
    <row r="438" spans="1:12" x14ac:dyDescent="0.3">
      <c r="A438" s="287">
        <v>380</v>
      </c>
      <c r="B438" s="55">
        <v>14</v>
      </c>
      <c r="C438" s="51" t="s">
        <v>21</v>
      </c>
      <c r="D438" s="206">
        <v>100</v>
      </c>
      <c r="E438" s="33">
        <v>111.11</v>
      </c>
      <c r="F438" s="52">
        <v>46068</v>
      </c>
      <c r="G438" s="53">
        <v>2</v>
      </c>
      <c r="H438" s="33">
        <v>40</v>
      </c>
      <c r="I438" s="52">
        <v>46068</v>
      </c>
      <c r="J438" s="54">
        <v>2</v>
      </c>
      <c r="K438" s="36" t="s">
        <v>506</v>
      </c>
      <c r="L438" s="231" t="b">
        <f>+ISNUMBER(PAGOS[[#This Row],[REG]])</f>
        <v>1</v>
      </c>
    </row>
    <row r="439" spans="1:12" x14ac:dyDescent="0.3">
      <c r="A439" s="287">
        <v>381</v>
      </c>
      <c r="B439" s="55">
        <v>18</v>
      </c>
      <c r="C439" s="51" t="s">
        <v>338</v>
      </c>
      <c r="D439" s="206">
        <v>101</v>
      </c>
      <c r="E439" s="33">
        <v>600</v>
      </c>
      <c r="F439" s="52">
        <v>46068</v>
      </c>
      <c r="G439" s="53">
        <v>1</v>
      </c>
      <c r="H439" s="33">
        <v>84</v>
      </c>
      <c r="I439" s="52">
        <v>46068</v>
      </c>
      <c r="J439" s="54">
        <v>1</v>
      </c>
      <c r="K439" s="36" t="s">
        <v>584</v>
      </c>
      <c r="L439" s="231" t="b">
        <f>+ISNUMBER(PAGOS[[#This Row],[REG]])</f>
        <v>1</v>
      </c>
    </row>
    <row r="440" spans="1:12" x14ac:dyDescent="0.3">
      <c r="A440" s="287">
        <v>382</v>
      </c>
      <c r="B440" s="55">
        <v>6</v>
      </c>
      <c r="C440" s="51" t="s">
        <v>24</v>
      </c>
      <c r="D440" s="206">
        <v>102</v>
      </c>
      <c r="E440" s="33">
        <v>50</v>
      </c>
      <c r="F440" s="52">
        <v>46068</v>
      </c>
      <c r="G440" s="53">
        <v>2</v>
      </c>
      <c r="H440" s="33">
        <v>6</v>
      </c>
      <c r="I440" s="52">
        <v>46068</v>
      </c>
      <c r="J440" s="54">
        <v>2</v>
      </c>
      <c r="K440" s="36" t="s">
        <v>586</v>
      </c>
      <c r="L440" s="231" t="b">
        <f>+ISNUMBER(PAGOS[[#This Row],[REG]])</f>
        <v>1</v>
      </c>
    </row>
    <row r="441" spans="1:12" x14ac:dyDescent="0.3">
      <c r="A441" s="287">
        <v>383</v>
      </c>
      <c r="B441" s="55">
        <v>5</v>
      </c>
      <c r="C441" s="51" t="s">
        <v>14</v>
      </c>
      <c r="D441" s="206">
        <v>104</v>
      </c>
      <c r="E441" s="33">
        <v>100</v>
      </c>
      <c r="F441" s="52">
        <v>46068</v>
      </c>
      <c r="G441" s="53">
        <v>1</v>
      </c>
      <c r="H441" s="33">
        <v>24</v>
      </c>
      <c r="I441" s="52">
        <v>46068</v>
      </c>
      <c r="J441" s="54">
        <v>1</v>
      </c>
      <c r="K441" s="36" t="s">
        <v>475</v>
      </c>
      <c r="L441" s="231" t="b">
        <f>+ISNUMBER(PAGOS[[#This Row],[REG]])</f>
        <v>1</v>
      </c>
    </row>
    <row r="442" spans="1:12" x14ac:dyDescent="0.3">
      <c r="A442" s="287">
        <v>384</v>
      </c>
      <c r="B442" s="55">
        <v>7</v>
      </c>
      <c r="C442" s="51" t="s">
        <v>403</v>
      </c>
      <c r="D442" s="206">
        <v>106</v>
      </c>
      <c r="E442" s="33">
        <v>100</v>
      </c>
      <c r="F442" s="52">
        <v>46068</v>
      </c>
      <c r="G442" s="53">
        <v>1</v>
      </c>
      <c r="H442" s="33">
        <v>2</v>
      </c>
      <c r="I442" s="52">
        <v>46068</v>
      </c>
      <c r="J442" s="54">
        <v>1</v>
      </c>
      <c r="K442" s="36" t="s">
        <v>475</v>
      </c>
      <c r="L442" s="231" t="b">
        <f>+ISNUMBER(PAGOS[[#This Row],[REG]])</f>
        <v>1</v>
      </c>
    </row>
    <row r="443" spans="1:12" x14ac:dyDescent="0.3">
      <c r="A443" s="287">
        <v>385</v>
      </c>
      <c r="B443" s="55">
        <v>16</v>
      </c>
      <c r="C443" s="51" t="s">
        <v>23</v>
      </c>
      <c r="D443" s="206">
        <v>105</v>
      </c>
      <c r="E443" s="33">
        <v>40</v>
      </c>
      <c r="F443" s="52">
        <v>46068</v>
      </c>
      <c r="G443" s="53">
        <v>1</v>
      </c>
      <c r="H443" s="33">
        <v>1.6</v>
      </c>
      <c r="I443" s="52">
        <v>46068</v>
      </c>
      <c r="J443" s="54">
        <v>1</v>
      </c>
      <c r="K443" s="36" t="s">
        <v>585</v>
      </c>
      <c r="L443" s="231" t="b">
        <f>+ISNUMBER(PAGOS[[#This Row],[REG]])</f>
        <v>1</v>
      </c>
    </row>
    <row r="444" spans="1:12" x14ac:dyDescent="0.3">
      <c r="A444" s="287">
        <v>386</v>
      </c>
      <c r="B444" s="55">
        <v>12</v>
      </c>
      <c r="C444" s="51" t="s">
        <v>20</v>
      </c>
      <c r="D444" s="206">
        <v>81</v>
      </c>
      <c r="E444" s="33">
        <v>440</v>
      </c>
      <c r="F444" s="52">
        <v>46068</v>
      </c>
      <c r="G444" s="53">
        <v>10</v>
      </c>
      <c r="H444" s="33">
        <v>0</v>
      </c>
      <c r="I444" s="52">
        <v>46068</v>
      </c>
      <c r="J444" s="54">
        <v>10</v>
      </c>
      <c r="K444" s="36" t="s">
        <v>588</v>
      </c>
      <c r="L444" s="231" t="b">
        <f>+ISNUMBER(PAGOS[[#This Row],[REG]])</f>
        <v>1</v>
      </c>
    </row>
    <row r="445" spans="1:12" x14ac:dyDescent="0.3">
      <c r="A445" s="287" t="s">
        <v>589</v>
      </c>
      <c r="B445" s="55">
        <v>12</v>
      </c>
      <c r="C445" s="51" t="s">
        <v>20</v>
      </c>
      <c r="D445" s="206">
        <v>81</v>
      </c>
      <c r="E445" s="33">
        <v>0</v>
      </c>
      <c r="F445" s="52">
        <v>46068</v>
      </c>
      <c r="G445" s="53" t="s">
        <v>569</v>
      </c>
      <c r="H445" s="33">
        <v>88</v>
      </c>
      <c r="I445" s="52">
        <v>46068</v>
      </c>
      <c r="J445" s="54" t="s">
        <v>569</v>
      </c>
      <c r="K445" s="36" t="s">
        <v>590</v>
      </c>
      <c r="L445" s="231" t="b">
        <f>+ISNUMBER(PAGOS[[#This Row],[REG]])</f>
        <v>0</v>
      </c>
    </row>
    <row r="446" spans="1:12" x14ac:dyDescent="0.3">
      <c r="A446" s="287">
        <v>387</v>
      </c>
      <c r="B446" s="55">
        <v>6</v>
      </c>
      <c r="C446" s="51" t="s">
        <v>24</v>
      </c>
      <c r="D446" s="206">
        <v>102</v>
      </c>
      <c r="E446" s="33">
        <v>200</v>
      </c>
      <c r="F446" s="52">
        <v>46068</v>
      </c>
      <c r="G446" s="53">
        <v>6</v>
      </c>
      <c r="H446" s="33">
        <v>0</v>
      </c>
      <c r="I446" s="52">
        <v>46068</v>
      </c>
      <c r="J446" s="54">
        <v>6</v>
      </c>
      <c r="K446" s="36" t="s">
        <v>593</v>
      </c>
      <c r="L446" s="231" t="b">
        <f>+ISNUMBER(PAGOS[[#This Row],[REG]])</f>
        <v>1</v>
      </c>
    </row>
    <row r="447" spans="1:12" x14ac:dyDescent="0.3">
      <c r="A447" s="287" t="s">
        <v>595</v>
      </c>
      <c r="B447" s="55">
        <v>6</v>
      </c>
      <c r="C447" s="51" t="s">
        <v>24</v>
      </c>
      <c r="D447" s="206">
        <v>102</v>
      </c>
      <c r="E447" s="33">
        <v>0</v>
      </c>
      <c r="F447" s="52">
        <v>46068</v>
      </c>
      <c r="G447" s="53" t="s">
        <v>569</v>
      </c>
      <c r="H447" s="33">
        <v>24</v>
      </c>
      <c r="I447" s="52">
        <v>46068</v>
      </c>
      <c r="J447" s="54" t="s">
        <v>569</v>
      </c>
      <c r="K447" s="36" t="s">
        <v>594</v>
      </c>
      <c r="L447" s="231" t="b">
        <f>+ISNUMBER(PAGOS[[#This Row],[REG]])</f>
        <v>0</v>
      </c>
    </row>
    <row r="448" spans="1:12" x14ac:dyDescent="0.3">
      <c r="A448" s="287">
        <v>388</v>
      </c>
      <c r="B448" s="55">
        <v>16</v>
      </c>
      <c r="C448" s="51" t="s">
        <v>23</v>
      </c>
      <c r="D448" s="206">
        <v>96</v>
      </c>
      <c r="E448" s="33">
        <v>200</v>
      </c>
      <c r="F448" s="52">
        <v>46073</v>
      </c>
      <c r="G448" s="53">
        <v>4</v>
      </c>
      <c r="H448" s="33">
        <v>16</v>
      </c>
      <c r="I448" s="52">
        <v>46073</v>
      </c>
      <c r="J448" s="54">
        <v>4</v>
      </c>
      <c r="K448" s="36" t="s">
        <v>598</v>
      </c>
      <c r="L448" s="231" t="b">
        <f>+ISNUMBER(PAGOS[[#This Row],[REG]])</f>
        <v>1</v>
      </c>
    </row>
    <row r="449" spans="1:12" x14ac:dyDescent="0.3">
      <c r="A449" s="287">
        <v>389</v>
      </c>
      <c r="B449" s="55">
        <v>16</v>
      </c>
      <c r="C449" s="51" t="s">
        <v>23</v>
      </c>
      <c r="D449" s="206">
        <v>103</v>
      </c>
      <c r="E449" s="33">
        <v>100</v>
      </c>
      <c r="F449" s="52">
        <v>46080</v>
      </c>
      <c r="G449" s="53">
        <v>2</v>
      </c>
      <c r="H449" s="33">
        <v>6</v>
      </c>
      <c r="I449" s="52">
        <v>46080</v>
      </c>
      <c r="J449" s="54">
        <v>2</v>
      </c>
      <c r="K449" s="36" t="s">
        <v>506</v>
      </c>
      <c r="L449" s="231" t="b">
        <f>+ISNUMBER(PAGOS[[#This Row],[REG]])</f>
        <v>1</v>
      </c>
    </row>
    <row r="450" spans="1:12" x14ac:dyDescent="0.3">
      <c r="A450" s="287">
        <v>390</v>
      </c>
      <c r="B450" s="55">
        <v>16</v>
      </c>
      <c r="C450" s="51" t="s">
        <v>23</v>
      </c>
      <c r="D450" s="206">
        <v>107</v>
      </c>
      <c r="E450" s="33">
        <v>100</v>
      </c>
      <c r="F450" s="52">
        <v>46090</v>
      </c>
      <c r="G450" s="53">
        <v>1</v>
      </c>
      <c r="H450" s="33">
        <v>2</v>
      </c>
      <c r="I450" s="52">
        <v>46090</v>
      </c>
      <c r="J450" s="54">
        <v>1</v>
      </c>
      <c r="K450" s="36" t="s">
        <v>475</v>
      </c>
      <c r="L450" s="231" t="b">
        <f>+ISNUMBER(PAGOS[[#This Row],[REG]])</f>
        <v>1</v>
      </c>
    </row>
    <row r="451" spans="1:12" x14ac:dyDescent="0.3">
      <c r="A451" s="287">
        <v>391</v>
      </c>
      <c r="B451" s="55">
        <v>16</v>
      </c>
      <c r="C451" s="51" t="s">
        <v>23</v>
      </c>
      <c r="D451" s="206">
        <v>111</v>
      </c>
      <c r="E451" s="33">
        <v>50</v>
      </c>
      <c r="F451" s="52">
        <v>46092</v>
      </c>
      <c r="G451" s="53">
        <v>1</v>
      </c>
      <c r="H451" s="33">
        <v>3</v>
      </c>
      <c r="I451" s="52">
        <v>46092</v>
      </c>
      <c r="J451" s="54">
        <v>1</v>
      </c>
      <c r="K451" s="36" t="s">
        <v>475</v>
      </c>
      <c r="L451" s="231" t="b">
        <f>+ISNUMBER(PAGOS[[#This Row],[REG]])</f>
        <v>1</v>
      </c>
    </row>
    <row r="452" spans="1:12" x14ac:dyDescent="0.3">
      <c r="A452" s="287">
        <v>392</v>
      </c>
      <c r="B452" s="55">
        <v>16</v>
      </c>
      <c r="C452" s="51" t="s">
        <v>23</v>
      </c>
      <c r="D452" s="206">
        <v>105</v>
      </c>
      <c r="E452" s="33">
        <v>40</v>
      </c>
      <c r="F452" s="52">
        <v>46095</v>
      </c>
      <c r="G452" s="53">
        <v>2</v>
      </c>
      <c r="H452" s="33">
        <v>1.6</v>
      </c>
      <c r="I452" s="52">
        <v>46095</v>
      </c>
      <c r="J452" s="54">
        <v>2</v>
      </c>
      <c r="K452" s="36" t="s">
        <v>506</v>
      </c>
      <c r="L452" s="231" t="b">
        <f>+ISNUMBER(PAGOS[[#This Row],[REG]])</f>
        <v>1</v>
      </c>
    </row>
    <row r="453" spans="1:12" x14ac:dyDescent="0.3">
      <c r="A453" s="287">
        <v>393</v>
      </c>
      <c r="B453" s="55">
        <v>6</v>
      </c>
      <c r="C453" s="51" t="s">
        <v>24</v>
      </c>
      <c r="D453" s="206">
        <v>77</v>
      </c>
      <c r="E453" s="33">
        <v>100</v>
      </c>
      <c r="F453" s="52">
        <v>46096</v>
      </c>
      <c r="G453" s="53">
        <v>7</v>
      </c>
      <c r="H453" s="33">
        <v>24</v>
      </c>
      <c r="I453" s="52">
        <v>46096</v>
      </c>
      <c r="J453" s="54">
        <v>7</v>
      </c>
      <c r="K453" s="36" t="s">
        <v>426</v>
      </c>
      <c r="L453" s="231" t="b">
        <f>+ISNUMBER(PAGOS[[#This Row],[REG]])</f>
        <v>1</v>
      </c>
    </row>
    <row r="454" spans="1:12" x14ac:dyDescent="0.3">
      <c r="A454" s="287">
        <v>394</v>
      </c>
      <c r="B454" s="55">
        <v>15</v>
      </c>
      <c r="C454" s="51" t="s">
        <v>22</v>
      </c>
      <c r="D454" s="206">
        <v>78</v>
      </c>
      <c r="E454" s="33">
        <v>100</v>
      </c>
      <c r="F454" s="52">
        <v>46096</v>
      </c>
      <c r="G454" s="53">
        <v>7</v>
      </c>
      <c r="H454" s="33">
        <v>14</v>
      </c>
      <c r="I454" s="52">
        <v>46096</v>
      </c>
      <c r="J454" s="54">
        <v>7</v>
      </c>
      <c r="K454" s="36" t="s">
        <v>426</v>
      </c>
      <c r="L454" s="231" t="b">
        <f>+ISNUMBER(PAGOS[[#This Row],[REG]])</f>
        <v>1</v>
      </c>
    </row>
    <row r="455" spans="1:12" x14ac:dyDescent="0.3">
      <c r="A455" s="287">
        <v>395</v>
      </c>
      <c r="B455" s="55">
        <v>13</v>
      </c>
      <c r="C455" s="51" t="s">
        <v>339</v>
      </c>
      <c r="D455" s="206">
        <v>97</v>
      </c>
      <c r="E455" s="33">
        <v>100</v>
      </c>
      <c r="F455" s="52">
        <v>46096</v>
      </c>
      <c r="G455" s="53">
        <v>4</v>
      </c>
      <c r="H455" s="33">
        <v>20</v>
      </c>
      <c r="I455" s="52">
        <v>46096</v>
      </c>
      <c r="J455" s="54">
        <v>4</v>
      </c>
      <c r="K455" s="36" t="s">
        <v>427</v>
      </c>
      <c r="L455" s="231" t="b">
        <f>+ISNUMBER(PAGOS[[#This Row],[REG]])</f>
        <v>1</v>
      </c>
    </row>
    <row r="456" spans="1:12" x14ac:dyDescent="0.3">
      <c r="A456" s="287">
        <v>396</v>
      </c>
      <c r="B456" s="55">
        <v>11</v>
      </c>
      <c r="C456" s="51" t="s">
        <v>19</v>
      </c>
      <c r="D456" s="206">
        <v>98</v>
      </c>
      <c r="E456" s="33">
        <v>33.33</v>
      </c>
      <c r="F456" s="52">
        <v>46096</v>
      </c>
      <c r="G456" s="53">
        <v>4</v>
      </c>
      <c r="H456" s="33">
        <v>4</v>
      </c>
      <c r="I456" s="52">
        <v>46096</v>
      </c>
      <c r="J456" s="54">
        <v>4</v>
      </c>
      <c r="K456" s="36" t="s">
        <v>427</v>
      </c>
      <c r="L456" s="231" t="b">
        <f>+ISNUMBER(PAGOS[[#This Row],[REG]])</f>
        <v>1</v>
      </c>
    </row>
    <row r="457" spans="1:12" x14ac:dyDescent="0.3">
      <c r="A457" s="287">
        <v>397</v>
      </c>
      <c r="B457" s="55">
        <v>9</v>
      </c>
      <c r="C457" s="51" t="s">
        <v>17</v>
      </c>
      <c r="D457" s="206">
        <v>99</v>
      </c>
      <c r="E457" s="33">
        <v>100</v>
      </c>
      <c r="F457" s="52">
        <v>46096</v>
      </c>
      <c r="G457" s="53">
        <v>3</v>
      </c>
      <c r="H457" s="33">
        <v>10</v>
      </c>
      <c r="I457" s="52">
        <v>46096</v>
      </c>
      <c r="J457" s="54">
        <v>3</v>
      </c>
      <c r="K457" s="36" t="s">
        <v>428</v>
      </c>
      <c r="L457" s="231" t="b">
        <f>+ISNUMBER(PAGOS[[#This Row],[REG]])</f>
        <v>1</v>
      </c>
    </row>
    <row r="458" spans="1:12" x14ac:dyDescent="0.3">
      <c r="A458" s="287">
        <v>398</v>
      </c>
      <c r="B458" s="55">
        <v>14</v>
      </c>
      <c r="C458" s="51" t="s">
        <v>21</v>
      </c>
      <c r="D458" s="206">
        <v>100</v>
      </c>
      <c r="E458" s="33">
        <v>111.11</v>
      </c>
      <c r="F458" s="52">
        <v>46096</v>
      </c>
      <c r="G458" s="53">
        <v>3</v>
      </c>
      <c r="H458" s="33">
        <v>40</v>
      </c>
      <c r="I458" s="52">
        <v>46096</v>
      </c>
      <c r="J458" s="54">
        <v>3</v>
      </c>
      <c r="K458" s="36" t="s">
        <v>428</v>
      </c>
      <c r="L458" s="231" t="b">
        <f>+ISNUMBER(PAGOS[[#This Row],[REG]])</f>
        <v>1</v>
      </c>
    </row>
    <row r="459" spans="1:12" x14ac:dyDescent="0.3">
      <c r="A459" s="287">
        <v>399</v>
      </c>
      <c r="B459" s="55">
        <v>5</v>
      </c>
      <c r="C459" s="51" t="s">
        <v>14</v>
      </c>
      <c r="D459" s="206">
        <v>104</v>
      </c>
      <c r="E459" s="33">
        <v>100</v>
      </c>
      <c r="F459" s="52">
        <v>46096</v>
      </c>
      <c r="G459" s="53">
        <v>2</v>
      </c>
      <c r="H459" s="33">
        <v>24</v>
      </c>
      <c r="I459" s="52">
        <v>46096</v>
      </c>
      <c r="J459" s="54">
        <v>2</v>
      </c>
      <c r="K459" s="36" t="s">
        <v>506</v>
      </c>
      <c r="L459" s="231" t="b">
        <f>+ISNUMBER(PAGOS[[#This Row],[REG]])</f>
        <v>1</v>
      </c>
    </row>
    <row r="460" spans="1:12" x14ac:dyDescent="0.3">
      <c r="A460" s="287">
        <v>400</v>
      </c>
      <c r="B460" s="55">
        <v>12</v>
      </c>
      <c r="C460" s="51" t="s">
        <v>20</v>
      </c>
      <c r="D460" s="206">
        <v>109</v>
      </c>
      <c r="E460" s="33">
        <v>125</v>
      </c>
      <c r="F460" s="52">
        <v>46096</v>
      </c>
      <c r="G460" s="53">
        <v>1</v>
      </c>
      <c r="H460" s="33">
        <v>30</v>
      </c>
      <c r="I460" s="52">
        <v>46096</v>
      </c>
      <c r="J460" s="54">
        <v>1</v>
      </c>
      <c r="K460" s="36" t="s">
        <v>475</v>
      </c>
      <c r="L460" s="231" t="b">
        <f>+ISNUMBER(PAGOS[[#This Row],[REG]])</f>
        <v>1</v>
      </c>
    </row>
    <row r="461" spans="1:12" x14ac:dyDescent="0.3">
      <c r="A461" s="287">
        <v>401</v>
      </c>
      <c r="B461" s="55">
        <v>6</v>
      </c>
      <c r="C461" s="51" t="s">
        <v>24</v>
      </c>
      <c r="D461" s="206">
        <v>110</v>
      </c>
      <c r="E461" s="33">
        <v>60</v>
      </c>
      <c r="F461" s="52">
        <v>46096</v>
      </c>
      <c r="G461" s="53">
        <v>1</v>
      </c>
      <c r="H461" s="33">
        <v>12</v>
      </c>
      <c r="I461" s="52">
        <v>46096</v>
      </c>
      <c r="J461" s="54">
        <v>1</v>
      </c>
      <c r="K461" s="36" t="s">
        <v>585</v>
      </c>
      <c r="L461" s="231" t="b">
        <f>+ISNUMBER(PAGOS[[#This Row],[REG]])</f>
        <v>1</v>
      </c>
    </row>
    <row r="462" spans="1:12" x14ac:dyDescent="0.3">
      <c r="A462" s="287" t="s">
        <v>606</v>
      </c>
      <c r="B462" s="55">
        <v>1</v>
      </c>
      <c r="C462" s="51" t="s">
        <v>403</v>
      </c>
      <c r="D462" s="206">
        <v>0</v>
      </c>
      <c r="E462" s="33">
        <v>0</v>
      </c>
      <c r="F462" s="52">
        <v>46096</v>
      </c>
      <c r="G462" s="53" t="s">
        <v>568</v>
      </c>
      <c r="H462" s="33">
        <v>4</v>
      </c>
      <c r="I462" s="52">
        <v>46096</v>
      </c>
      <c r="J462" s="54" t="s">
        <v>568</v>
      </c>
      <c r="K462" s="36" t="s">
        <v>605</v>
      </c>
      <c r="L462" s="231" t="b">
        <f>+ISNUMBER(PAGOS[[#This Row],[REG]])</f>
        <v>0</v>
      </c>
    </row>
    <row r="463" spans="1:12" x14ac:dyDescent="0.3">
      <c r="A463" s="287" t="s">
        <v>607</v>
      </c>
      <c r="B463" s="55">
        <v>1</v>
      </c>
      <c r="C463" s="51" t="s">
        <v>404</v>
      </c>
      <c r="D463" s="206">
        <v>0</v>
      </c>
      <c r="E463" s="33">
        <v>0</v>
      </c>
      <c r="F463" s="52">
        <v>46096</v>
      </c>
      <c r="G463" s="53" t="s">
        <v>568</v>
      </c>
      <c r="H463" s="33">
        <v>4</v>
      </c>
      <c r="I463" s="52">
        <v>46096</v>
      </c>
      <c r="J463" s="54" t="s">
        <v>568</v>
      </c>
      <c r="K463" s="36" t="s">
        <v>605</v>
      </c>
      <c r="L463" s="231" t="b">
        <f>+ISNUMBER(PAGOS[[#This Row],[REG]])</f>
        <v>0</v>
      </c>
    </row>
    <row r="464" spans="1:12" x14ac:dyDescent="0.3">
      <c r="A464" s="287" t="s">
        <v>608</v>
      </c>
      <c r="B464" s="55">
        <v>1</v>
      </c>
      <c r="C464" s="51" t="s">
        <v>13</v>
      </c>
      <c r="D464" s="206">
        <v>0</v>
      </c>
      <c r="E464" s="33">
        <v>0</v>
      </c>
      <c r="F464" s="52">
        <v>46096</v>
      </c>
      <c r="G464" s="53" t="s">
        <v>568</v>
      </c>
      <c r="H464" s="33">
        <v>4</v>
      </c>
      <c r="I464" s="52">
        <v>46096</v>
      </c>
      <c r="J464" s="54" t="s">
        <v>568</v>
      </c>
      <c r="K464" s="36" t="s">
        <v>605</v>
      </c>
      <c r="L464" s="231" t="b">
        <f>+ISNUMBER(PAGOS[[#This Row],[REG]])</f>
        <v>0</v>
      </c>
    </row>
    <row r="465" spans="1:12" x14ac:dyDescent="0.3">
      <c r="A465" s="287" t="s">
        <v>609</v>
      </c>
      <c r="B465" s="55">
        <v>1</v>
      </c>
      <c r="C465" s="51" t="s">
        <v>12</v>
      </c>
      <c r="D465" s="206">
        <v>0</v>
      </c>
      <c r="E465" s="33">
        <v>0</v>
      </c>
      <c r="F465" s="52">
        <v>46096</v>
      </c>
      <c r="G465" s="53" t="s">
        <v>568</v>
      </c>
      <c r="H465" s="33">
        <v>4</v>
      </c>
      <c r="I465" s="52">
        <v>46096</v>
      </c>
      <c r="J465" s="54" t="s">
        <v>568</v>
      </c>
      <c r="K465" s="36" t="s">
        <v>605</v>
      </c>
      <c r="L465" s="231" t="b">
        <f>+ISNUMBER(PAGOS[[#This Row],[REG]])</f>
        <v>0</v>
      </c>
    </row>
    <row r="466" spans="1:12" x14ac:dyDescent="0.3">
      <c r="A466" s="287" t="s">
        <v>610</v>
      </c>
      <c r="B466" s="55">
        <v>1</v>
      </c>
      <c r="C466" s="51" t="s">
        <v>337</v>
      </c>
      <c r="D466" s="206">
        <v>0</v>
      </c>
      <c r="E466" s="33">
        <v>0</v>
      </c>
      <c r="F466" s="52">
        <v>46096</v>
      </c>
      <c r="G466" s="53" t="s">
        <v>568</v>
      </c>
      <c r="H466" s="33">
        <v>4</v>
      </c>
      <c r="I466" s="52">
        <v>46096</v>
      </c>
      <c r="J466" s="54" t="s">
        <v>568</v>
      </c>
      <c r="K466" s="36" t="s">
        <v>605</v>
      </c>
      <c r="L466" s="231" t="b">
        <f>+ISNUMBER(PAGOS[[#This Row],[REG]])</f>
        <v>0</v>
      </c>
    </row>
    <row r="467" spans="1:12" x14ac:dyDescent="0.3">
      <c r="A467" s="287" t="s">
        <v>611</v>
      </c>
      <c r="B467" s="55">
        <v>1</v>
      </c>
      <c r="C467" s="51" t="s">
        <v>338</v>
      </c>
      <c r="D467" s="206">
        <v>0</v>
      </c>
      <c r="E467" s="33">
        <v>0</v>
      </c>
      <c r="F467" s="52">
        <v>46096</v>
      </c>
      <c r="G467" s="53" t="s">
        <v>568</v>
      </c>
      <c r="H467" s="33">
        <v>4</v>
      </c>
      <c r="I467" s="52">
        <v>46096</v>
      </c>
      <c r="J467" s="54" t="s">
        <v>568</v>
      </c>
      <c r="K467" s="36" t="s">
        <v>605</v>
      </c>
      <c r="L467" s="231" t="b">
        <f>+ISNUMBER(PAGOS[[#This Row],[REG]])</f>
        <v>0</v>
      </c>
    </row>
    <row r="468" spans="1:12" x14ac:dyDescent="0.3">
      <c r="A468" s="287">
        <v>402</v>
      </c>
      <c r="B468" s="55">
        <v>16</v>
      </c>
      <c r="C468" s="51" t="s">
        <v>23</v>
      </c>
      <c r="D468" s="206">
        <v>103</v>
      </c>
      <c r="E468" s="33">
        <v>100</v>
      </c>
      <c r="F468" s="377">
        <v>46112</v>
      </c>
      <c r="G468" s="53">
        <v>3</v>
      </c>
      <c r="H468" s="33">
        <v>6</v>
      </c>
      <c r="I468" s="377">
        <v>46112</v>
      </c>
      <c r="J468" s="54">
        <v>3</v>
      </c>
      <c r="K468" s="36" t="s">
        <v>428</v>
      </c>
      <c r="L468" s="231" t="b">
        <f>+ISNUMBER(PAGOS[[#This Row],[REG]])</f>
        <v>1</v>
      </c>
    </row>
    <row r="470" spans="1:12" x14ac:dyDescent="0.3">
      <c r="H470" s="376"/>
    </row>
  </sheetData>
  <sheetProtection algorithmName="SHA-512" hashValue="S6kSC9rwpX2/4dbmnP3lYg0y8dkbRJ9gN1j9hFzYADiW9fnmjwYvjLpu7J4Z1YIRN7NZRrRWkeV8cDC/8XSDkw==" saltValue="VLs6BWxSix+RZNhqyvibk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5"/>
  <sheetViews>
    <sheetView workbookViewId="0">
      <pane ySplit="1" topLeftCell="A17" activePane="bottomLeft" state="frozen"/>
      <selection pane="bottomLeft" activeCell="D45" sqref="D45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176" t="s">
        <v>376</v>
      </c>
      <c r="B1" s="177" t="s">
        <v>48</v>
      </c>
      <c r="C1" s="177" t="s">
        <v>69</v>
      </c>
      <c r="D1" s="178" t="s">
        <v>296</v>
      </c>
    </row>
    <row r="2" spans="1:6" x14ac:dyDescent="0.3">
      <c r="A2" s="247" cm="1">
        <f t="array" ref="A2">IF(DENERO_CAJA[[#This Row],[MONTO]]&lt;&gt;"",ROW()-ROW(DENERO_CAJA[#Headers]),"")</f>
        <v>1</v>
      </c>
      <c r="B2" s="169">
        <v>44788</v>
      </c>
      <c r="C2" s="182">
        <v>130</v>
      </c>
      <c r="D2" s="175" t="s">
        <v>553</v>
      </c>
      <c r="F2" s="200"/>
    </row>
    <row r="3" spans="1:6" x14ac:dyDescent="0.3">
      <c r="A3" s="247" cm="1">
        <f t="array" ref="A3">IF(DENERO_CAJA[[#This Row],[MONTO]]&lt;&gt;"",ROW()-ROW(DENERO_CAJA[#Headers]),"")</f>
        <v>2</v>
      </c>
      <c r="B3" s="169">
        <v>44819</v>
      </c>
      <c r="C3" s="182">
        <v>100</v>
      </c>
      <c r="D3" s="175" t="s">
        <v>553</v>
      </c>
      <c r="F3" s="200"/>
    </row>
    <row r="4" spans="1:6" x14ac:dyDescent="0.3">
      <c r="A4" s="247" cm="1">
        <f t="array" ref="A4">IF(DENERO_CAJA[[#This Row],[MONTO]]&lt;&gt;"",ROW()-ROW(DENERO_CAJA[#Headers]),"")</f>
        <v>3</v>
      </c>
      <c r="B4" s="169">
        <v>44849</v>
      </c>
      <c r="C4" s="182">
        <v>113.2</v>
      </c>
      <c r="D4" s="175" t="s">
        <v>553</v>
      </c>
      <c r="F4" s="200"/>
    </row>
    <row r="5" spans="1:6" x14ac:dyDescent="0.3">
      <c r="A5" s="247" cm="1">
        <f t="array" ref="A5">IF(DENERO_CAJA[[#This Row],[MONTO]]&lt;&gt;"",ROW()-ROW(DENERO_CAJA[#Headers]),"")</f>
        <v>4</v>
      </c>
      <c r="B5" s="169">
        <v>44880</v>
      </c>
      <c r="C5" s="182">
        <v>130.4</v>
      </c>
      <c r="D5" s="175" t="s">
        <v>553</v>
      </c>
      <c r="F5" s="200"/>
    </row>
    <row r="6" spans="1:6" x14ac:dyDescent="0.3">
      <c r="A6" s="247" cm="1">
        <f t="array" ref="A6">IF(DENERO_CAJA[[#This Row],[MONTO]]&lt;&gt;"",ROW()-ROW(DENERO_CAJA[#Headers]),"")</f>
        <v>5</v>
      </c>
      <c r="B6" s="169">
        <v>44910</v>
      </c>
      <c r="C6" s="182">
        <v>108.4</v>
      </c>
      <c r="D6" s="175" t="s">
        <v>553</v>
      </c>
      <c r="F6" s="200"/>
    </row>
    <row r="7" spans="1:6" x14ac:dyDescent="0.3">
      <c r="A7" s="247" cm="1">
        <f t="array" ref="A7">IF(DENERO_CAJA[[#This Row],[MONTO]]&lt;&gt;"",ROW()-ROW(DENERO_CAJA[#Headers]),"")</f>
        <v>6</v>
      </c>
      <c r="B7" s="169">
        <v>44941</v>
      </c>
      <c r="C7" s="182">
        <v>133.80000000000001</v>
      </c>
      <c r="D7" s="175" t="s">
        <v>553</v>
      </c>
      <c r="F7" s="200"/>
    </row>
    <row r="8" spans="1:6" x14ac:dyDescent="0.3">
      <c r="A8" s="247" cm="1">
        <f t="array" ref="A8">IF(DENERO_CAJA[[#This Row],[MONTO]]&lt;&gt;"",ROW()-ROW(DENERO_CAJA[#Headers]),"")</f>
        <v>7</v>
      </c>
      <c r="B8" s="169">
        <v>44972</v>
      </c>
      <c r="C8" s="182">
        <v>52.87</v>
      </c>
      <c r="D8" s="175" t="s">
        <v>553</v>
      </c>
      <c r="F8" s="200"/>
    </row>
    <row r="9" spans="1:6" x14ac:dyDescent="0.3">
      <c r="A9" s="248" cm="1">
        <f t="array" ref="A9">IF(DENERO_CAJA[[#This Row],[MONTO]]&lt;&gt;"",ROW()-ROW(DENERO_CAJA[#Headers]),"")</f>
        <v>8</v>
      </c>
      <c r="B9" s="169">
        <v>45000</v>
      </c>
      <c r="C9" s="182">
        <v>24.94</v>
      </c>
      <c r="D9" s="175" t="s">
        <v>553</v>
      </c>
      <c r="F9" s="200"/>
    </row>
    <row r="10" spans="1:6" x14ac:dyDescent="0.3">
      <c r="A10" s="248" cm="1">
        <f t="array" ref="A10">IF(DENERO_CAJA[[#This Row],[MONTO]]&lt;&gt;"",ROW()-ROW(DENERO_CAJA[#Headers]),"")</f>
        <v>9</v>
      </c>
      <c r="B10" s="169">
        <v>45031</v>
      </c>
      <c r="C10" s="182">
        <v>366.6</v>
      </c>
      <c r="D10" s="175" t="s">
        <v>553</v>
      </c>
      <c r="F10" s="200"/>
    </row>
    <row r="11" spans="1:6" x14ac:dyDescent="0.3">
      <c r="A11" s="248" cm="1">
        <f t="array" ref="A11">IF(DENERO_CAJA[[#This Row],[MONTO]]&lt;&gt;"",ROW()-ROW(DENERO_CAJA[#Headers]),"")</f>
        <v>10</v>
      </c>
      <c r="B11" s="169">
        <v>45061</v>
      </c>
      <c r="C11" s="182">
        <v>583</v>
      </c>
      <c r="D11" s="175" t="s">
        <v>553</v>
      </c>
      <c r="F11" s="200"/>
    </row>
    <row r="12" spans="1:6" x14ac:dyDescent="0.3">
      <c r="A12" s="248" cm="1">
        <f t="array" ref="A12">IF(DENERO_CAJA[[#This Row],[MONTO]]&lt;&gt;"",ROW()-ROW(DENERO_CAJA[#Headers]),"")</f>
        <v>11</v>
      </c>
      <c r="B12" s="169">
        <v>45092</v>
      </c>
      <c r="C12" s="182">
        <v>60</v>
      </c>
      <c r="D12" s="175" t="s">
        <v>553</v>
      </c>
      <c r="F12" s="200"/>
    </row>
    <row r="13" spans="1:6" x14ac:dyDescent="0.3">
      <c r="A13" s="248" cm="1">
        <f t="array" ref="A13">IF(DENERO_CAJA[[#This Row],[MONTO]]&lt;&gt;"",ROW()-ROW(DENERO_CAJA[#Headers]),"")</f>
        <v>12</v>
      </c>
      <c r="B13" s="169">
        <v>45122</v>
      </c>
      <c r="C13" s="182">
        <v>230</v>
      </c>
      <c r="D13" s="175" t="s">
        <v>553</v>
      </c>
      <c r="F13" s="200"/>
    </row>
    <row r="14" spans="1:6" x14ac:dyDescent="0.3">
      <c r="A14" s="248" cm="1">
        <f t="array" ref="A14">IF(DENERO_CAJA[[#This Row],[MONTO]]&lt;&gt;"",ROW()-ROW(DENERO_CAJA[#Headers]),"")</f>
        <v>13</v>
      </c>
      <c r="B14" s="169">
        <v>45153</v>
      </c>
      <c r="C14" s="182">
        <v>394</v>
      </c>
      <c r="D14" s="175" t="s">
        <v>553</v>
      </c>
      <c r="F14" s="200"/>
    </row>
    <row r="15" spans="1:6" x14ac:dyDescent="0.3">
      <c r="A15" s="248" cm="1">
        <f t="array" ref="A15">IF(DENERO_CAJA[[#This Row],[MONTO]]&lt;&gt;"",ROW()-ROW(DENERO_CAJA[#Headers]),"")</f>
        <v>14</v>
      </c>
      <c r="B15" s="169">
        <v>45184</v>
      </c>
      <c r="C15" s="182">
        <v>75</v>
      </c>
      <c r="D15" s="175" t="s">
        <v>553</v>
      </c>
      <c r="F15" s="200"/>
    </row>
    <row r="16" spans="1:6" x14ac:dyDescent="0.3">
      <c r="A16" s="248" cm="1">
        <f t="array" ref="A16">IF(DENERO_CAJA[[#This Row],[MONTO]]&lt;&gt;"",ROW()-ROW(DENERO_CAJA[#Headers]),"")</f>
        <v>15</v>
      </c>
      <c r="B16" s="169">
        <v>45214</v>
      </c>
      <c r="C16" s="182">
        <v>164</v>
      </c>
      <c r="D16" s="175" t="s">
        <v>553</v>
      </c>
      <c r="F16" s="200"/>
    </row>
    <row r="17" spans="1:6" x14ac:dyDescent="0.3">
      <c r="A17" s="248" cm="1">
        <f t="array" ref="A17">IF(DENERO_CAJA[[#This Row],[MONTO]]&lt;&gt;"",ROW()-ROW(DENERO_CAJA[#Headers]),"")</f>
        <v>16</v>
      </c>
      <c r="B17" s="169">
        <v>45245</v>
      </c>
      <c r="C17" s="182">
        <v>13.66</v>
      </c>
      <c r="D17" s="175" t="s">
        <v>553</v>
      </c>
      <c r="F17" s="200"/>
    </row>
    <row r="18" spans="1:6" x14ac:dyDescent="0.3">
      <c r="A18" s="248" cm="1">
        <f t="array" ref="A18">IF(DENERO_CAJA[[#This Row],[MONTO]]&lt;&gt;"",ROW()-ROW(DENERO_CAJA[#Headers]),"")</f>
        <v>17</v>
      </c>
      <c r="B18" s="169">
        <v>45275</v>
      </c>
      <c r="C18" s="182">
        <v>320.8</v>
      </c>
      <c r="D18" s="175" t="s">
        <v>553</v>
      </c>
      <c r="F18" s="200"/>
    </row>
    <row r="19" spans="1:6" x14ac:dyDescent="0.3">
      <c r="A19" s="248" cm="1">
        <f t="array" ref="A19">IF(DENERO_CAJA[[#This Row],[MONTO]]&lt;&gt;"",ROW()-ROW(DENERO_CAJA[#Headers]),"")</f>
        <v>18</v>
      </c>
      <c r="B19" s="169">
        <v>45306</v>
      </c>
      <c r="C19" s="182">
        <v>331.94</v>
      </c>
      <c r="D19" s="175" t="s">
        <v>553</v>
      </c>
      <c r="F19" s="200"/>
    </row>
    <row r="20" spans="1:6" x14ac:dyDescent="0.3">
      <c r="A20" s="248" cm="1">
        <f t="array" ref="A20">IF(DENERO_CAJA[[#This Row],[MONTO]]&lt;&gt;"",ROW()-ROW(DENERO_CAJA[#Headers]),"")</f>
        <v>19</v>
      </c>
      <c r="B20" s="169">
        <v>45337</v>
      </c>
      <c r="C20" s="182">
        <v>473.08</v>
      </c>
      <c r="D20" s="175" t="s">
        <v>553</v>
      </c>
      <c r="F20" s="200"/>
    </row>
    <row r="21" spans="1:6" x14ac:dyDescent="0.3">
      <c r="A21" s="248" cm="1">
        <f t="array" ref="A21">IF(DENERO_CAJA[[#This Row],[MONTO]]&lt;&gt;"",ROW()-ROW(DENERO_CAJA[#Headers]),"")</f>
        <v>20</v>
      </c>
      <c r="B21" s="169">
        <v>45366</v>
      </c>
      <c r="C21" s="182">
        <v>53.22</v>
      </c>
      <c r="D21" s="175" t="s">
        <v>553</v>
      </c>
      <c r="F21" s="200"/>
    </row>
    <row r="22" spans="1:6" x14ac:dyDescent="0.3">
      <c r="A22" s="248" cm="1">
        <f t="array" ref="A22">IF(DENERO_CAJA[[#This Row],[MONTO]]&lt;&gt;"",ROW()-ROW(DENERO_CAJA[#Headers]),"")</f>
        <v>21</v>
      </c>
      <c r="B22" s="169">
        <v>45397</v>
      </c>
      <c r="C22" s="182">
        <v>469.36</v>
      </c>
      <c r="D22" s="175" t="s">
        <v>553</v>
      </c>
      <c r="F22" s="200"/>
    </row>
    <row r="23" spans="1:6" x14ac:dyDescent="0.3">
      <c r="A23" s="248" cm="1">
        <f t="array" ref="A23">IF(DENERO_CAJA[[#This Row],[MONTO]]&lt;&gt;"",ROW()-ROW(DENERO_CAJA[#Headers]),"")</f>
        <v>22</v>
      </c>
      <c r="B23" s="169">
        <v>45427</v>
      </c>
      <c r="C23" s="182">
        <v>139.5</v>
      </c>
      <c r="D23" s="175" t="s">
        <v>553</v>
      </c>
      <c r="F23" s="200"/>
    </row>
    <row r="24" spans="1:6" x14ac:dyDescent="0.3">
      <c r="A24" s="248" cm="1">
        <f t="array" ref="A24">IF(DENERO_CAJA[[#This Row],[MONTO]]&lt;&gt;"",ROW()-ROW(DENERO_CAJA[#Headers]),"")</f>
        <v>23</v>
      </c>
      <c r="B24" s="169">
        <v>45458</v>
      </c>
      <c r="C24" s="182">
        <v>46.24</v>
      </c>
      <c r="D24" s="175" t="s">
        <v>553</v>
      </c>
      <c r="F24" s="200"/>
    </row>
    <row r="25" spans="1:6" x14ac:dyDescent="0.3">
      <c r="A25" s="248" cm="1">
        <f t="array" ref="A25">IF(DENERO_CAJA[[#This Row],[MONTO]]&lt;&gt;"",ROW()-ROW(DENERO_CAJA[#Headers]),"")</f>
        <v>24</v>
      </c>
      <c r="B25" s="169">
        <v>45488</v>
      </c>
      <c r="C25" s="182">
        <v>136.94999999999999</v>
      </c>
      <c r="D25" s="175" t="s">
        <v>553</v>
      </c>
      <c r="F25" s="200"/>
    </row>
    <row r="26" spans="1:6" x14ac:dyDescent="0.3">
      <c r="A26" s="248" cm="1">
        <f t="array" ref="A26">IF(DENERO_CAJA[[#This Row],[MONTO]]&lt;&gt;"",ROW()-ROW(DENERO_CAJA[#Headers]),"")</f>
        <v>25</v>
      </c>
      <c r="B26" s="169">
        <v>45519</v>
      </c>
      <c r="C26" s="182">
        <v>198.33</v>
      </c>
      <c r="D26" s="175" t="s">
        <v>553</v>
      </c>
      <c r="F26" s="200"/>
    </row>
    <row r="27" spans="1:6" x14ac:dyDescent="0.3">
      <c r="A27" s="248" cm="1">
        <f t="array" ref="A27">IF(DENERO_CAJA[[#This Row],[MONTO]]&lt;&gt;"",ROW()-ROW(DENERO_CAJA[#Headers]),"")</f>
        <v>26</v>
      </c>
      <c r="B27" s="169">
        <v>45550</v>
      </c>
      <c r="C27" s="182">
        <v>645.71</v>
      </c>
      <c r="D27" s="175" t="s">
        <v>553</v>
      </c>
      <c r="F27" s="200"/>
    </row>
    <row r="28" spans="1:6" x14ac:dyDescent="0.3">
      <c r="A28" s="248" cm="1">
        <f t="array" ref="A28">IF(DENERO_CAJA[[#This Row],[MONTO]]&lt;&gt;"",ROW()-ROW(DENERO_CAJA[#Headers]),"")</f>
        <v>27</v>
      </c>
      <c r="B28" s="169">
        <v>45580</v>
      </c>
      <c r="C28" s="182">
        <v>613.79</v>
      </c>
      <c r="D28" s="175" t="s">
        <v>553</v>
      </c>
      <c r="F28" s="200"/>
    </row>
    <row r="29" spans="1:6" x14ac:dyDescent="0.3">
      <c r="A29" s="248" cm="1">
        <f t="array" ref="A29">IF(DENERO_CAJA[[#This Row],[MONTO]]&lt;&gt;"",ROW()-ROW(DENERO_CAJA[#Headers]),"")</f>
        <v>28</v>
      </c>
      <c r="B29" s="169">
        <v>45611</v>
      </c>
      <c r="C29" s="182">
        <v>223.68</v>
      </c>
      <c r="D29" s="175" t="s">
        <v>553</v>
      </c>
      <c r="F29" s="200"/>
    </row>
    <row r="30" spans="1:6" x14ac:dyDescent="0.3">
      <c r="A30" s="248" cm="1">
        <f t="array" ref="A30">IF(DENERO_CAJA[[#This Row],[MONTO]]&lt;&gt;"",ROW()-ROW(DENERO_CAJA[#Headers]),"")</f>
        <v>29</v>
      </c>
      <c r="B30" s="169">
        <v>45641</v>
      </c>
      <c r="C30" s="182">
        <v>120.72</v>
      </c>
      <c r="D30" s="175" t="s">
        <v>553</v>
      </c>
      <c r="F30" s="200"/>
    </row>
    <row r="31" spans="1:6" x14ac:dyDescent="0.3">
      <c r="A31" s="248" cm="1">
        <f t="array" ref="A31">IF(DENERO_CAJA[[#This Row],[MONTO]]&lt;&gt;"",ROW()-ROW(DENERO_CAJA[#Headers]),"")</f>
        <v>30</v>
      </c>
      <c r="B31" s="169">
        <v>45672</v>
      </c>
      <c r="C31" s="182">
        <v>233.66</v>
      </c>
      <c r="D31" s="175" t="s">
        <v>553</v>
      </c>
      <c r="F31" s="200"/>
    </row>
    <row r="32" spans="1:6" x14ac:dyDescent="0.3">
      <c r="A32" s="248" cm="1">
        <f t="array" ref="A32">IF(DENERO_CAJA[[#This Row],[MONTO]]&lt;&gt;"",ROW()-ROW(DENERO_CAJA[#Headers]),"")</f>
        <v>31</v>
      </c>
      <c r="B32" s="169">
        <v>45703</v>
      </c>
      <c r="C32" s="182">
        <v>346</v>
      </c>
      <c r="D32" s="175" t="s">
        <v>553</v>
      </c>
      <c r="F32" s="200"/>
    </row>
    <row r="33" spans="1:6" x14ac:dyDescent="0.3">
      <c r="A33" s="248" cm="1">
        <f t="array" ref="A33">IF(DENERO_CAJA[[#This Row],[MONTO]]&lt;&gt;"",ROW()-ROW(DENERO_CAJA[#Headers]),"")</f>
        <v>32</v>
      </c>
      <c r="B33" s="169">
        <v>45731</v>
      </c>
      <c r="C33" s="182">
        <v>13.67</v>
      </c>
      <c r="D33" s="175" t="s">
        <v>553</v>
      </c>
      <c r="F33" s="200"/>
    </row>
    <row r="34" spans="1:6" x14ac:dyDescent="0.3">
      <c r="A34" s="248" cm="1">
        <f t="array" ref="A34">IF(DENERO_CAJA[[#This Row],[MONTO]]&lt;&gt;"",ROW()-ROW(DENERO_CAJA[#Headers]),"")</f>
        <v>33</v>
      </c>
      <c r="B34" s="169">
        <v>45762</v>
      </c>
      <c r="C34" s="182">
        <v>1573.34</v>
      </c>
      <c r="D34" s="175" t="s">
        <v>553</v>
      </c>
      <c r="F34" s="200"/>
    </row>
    <row r="35" spans="1:6" x14ac:dyDescent="0.3">
      <c r="A35" s="248" cm="1">
        <f t="array" ref="A35">IF(DENERO_CAJA[[#This Row],[MONTO]]&lt;&gt;"",ROW()-ROW(DENERO_CAJA[#Headers]),"")</f>
        <v>34</v>
      </c>
      <c r="B35" s="169">
        <v>45792</v>
      </c>
      <c r="C35" s="182">
        <v>66.34</v>
      </c>
      <c r="D35" s="175" t="s">
        <v>553</v>
      </c>
      <c r="F35" s="200"/>
    </row>
    <row r="36" spans="1:6" x14ac:dyDescent="0.3">
      <c r="A36" s="248" cm="1">
        <f t="array" ref="A36">IF(DENERO_CAJA[[#This Row],[MONTO]]&lt;&gt;"",ROW()-ROW(DENERO_CAJA[#Headers]),"")</f>
        <v>35</v>
      </c>
      <c r="B36" s="169">
        <v>45823</v>
      </c>
      <c r="C36" s="182">
        <v>1836.81</v>
      </c>
      <c r="D36" s="175" t="s">
        <v>553</v>
      </c>
      <c r="F36" s="200"/>
    </row>
    <row r="37" spans="1:6" x14ac:dyDescent="0.3">
      <c r="A37" s="248" cm="1">
        <f t="array" ref="A37">IF(DENERO_CAJA[[#This Row],[MONTO]]&lt;&gt;"",ROW()-ROW(DENERO_CAJA[#Headers]),"")</f>
        <v>36</v>
      </c>
      <c r="B37" s="169">
        <v>45853</v>
      </c>
      <c r="C37" s="182">
        <f>3518.49</f>
        <v>3518.49</v>
      </c>
      <c r="D37" s="175" t="s">
        <v>553</v>
      </c>
      <c r="F37" s="200"/>
    </row>
    <row r="38" spans="1:6" x14ac:dyDescent="0.3">
      <c r="A38" s="248">
        <v>37</v>
      </c>
      <c r="B38" s="38">
        <v>45884</v>
      </c>
      <c r="C38" s="182">
        <v>1041.96</v>
      </c>
      <c r="D38" s="175" t="s">
        <v>553</v>
      </c>
    </row>
    <row r="39" spans="1:6" x14ac:dyDescent="0.3">
      <c r="A39" s="248">
        <v>38</v>
      </c>
      <c r="B39" s="38">
        <v>45915</v>
      </c>
      <c r="C39" s="182">
        <v>1253.83</v>
      </c>
      <c r="D39" s="175" t="s">
        <v>553</v>
      </c>
    </row>
    <row r="40" spans="1:6" x14ac:dyDescent="0.3">
      <c r="A40" s="248">
        <v>39</v>
      </c>
      <c r="B40" s="38">
        <v>45945</v>
      </c>
      <c r="C40" s="182">
        <v>2283.7800000000002</v>
      </c>
      <c r="D40" s="175" t="s">
        <v>553</v>
      </c>
    </row>
    <row r="41" spans="1:6" x14ac:dyDescent="0.3">
      <c r="A41" s="248">
        <v>40</v>
      </c>
      <c r="B41" s="38">
        <v>45976</v>
      </c>
      <c r="C41" s="182">
        <v>2381.06</v>
      </c>
      <c r="D41" s="175" t="s">
        <v>553</v>
      </c>
    </row>
    <row r="42" spans="1:6" x14ac:dyDescent="0.3">
      <c r="A42" s="248">
        <v>41</v>
      </c>
      <c r="B42" s="38">
        <v>46008</v>
      </c>
      <c r="C42" s="182">
        <v>81.06</v>
      </c>
      <c r="D42" s="175" t="s">
        <v>553</v>
      </c>
    </row>
    <row r="43" spans="1:6" x14ac:dyDescent="0.3">
      <c r="A43" s="248">
        <v>42</v>
      </c>
      <c r="B43" s="38">
        <v>46037</v>
      </c>
      <c r="C43" s="182">
        <v>552.47</v>
      </c>
      <c r="D43" s="175" t="s">
        <v>553</v>
      </c>
    </row>
    <row r="44" spans="1:6" x14ac:dyDescent="0.3">
      <c r="A44" s="248">
        <v>43</v>
      </c>
      <c r="B44" s="38">
        <v>46068</v>
      </c>
      <c r="C44" s="182">
        <v>1803.75</v>
      </c>
      <c r="D44" s="175" t="s">
        <v>553</v>
      </c>
    </row>
    <row r="45" spans="1:6" x14ac:dyDescent="0.3">
      <c r="A45" s="248">
        <v>44</v>
      </c>
      <c r="B45" s="38">
        <v>46097</v>
      </c>
      <c r="C45" s="42">
        <v>2495.19</v>
      </c>
      <c r="D45" s="373" t="s">
        <v>612</v>
      </c>
    </row>
  </sheetData>
  <sheetProtection algorithmName="SHA-512" hashValue="+AtvLh2gs17A5xlznG//q+AYrQfe/DuYWdcWGGerHzHrThcLdtgjiG3quTixV+SNnAFDUnDEqOh2E0m/grfRUw==" saltValue="beEQvO7J9TFagpDyb1dmL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>
      <selection activeCell="O15" sqref="O15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5.441406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284" t="s">
        <v>417</v>
      </c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</row>
    <row r="3" spans="2:18" ht="15.6" thickTop="1" thickBot="1" x14ac:dyDescent="0.35">
      <c r="D3" s="282"/>
      <c r="E3" s="57"/>
      <c r="F3" s="282" t="s">
        <v>535</v>
      </c>
      <c r="G3" s="283"/>
      <c r="H3" s="263"/>
      <c r="I3" s="282" t="s">
        <v>536</v>
      </c>
      <c r="J3" s="57"/>
      <c r="K3" s="263"/>
    </row>
    <row r="4" spans="2:18" ht="15" thickTop="1" x14ac:dyDescent="0.3">
      <c r="B4" s="300" t="s">
        <v>405</v>
      </c>
      <c r="E4" s="264"/>
      <c r="F4" s="264"/>
      <c r="G4" s="265" t="s">
        <v>408</v>
      </c>
      <c r="H4" s="265" t="s">
        <v>409</v>
      </c>
      <c r="I4" s="266" t="s">
        <v>411</v>
      </c>
      <c r="J4" s="266" t="s">
        <v>409</v>
      </c>
      <c r="K4" s="267" t="s">
        <v>409</v>
      </c>
      <c r="L4" s="268" t="s">
        <v>408</v>
      </c>
      <c r="M4" s="268" t="s">
        <v>32</v>
      </c>
      <c r="N4" s="264"/>
      <c r="O4" s="264"/>
      <c r="P4" s="264"/>
      <c r="Q4" s="264"/>
    </row>
    <row r="5" spans="2:18" x14ac:dyDescent="0.3">
      <c r="B5" s="300" t="s">
        <v>27</v>
      </c>
      <c r="C5" s="300" t="s">
        <v>11</v>
      </c>
      <c r="D5" t="s">
        <v>534</v>
      </c>
      <c r="E5" s="266" t="s">
        <v>406</v>
      </c>
      <c r="F5" s="266" t="s">
        <v>407</v>
      </c>
      <c r="G5" s="265" t="s">
        <v>115</v>
      </c>
      <c r="H5" s="265" t="s">
        <v>115</v>
      </c>
      <c r="I5" s="266" t="s">
        <v>410</v>
      </c>
      <c r="J5" s="266" t="s">
        <v>410</v>
      </c>
      <c r="K5" s="267" t="s">
        <v>538</v>
      </c>
      <c r="L5" s="268" t="s">
        <v>537</v>
      </c>
      <c r="M5" s="268" t="s">
        <v>537</v>
      </c>
      <c r="N5" s="266" t="s">
        <v>413</v>
      </c>
      <c r="O5" s="266" t="s">
        <v>414</v>
      </c>
      <c r="P5" s="266" t="s">
        <v>416</v>
      </c>
      <c r="Q5" s="266" t="s">
        <v>25</v>
      </c>
    </row>
    <row r="6" spans="2:18" x14ac:dyDescent="0.3">
      <c r="B6" s="269">
        <v>1</v>
      </c>
      <c r="C6" s="269" t="s">
        <v>70</v>
      </c>
      <c r="D6" s="269">
        <v>1</v>
      </c>
      <c r="E6" s="269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70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271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271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270">
        <v>0</v>
      </c>
      <c r="J6" s="270">
        <v>0</v>
      </c>
      <c r="K6" s="272">
        <v>0</v>
      </c>
      <c r="L6" s="273">
        <f>+G6-(I6)</f>
        <v>0</v>
      </c>
      <c r="M6" s="273">
        <f t="shared" ref="M6:M23" si="0">+H6-(J6+K6)</f>
        <v>0</v>
      </c>
      <c r="N6" s="274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274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275">
        <f>IF(OR(B6=1,B6=2),0,($H$24+$N$24)-($O$24+$K$24))/16</f>
        <v>0</v>
      </c>
      <c r="Q6" s="276">
        <f>+E6+P6</f>
        <v>0</v>
      </c>
    </row>
    <row r="7" spans="2:18" x14ac:dyDescent="0.3">
      <c r="B7" s="269">
        <v>2</v>
      </c>
      <c r="C7" s="269" t="s">
        <v>71</v>
      </c>
      <c r="D7" s="269">
        <v>1</v>
      </c>
      <c r="E7" s="269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70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271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271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270">
        <v>0</v>
      </c>
      <c r="J7" s="270">
        <v>0</v>
      </c>
      <c r="K7" s="272">
        <v>0</v>
      </c>
      <c r="L7" s="273">
        <f t="shared" ref="L7:L23" si="1">+G7-(I7)</f>
        <v>0</v>
      </c>
      <c r="M7" s="273">
        <f t="shared" si="0"/>
        <v>0</v>
      </c>
      <c r="N7" s="274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274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275">
        <f t="shared" ref="P7:P23" si="2">IF(OR(B7=1,B7=2),0,($H$24+$N$24)-($O$24+$K$24))/16</f>
        <v>0</v>
      </c>
      <c r="Q7" s="276">
        <f t="shared" ref="Q7:Q23" si="3">+E7+P7</f>
        <v>0</v>
      </c>
    </row>
    <row r="8" spans="2:18" x14ac:dyDescent="0.3">
      <c r="B8" s="269">
        <v>3</v>
      </c>
      <c r="C8" s="269" t="s">
        <v>13</v>
      </c>
      <c r="D8" s="269">
        <v>43</v>
      </c>
      <c r="E8" s="269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470</v>
      </c>
      <c r="F8" s="270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271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271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270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270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272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273">
        <f t="shared" si="1"/>
        <v>-9.9999999999909051E-3</v>
      </c>
      <c r="M8" s="273">
        <f t="shared" si="0"/>
        <v>0</v>
      </c>
      <c r="N8" s="274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17.350000000000001</v>
      </c>
      <c r="O8" s="274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275">
        <f t="shared" si="2"/>
        <v>263.51812499999994</v>
      </c>
      <c r="Q8" s="276">
        <f>+E8+P8</f>
        <v>733.51812499999994</v>
      </c>
      <c r="R8" s="74"/>
    </row>
    <row r="9" spans="2:18" x14ac:dyDescent="0.3">
      <c r="B9" s="269">
        <v>4</v>
      </c>
      <c r="C9" s="269" t="s">
        <v>12</v>
      </c>
      <c r="D9" s="269">
        <v>43</v>
      </c>
      <c r="E9" s="269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470</v>
      </c>
      <c r="F9" s="270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271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271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270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270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272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273">
        <f t="shared" si="1"/>
        <v>0</v>
      </c>
      <c r="M9" s="273">
        <f t="shared" si="0"/>
        <v>0</v>
      </c>
      <c r="N9" s="274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4</v>
      </c>
      <c r="O9" s="274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275">
        <f t="shared" si="2"/>
        <v>263.51812499999994</v>
      </c>
      <c r="Q9" s="276">
        <f t="shared" si="3"/>
        <v>733.51812499999994</v>
      </c>
      <c r="R9" s="74"/>
    </row>
    <row r="10" spans="2:18" x14ac:dyDescent="0.3">
      <c r="B10" s="269">
        <v>5</v>
      </c>
      <c r="C10" s="269" t="s">
        <v>14</v>
      </c>
      <c r="D10" s="269">
        <v>43</v>
      </c>
      <c r="E10" s="269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470</v>
      </c>
      <c r="F10" s="270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271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271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270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4000</v>
      </c>
      <c r="J10" s="270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544</v>
      </c>
      <c r="K10" s="272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273">
        <f t="shared" si="1"/>
        <v>1000</v>
      </c>
      <c r="M10" s="273">
        <f t="shared" si="0"/>
        <v>240</v>
      </c>
      <c r="N10" s="274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274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275">
        <f t="shared" si="2"/>
        <v>263.51812499999994</v>
      </c>
      <c r="Q10" s="276">
        <f t="shared" si="3"/>
        <v>733.51812499999994</v>
      </c>
    </row>
    <row r="11" spans="2:18" x14ac:dyDescent="0.3">
      <c r="B11" s="269">
        <v>6</v>
      </c>
      <c r="C11" s="269" t="s">
        <v>24</v>
      </c>
      <c r="D11" s="269">
        <v>43</v>
      </c>
      <c r="E11" s="269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470</v>
      </c>
      <c r="F11" s="270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271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271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270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3140</v>
      </c>
      <c r="J11" s="270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453.6</v>
      </c>
      <c r="K11" s="272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273">
        <f t="shared" si="1"/>
        <v>1040</v>
      </c>
      <c r="M11" s="273">
        <f t="shared" si="0"/>
        <v>228</v>
      </c>
      <c r="N11" s="274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274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275">
        <f t="shared" si="2"/>
        <v>263.51812499999994</v>
      </c>
      <c r="Q11" s="276">
        <f t="shared" si="3"/>
        <v>733.51812499999994</v>
      </c>
    </row>
    <row r="12" spans="2:18" x14ac:dyDescent="0.3">
      <c r="B12" s="269">
        <v>7</v>
      </c>
      <c r="C12" s="269" t="s">
        <v>403</v>
      </c>
      <c r="D12" s="269">
        <v>43</v>
      </c>
      <c r="E12" s="269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470</v>
      </c>
      <c r="F12" s="270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271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271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270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270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272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273">
        <f t="shared" si="1"/>
        <v>0</v>
      </c>
      <c r="M12" s="273">
        <f t="shared" si="0"/>
        <v>0</v>
      </c>
      <c r="N12" s="274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21.35</v>
      </c>
      <c r="O12" s="274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275">
        <f t="shared" si="2"/>
        <v>263.51812499999994</v>
      </c>
      <c r="Q12" s="276">
        <f t="shared" si="3"/>
        <v>733.51812499999994</v>
      </c>
    </row>
    <row r="13" spans="2:18" x14ac:dyDescent="0.3">
      <c r="B13" s="269">
        <v>8</v>
      </c>
      <c r="C13" s="269" t="s">
        <v>404</v>
      </c>
      <c r="D13" s="269">
        <v>43</v>
      </c>
      <c r="E13" s="269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470</v>
      </c>
      <c r="F13" s="270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271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271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270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270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272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273">
        <f t="shared" si="1"/>
        <v>0</v>
      </c>
      <c r="M13" s="273">
        <f t="shared" si="0"/>
        <v>0</v>
      </c>
      <c r="N13" s="274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21.35</v>
      </c>
      <c r="O13" s="274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275">
        <f t="shared" si="2"/>
        <v>263.51812499999994</v>
      </c>
      <c r="Q13" s="276">
        <f t="shared" si="3"/>
        <v>733.51812499999994</v>
      </c>
    </row>
    <row r="14" spans="2:18" x14ac:dyDescent="0.3">
      <c r="B14" s="269">
        <v>9</v>
      </c>
      <c r="C14" s="269" t="s">
        <v>17</v>
      </c>
      <c r="D14" s="269">
        <v>44</v>
      </c>
      <c r="E14" s="269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470</v>
      </c>
      <c r="F14" s="270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271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271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270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3160</v>
      </c>
      <c r="J14" s="270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306.39999999999998</v>
      </c>
      <c r="K14" s="272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273">
        <f t="shared" si="1"/>
        <v>200</v>
      </c>
      <c r="M14" s="273">
        <f t="shared" si="0"/>
        <v>20</v>
      </c>
      <c r="N14" s="274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274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275">
        <f t="shared" si="2"/>
        <v>263.51812499999994</v>
      </c>
      <c r="Q14" s="276">
        <f t="shared" si="3"/>
        <v>733.51812499999994</v>
      </c>
    </row>
    <row r="15" spans="2:18" x14ac:dyDescent="0.3">
      <c r="B15" s="269">
        <v>10</v>
      </c>
      <c r="C15" s="269" t="s">
        <v>18</v>
      </c>
      <c r="D15" s="269">
        <v>44</v>
      </c>
      <c r="E15" s="269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470</v>
      </c>
      <c r="F15" s="270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271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950</v>
      </c>
      <c r="H15" s="271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71</v>
      </c>
      <c r="I15" s="270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270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272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273">
        <f t="shared" si="1"/>
        <v>200</v>
      </c>
      <c r="M15" s="273">
        <f t="shared" si="0"/>
        <v>4</v>
      </c>
      <c r="N15" s="274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274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275">
        <f t="shared" si="2"/>
        <v>263.51812499999994</v>
      </c>
      <c r="Q15" s="276">
        <f t="shared" si="3"/>
        <v>733.51812499999994</v>
      </c>
    </row>
    <row r="16" spans="2:18" x14ac:dyDescent="0.3">
      <c r="B16" s="269">
        <v>11</v>
      </c>
      <c r="C16" s="269" t="s">
        <v>19</v>
      </c>
      <c r="D16" s="269">
        <v>43</v>
      </c>
      <c r="E16" s="269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470</v>
      </c>
      <c r="F16" s="270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271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271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270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1533.3199999999997</v>
      </c>
      <c r="J16" s="270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112</v>
      </c>
      <c r="K16" s="272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273">
        <f t="shared" si="1"/>
        <v>66.680000000000291</v>
      </c>
      <c r="M16" s="273">
        <f t="shared" si="0"/>
        <v>8</v>
      </c>
      <c r="N16" s="274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274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275">
        <f t="shared" si="2"/>
        <v>263.51812499999994</v>
      </c>
      <c r="Q16" s="276">
        <f t="shared" si="3"/>
        <v>733.51812499999994</v>
      </c>
    </row>
    <row r="17" spans="2:17" x14ac:dyDescent="0.3">
      <c r="B17" s="269">
        <v>12</v>
      </c>
      <c r="C17" s="269" t="s">
        <v>20</v>
      </c>
      <c r="D17" s="269">
        <v>43</v>
      </c>
      <c r="E17" s="269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470</v>
      </c>
      <c r="F17" s="270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271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271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270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3625</v>
      </c>
      <c r="J17" s="270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498</v>
      </c>
      <c r="K17" s="272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273">
        <f t="shared" si="1"/>
        <v>1375</v>
      </c>
      <c r="M17" s="273">
        <f t="shared" si="0"/>
        <v>330</v>
      </c>
      <c r="N17" s="274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274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275">
        <f t="shared" si="2"/>
        <v>263.51812499999994</v>
      </c>
      <c r="Q17" s="276">
        <f t="shared" si="3"/>
        <v>733.51812499999994</v>
      </c>
    </row>
    <row r="18" spans="2:17" x14ac:dyDescent="0.3">
      <c r="B18" s="269">
        <v>13</v>
      </c>
      <c r="C18" s="269" t="s">
        <v>339</v>
      </c>
      <c r="D18" s="269">
        <v>11</v>
      </c>
      <c r="E18" s="269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470</v>
      </c>
      <c r="F18" s="270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271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271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270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400</v>
      </c>
      <c r="J18" s="270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80</v>
      </c>
      <c r="K18" s="272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273">
        <f t="shared" si="1"/>
        <v>600</v>
      </c>
      <c r="M18" s="273">
        <f t="shared" si="0"/>
        <v>120</v>
      </c>
      <c r="N18" s="274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274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275">
        <f t="shared" si="2"/>
        <v>263.51812499999994</v>
      </c>
      <c r="Q18" s="276">
        <f t="shared" si="3"/>
        <v>733.51812499999994</v>
      </c>
    </row>
    <row r="19" spans="2:17" x14ac:dyDescent="0.3">
      <c r="B19" s="269">
        <v>14</v>
      </c>
      <c r="C19" s="269" t="s">
        <v>21</v>
      </c>
      <c r="D19" s="269">
        <v>43</v>
      </c>
      <c r="E19" s="269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470</v>
      </c>
      <c r="F19" s="270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271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271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270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3953.3300000000004</v>
      </c>
      <c r="J19" s="270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407</v>
      </c>
      <c r="K19" s="272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273">
        <f t="shared" si="1"/>
        <v>1666.6699999999996</v>
      </c>
      <c r="M19" s="273">
        <f t="shared" si="0"/>
        <v>600</v>
      </c>
      <c r="N19" s="274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274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275">
        <f t="shared" si="2"/>
        <v>263.51812499999994</v>
      </c>
      <c r="Q19" s="276">
        <f t="shared" si="3"/>
        <v>733.51812499999994</v>
      </c>
    </row>
    <row r="20" spans="2:17" x14ac:dyDescent="0.3">
      <c r="B20" s="269">
        <v>15</v>
      </c>
      <c r="C20" s="269" t="s">
        <v>22</v>
      </c>
      <c r="D20" s="269">
        <v>43</v>
      </c>
      <c r="E20" s="269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470</v>
      </c>
      <c r="F20" s="270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271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271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270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1800</v>
      </c>
      <c r="J20" s="270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274</v>
      </c>
      <c r="K20" s="272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273">
        <f t="shared" si="1"/>
        <v>0</v>
      </c>
      <c r="M20" s="273">
        <f t="shared" si="0"/>
        <v>0</v>
      </c>
      <c r="N20" s="274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274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275">
        <f t="shared" si="2"/>
        <v>263.51812499999994</v>
      </c>
      <c r="Q20" s="276">
        <f t="shared" si="3"/>
        <v>733.51812499999994</v>
      </c>
    </row>
    <row r="21" spans="2:17" x14ac:dyDescent="0.3">
      <c r="B21" s="269">
        <v>16</v>
      </c>
      <c r="C21" s="269" t="s">
        <v>23</v>
      </c>
      <c r="D21" s="269">
        <v>43</v>
      </c>
      <c r="E21" s="269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470</v>
      </c>
      <c r="F21" s="270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271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4500</v>
      </c>
      <c r="H21" s="271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316.2</v>
      </c>
      <c r="I21" s="270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3140.04</v>
      </c>
      <c r="J21" s="270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239.4</v>
      </c>
      <c r="K21" s="272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273">
        <f t="shared" si="1"/>
        <v>1359.96</v>
      </c>
      <c r="M21" s="273">
        <f t="shared" si="0"/>
        <v>76.799999999999983</v>
      </c>
      <c r="N21" s="274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274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275">
        <f t="shared" si="2"/>
        <v>263.51812499999994</v>
      </c>
      <c r="Q21" s="276">
        <f t="shared" si="3"/>
        <v>733.51812499999994</v>
      </c>
    </row>
    <row r="22" spans="2:17" x14ac:dyDescent="0.3">
      <c r="B22" s="269">
        <v>17</v>
      </c>
      <c r="C22" s="269" t="s">
        <v>337</v>
      </c>
      <c r="D22" s="269">
        <v>11</v>
      </c>
      <c r="E22" s="269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470</v>
      </c>
      <c r="F22" s="270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271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271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270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270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272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273">
        <f t="shared" si="1"/>
        <v>0</v>
      </c>
      <c r="M22" s="273">
        <f t="shared" si="0"/>
        <v>0</v>
      </c>
      <c r="N22" s="274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4</v>
      </c>
      <c r="O22" s="274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275">
        <f t="shared" si="2"/>
        <v>263.51812499999994</v>
      </c>
      <c r="Q22" s="276">
        <f t="shared" si="3"/>
        <v>733.51812499999994</v>
      </c>
    </row>
    <row r="23" spans="2:17" x14ac:dyDescent="0.3">
      <c r="B23" s="269">
        <v>18</v>
      </c>
      <c r="C23" s="269" t="s">
        <v>338</v>
      </c>
      <c r="D23" s="269">
        <v>11</v>
      </c>
      <c r="E23" s="269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470</v>
      </c>
      <c r="F23" s="270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271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271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270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270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272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273">
        <f t="shared" si="1"/>
        <v>0</v>
      </c>
      <c r="M23" s="273">
        <f t="shared" si="0"/>
        <v>0</v>
      </c>
      <c r="N23" s="274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4</v>
      </c>
      <c r="O23" s="274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275">
        <f t="shared" si="2"/>
        <v>263.51812499999994</v>
      </c>
      <c r="Q23" s="276">
        <f t="shared" si="3"/>
        <v>733.51812499999994</v>
      </c>
    </row>
    <row r="24" spans="2:17" x14ac:dyDescent="0.3">
      <c r="B24" t="s">
        <v>260</v>
      </c>
      <c r="D24">
        <v>596</v>
      </c>
      <c r="E24" s="277">
        <f>+SUM(E6:E23)</f>
        <v>7520</v>
      </c>
      <c r="F24" s="277">
        <f>+SUM(F6:F23)</f>
        <v>460</v>
      </c>
      <c r="G24" s="278">
        <f t="shared" ref="G24:K24" si="4">+SUM(G6:G23)</f>
        <v>45370</v>
      </c>
      <c r="H24" s="278">
        <f t="shared" si="4"/>
        <v>6160.5999999999995</v>
      </c>
      <c r="I24" s="277">
        <f t="shared" si="4"/>
        <v>37861.700000000004</v>
      </c>
      <c r="J24" s="277">
        <f t="shared" si="4"/>
        <v>4099.8</v>
      </c>
      <c r="K24" s="279">
        <f t="shared" si="4"/>
        <v>434</v>
      </c>
      <c r="L24" s="280">
        <f t="shared" ref="L24" si="5">+SUM(L6:L23)</f>
        <v>7508.3</v>
      </c>
      <c r="M24" s="280">
        <f t="shared" ref="M24:Q24" si="6">+SUM(M6:M23)</f>
        <v>1626.8</v>
      </c>
      <c r="N24" s="277">
        <f t="shared" si="6"/>
        <v>244.69999999999993</v>
      </c>
      <c r="O24" s="277">
        <f t="shared" si="6"/>
        <v>1755.01</v>
      </c>
      <c r="P24" s="277">
        <f t="shared" si="6"/>
        <v>4216.29</v>
      </c>
      <c r="Q24" s="277">
        <f t="shared" si="6"/>
        <v>11736.289999999999</v>
      </c>
    </row>
    <row r="26" spans="2:17" x14ac:dyDescent="0.3">
      <c r="J26" s="74"/>
    </row>
    <row r="27" spans="2:17" x14ac:dyDescent="0.3">
      <c r="I27" s="74"/>
      <c r="M27" s="281"/>
    </row>
    <row r="28" spans="2:17" x14ac:dyDescent="0.3">
      <c r="L28" s="281"/>
    </row>
  </sheetData>
  <sheetProtection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79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zoomScaleNormal="100" workbookViewId="0">
      <selection activeCell="M28" sqref="M28"/>
    </sheetView>
  </sheetViews>
  <sheetFormatPr baseColWidth="10" defaultColWidth="10.88671875" defaultRowHeight="14.4" x14ac:dyDescent="0.3"/>
  <cols>
    <col min="1" max="1" width="3" style="313" customWidth="1"/>
    <col min="2" max="2" width="20.44140625" style="313" bestFit="1" customWidth="1"/>
    <col min="3" max="3" width="16" style="313" bestFit="1" customWidth="1"/>
    <col min="4" max="4" width="17.33203125" style="313" bestFit="1" customWidth="1"/>
    <col min="5" max="5" width="11.6640625" style="313" bestFit="1" customWidth="1"/>
    <col min="6" max="6" width="2.88671875" style="313" customWidth="1"/>
    <col min="7" max="7" width="7.5546875" style="313" customWidth="1"/>
    <col min="8" max="8" width="12.44140625" style="313" bestFit="1" customWidth="1"/>
    <col min="9" max="9" width="13" style="313" customWidth="1"/>
    <col min="10" max="10" width="10.6640625" style="313" bestFit="1" customWidth="1"/>
    <col min="11" max="11" width="9.6640625" style="313" bestFit="1" customWidth="1"/>
    <col min="12" max="12" width="1.6640625" style="313" customWidth="1"/>
    <col min="13" max="13" width="11" style="313" bestFit="1" customWidth="1"/>
    <col min="14" max="14" width="12.33203125" style="313" hidden="1" customWidth="1"/>
    <col min="15" max="15" width="10.88671875" style="313" hidden="1" customWidth="1"/>
    <col min="16" max="16" width="12.33203125" style="313" bestFit="1" customWidth="1"/>
    <col min="17" max="17" width="12.44140625" style="313" bestFit="1" customWidth="1"/>
    <col min="18" max="18" width="11.6640625" style="313" bestFit="1" customWidth="1"/>
    <col min="19" max="19" width="10" style="313" bestFit="1" customWidth="1"/>
    <col min="20" max="20" width="3.6640625" style="313" customWidth="1"/>
    <col min="21" max="21" width="10.88671875" style="313" customWidth="1"/>
    <col min="22" max="22" width="2" style="313" customWidth="1"/>
    <col min="23" max="28" width="10.88671875" style="313" customWidth="1"/>
    <col min="29" max="29" width="10.88671875" style="313" hidden="1" customWidth="1"/>
    <col min="30" max="30" width="12.5546875" style="313" hidden="1" customWidth="1"/>
    <col min="31" max="34" width="10.88671875" style="313" hidden="1" customWidth="1"/>
    <col min="35" max="16384" width="10.88671875" style="313"/>
  </cols>
  <sheetData>
    <row r="1" spans="1:34 16375:16375" ht="8.25" customHeight="1" thickTop="1" thickBot="1" x14ac:dyDescent="0.35">
      <c r="A1" s="356"/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8"/>
      <c r="XEU1" s="313" t="s">
        <v>441</v>
      </c>
    </row>
    <row r="2" spans="1:34 16375:16375" ht="15.6" thickTop="1" thickBot="1" x14ac:dyDescent="0.35">
      <c r="A2" s="323"/>
      <c r="B2" s="378" t="s">
        <v>92</v>
      </c>
      <c r="C2" s="379"/>
      <c r="D2" s="180" t="s">
        <v>392</v>
      </c>
      <c r="E2" s="361">
        <v>46096</v>
      </c>
      <c r="F2" s="302"/>
      <c r="G2" s="302"/>
      <c r="H2" s="302"/>
      <c r="I2" s="302"/>
      <c r="J2" s="302"/>
      <c r="K2" s="302"/>
      <c r="L2" s="302"/>
      <c r="M2" s="328" t="s">
        <v>132</v>
      </c>
      <c r="N2" s="328" t="s">
        <v>133</v>
      </c>
      <c r="O2" s="328" t="s">
        <v>134</v>
      </c>
      <c r="P2" s="328" t="s">
        <v>135</v>
      </c>
      <c r="Q2" s="328" t="s">
        <v>136</v>
      </c>
      <c r="R2" s="328" t="s">
        <v>137</v>
      </c>
      <c r="S2" s="328" t="s">
        <v>138</v>
      </c>
      <c r="T2" s="302"/>
      <c r="U2" s="352"/>
      <c r="V2" s="319"/>
      <c r="AC2" s="353" t="s">
        <v>130</v>
      </c>
      <c r="AD2" s="353"/>
      <c r="AE2" s="353"/>
      <c r="AF2" s="353"/>
      <c r="AG2" s="353"/>
      <c r="AH2" s="354"/>
    </row>
    <row r="3" spans="1:34 16375:16375" ht="15.6" thickTop="1" thickBot="1" x14ac:dyDescent="0.35">
      <c r="A3" s="323"/>
      <c r="B3" s="380"/>
      <c r="C3" s="381"/>
      <c r="D3" s="180" t="s">
        <v>393</v>
      </c>
      <c r="E3" s="361">
        <v>44788</v>
      </c>
      <c r="F3" s="302"/>
      <c r="G3" s="61" t="s">
        <v>92</v>
      </c>
      <c r="H3" s="62"/>
      <c r="I3" s="62"/>
      <c r="J3" s="355"/>
      <c r="K3" s="302"/>
      <c r="L3" s="302"/>
      <c r="M3" s="328" t="s">
        <v>130</v>
      </c>
      <c r="N3" s="328"/>
      <c r="O3" s="328"/>
      <c r="P3" s="328"/>
      <c r="Q3" s="328"/>
      <c r="R3" s="329"/>
      <c r="S3" s="302"/>
      <c r="T3" s="302"/>
      <c r="U3" s="318"/>
      <c r="V3" s="319"/>
      <c r="AC3" s="320">
        <v>100</v>
      </c>
      <c r="AD3" s="350">
        <f t="shared" ref="AD3:AD8" si="0">10000*$AC3</f>
        <v>1000000</v>
      </c>
      <c r="AE3" s="350">
        <f t="shared" ref="AE3:AE8" si="1">1000*$AC3</f>
        <v>100000</v>
      </c>
      <c r="AF3" s="350">
        <f t="shared" ref="AF3:AF8" si="2">100*$AC3</f>
        <v>10000</v>
      </c>
      <c r="AG3" s="350">
        <f t="shared" ref="AG3:AG8" si="3">10*$AC3</f>
        <v>1000</v>
      </c>
      <c r="AH3" s="350">
        <f t="shared" ref="AH3:AH8" si="4">+$AC3*1</f>
        <v>100</v>
      </c>
    </row>
    <row r="4" spans="1:34 16375:16375" ht="15.6" thickTop="1" thickBot="1" x14ac:dyDescent="0.35">
      <c r="A4" s="323"/>
      <c r="B4" s="382"/>
      <c r="C4" s="383"/>
      <c r="D4" s="180" t="s">
        <v>391</v>
      </c>
      <c r="E4" s="361">
        <v>46126</v>
      </c>
      <c r="F4" s="302"/>
      <c r="G4" s="60" t="s">
        <v>113</v>
      </c>
      <c r="H4" s="2"/>
      <c r="I4" s="2"/>
      <c r="J4" s="69">
        <f>IF(OR(E2="",E3="",E4=""),"",SUMIFS(APORTACIONESOCIOS[APORTE],APORTACIONESOCIOS[FECHA],"&gt;="&amp;$E$2,APORTACIONESOCIOS[FECHA],"&lt;="&amp;$E$4))</f>
        <v>320</v>
      </c>
      <c r="K4" s="302"/>
      <c r="L4" s="302"/>
      <c r="M4" s="330">
        <v>20</v>
      </c>
      <c r="N4" s="331">
        <v>200000</v>
      </c>
      <c r="O4" s="331">
        <v>20000</v>
      </c>
      <c r="P4" s="360">
        <v>1</v>
      </c>
      <c r="Q4" s="360"/>
      <c r="R4" s="360">
        <v>7</v>
      </c>
      <c r="S4" s="359">
        <f>SUM(P4*100+Q4*10+R4*1)</f>
        <v>107</v>
      </c>
      <c r="T4" s="302"/>
      <c r="U4" s="318"/>
      <c r="V4" s="319"/>
      <c r="AC4" s="320">
        <v>50</v>
      </c>
      <c r="AD4" s="350">
        <f t="shared" si="0"/>
        <v>500000</v>
      </c>
      <c r="AE4" s="350">
        <f t="shared" si="1"/>
        <v>50000</v>
      </c>
      <c r="AF4" s="350">
        <f t="shared" si="2"/>
        <v>5000</v>
      </c>
      <c r="AG4" s="350">
        <f t="shared" si="3"/>
        <v>500</v>
      </c>
      <c r="AH4" s="350">
        <f t="shared" si="4"/>
        <v>50</v>
      </c>
    </row>
    <row r="5" spans="1:34 16375:16375" ht="15.6" thickTop="1" thickBot="1" x14ac:dyDescent="0.35">
      <c r="A5" s="323"/>
      <c r="B5" s="60" t="s">
        <v>91</v>
      </c>
      <c r="C5" s="2"/>
      <c r="D5" s="2"/>
      <c r="E5" s="117">
        <f>IF(OR(E2="",E3="",E4=""),"",SUMIFS(APORTACIONESOCIOS[APORTE],APORTACIONESOCIOS[FECHA],"&gt;="&amp;$E$3,APORTACIONESOCIOS[FECHA],"&lt;="&amp;$E$4))</f>
        <v>7520</v>
      </c>
      <c r="F5" s="302"/>
      <c r="G5" s="60" t="s">
        <v>102</v>
      </c>
      <c r="H5" s="2"/>
      <c r="I5" s="2"/>
      <c r="J5" s="349">
        <f>IF(OR(E2="",E3="",E4=""),"",E9)</f>
        <v>660</v>
      </c>
      <c r="K5" s="302"/>
      <c r="L5" s="302"/>
      <c r="M5" s="330">
        <v>10</v>
      </c>
      <c r="N5" s="331">
        <v>100000</v>
      </c>
      <c r="O5" s="331">
        <v>10000</v>
      </c>
      <c r="P5" s="360"/>
      <c r="Q5" s="360"/>
      <c r="R5" s="360">
        <v>1</v>
      </c>
      <c r="S5" s="359">
        <f>SUM(P5*100+Q5*10+R5*1)</f>
        <v>1</v>
      </c>
      <c r="T5" s="302"/>
      <c r="U5" s="318"/>
      <c r="V5" s="319"/>
      <c r="AC5" s="320">
        <v>20</v>
      </c>
      <c r="AD5" s="350">
        <f t="shared" si="0"/>
        <v>200000</v>
      </c>
      <c r="AE5" s="350">
        <f t="shared" si="1"/>
        <v>20000</v>
      </c>
      <c r="AF5" s="350">
        <f t="shared" si="2"/>
        <v>2000</v>
      </c>
      <c r="AG5" s="350">
        <f t="shared" si="3"/>
        <v>200</v>
      </c>
      <c r="AH5" s="350">
        <f t="shared" si="4"/>
        <v>20</v>
      </c>
    </row>
    <row r="6" spans="1:34 16375:16375" ht="15.6" thickTop="1" thickBot="1" x14ac:dyDescent="0.35">
      <c r="A6" s="323"/>
      <c r="B6" s="61" t="s">
        <v>168</v>
      </c>
      <c r="C6" s="62"/>
      <c r="D6" s="62"/>
      <c r="E6" s="123"/>
      <c r="F6" s="302"/>
      <c r="G6" s="60" t="s">
        <v>439</v>
      </c>
      <c r="H6" s="2"/>
      <c r="I6" s="2"/>
      <c r="J6" s="351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>929.43999999999994</v>
      </c>
      <c r="K6" s="302"/>
      <c r="L6" s="302"/>
      <c r="M6" s="330">
        <v>5</v>
      </c>
      <c r="N6" s="331">
        <v>50000</v>
      </c>
      <c r="O6" s="331">
        <v>5000</v>
      </c>
      <c r="P6" s="360"/>
      <c r="Q6" s="360"/>
      <c r="R6" s="360"/>
      <c r="S6" s="359">
        <f>SUM(P6*100+Q6*10+R6*1)</f>
        <v>0</v>
      </c>
      <c r="T6" s="302"/>
      <c r="U6" s="318"/>
      <c r="V6" s="319"/>
      <c r="AC6" s="320">
        <v>10</v>
      </c>
      <c r="AD6" s="350">
        <f t="shared" si="0"/>
        <v>100000</v>
      </c>
      <c r="AE6" s="350">
        <f t="shared" si="1"/>
        <v>10000</v>
      </c>
      <c r="AF6" s="350">
        <f t="shared" si="2"/>
        <v>1000</v>
      </c>
      <c r="AG6" s="350">
        <f t="shared" si="3"/>
        <v>100</v>
      </c>
      <c r="AH6" s="350">
        <f t="shared" si="4"/>
        <v>10</v>
      </c>
    </row>
    <row r="7" spans="1:34 16375:16375" ht="15" thickTop="1" x14ac:dyDescent="0.3">
      <c r="A7" s="323"/>
      <c r="B7" s="121" t="s">
        <v>224</v>
      </c>
      <c r="C7" s="2"/>
      <c r="D7" s="2"/>
      <c r="E7" s="116">
        <f>IF(OR(E2="",E3="",E4=""),"",SUMIFS(PRESTAMOS[MONTO AMORTIZACION],PRESTAMOS[REG],"&lt;&gt;AYUDA*",PRESTAMOS[FECHA DEL PRESTAMO],"&gt;="&amp;$E$3,PRESTAMOS[FECHA DEL PRESTAMO],"&lt;="&amp;$E$4))</f>
        <v>45370</v>
      </c>
      <c r="F7" s="302"/>
      <c r="G7" s="60" t="s">
        <v>440</v>
      </c>
      <c r="H7" s="2"/>
      <c r="I7" s="2"/>
      <c r="J7" s="351">
        <f>IF(OR(E2="",E3="",E4=""),"",SUMIFS(PAGOS[PAGO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MONTO],"&lt;="&amp;$E$4))</f>
        <v>0</v>
      </c>
      <c r="K7" s="302"/>
      <c r="L7" s="302"/>
      <c r="M7" s="330">
        <v>1</v>
      </c>
      <c r="N7" s="331">
        <v>10000</v>
      </c>
      <c r="O7" s="331">
        <v>1000</v>
      </c>
      <c r="P7" s="360"/>
      <c r="Q7" s="360"/>
      <c r="R7" s="360"/>
      <c r="S7" s="359">
        <f>SUM(P7*100+Q7*10+R7*1)</f>
        <v>0</v>
      </c>
      <c r="T7" s="302"/>
      <c r="U7" s="318"/>
      <c r="V7" s="319"/>
      <c r="AC7" s="320">
        <v>5</v>
      </c>
      <c r="AD7" s="350">
        <f t="shared" si="0"/>
        <v>50000</v>
      </c>
      <c r="AE7" s="350">
        <f t="shared" si="1"/>
        <v>5000</v>
      </c>
      <c r="AF7" s="350">
        <f t="shared" si="2"/>
        <v>500</v>
      </c>
      <c r="AG7" s="350">
        <f t="shared" si="3"/>
        <v>50</v>
      </c>
      <c r="AH7" s="350">
        <f t="shared" si="4"/>
        <v>5</v>
      </c>
    </row>
    <row r="8" spans="1:34 16375:16375" x14ac:dyDescent="0.3">
      <c r="A8" s="323"/>
      <c r="B8" s="122" t="s">
        <v>225</v>
      </c>
      <c r="C8" s="2"/>
      <c r="D8" s="2"/>
      <c r="E8" s="68">
        <f>IF(OR(E2="",E3="",E4=""),"",SUMIFS(PRESTAMOS[MONTO AMORTIZACION],PRESTAMOS[REG],"AYUDA*",PRESTAMOS[FECHA DEL PRESTAMO],"&gt;="&amp;$E$3,PRESTAMOS[FECHA DEL PRESTAMO],"&lt;="&amp;$E$4))</f>
        <v>460</v>
      </c>
      <c r="F8" s="302"/>
      <c r="G8" s="60" t="s">
        <v>104</v>
      </c>
      <c r="H8" s="2"/>
      <c r="I8" s="2"/>
      <c r="J8" s="349">
        <f>IF(OR(E2="",E3="",E4=""),"",E11)</f>
        <v>46.800000000000004</v>
      </c>
      <c r="K8" s="302"/>
      <c r="L8" s="302"/>
      <c r="M8" s="333" t="s">
        <v>131</v>
      </c>
      <c r="N8" s="334"/>
      <c r="O8" s="334"/>
      <c r="P8" s="334"/>
      <c r="Q8" s="334"/>
      <c r="R8" s="335"/>
      <c r="S8" s="302"/>
      <c r="T8" s="302"/>
      <c r="U8" s="318"/>
      <c r="V8" s="319"/>
      <c r="AC8" s="320">
        <v>1</v>
      </c>
      <c r="AD8" s="350">
        <f t="shared" si="0"/>
        <v>10000</v>
      </c>
      <c r="AE8" s="350">
        <f t="shared" si="1"/>
        <v>1000</v>
      </c>
      <c r="AF8" s="350">
        <f t="shared" si="2"/>
        <v>100</v>
      </c>
      <c r="AG8" s="350">
        <f t="shared" si="3"/>
        <v>10</v>
      </c>
      <c r="AH8" s="350">
        <f t="shared" si="4"/>
        <v>1</v>
      </c>
    </row>
    <row r="9" spans="1:34 16375:16375" ht="15" thickBot="1" x14ac:dyDescent="0.35">
      <c r="A9" s="323"/>
      <c r="B9" s="60" t="s">
        <v>102</v>
      </c>
      <c r="C9" s="2"/>
      <c r="D9" s="2"/>
      <c r="E9" s="69">
        <f>IF(OR(E2="",E3="",E4=""),"",SUMIFS(PRESTAMOS[MONTO AMORTIZACION],PRESTAMOS[REG],"&lt;&gt;""",PRESTAMOS[FECHA DEL PRESTAMO],"&gt;="&amp;$E$2,PRESTAMOS[FECHA DEL PRESTAMO],"&lt;="&amp;$E$4))</f>
        <v>660</v>
      </c>
      <c r="F9" s="302"/>
      <c r="G9" s="60" t="s">
        <v>105</v>
      </c>
      <c r="H9" s="2"/>
      <c r="I9" s="2"/>
      <c r="J9" s="348">
        <f>IF(OR(E2="",E3="",E4=""),"",E17-SUMIFS(PAGOS[PAGO DEL INTERES],PAGOS[COMENTARIO],"*REEPRESTAMO*",PAGOS[REG],"&lt;&gt;EGRESO*",PAGOS[FECHA PAGO INTERES],"&gt;="&amp;$E$2,PAGOS[FECHA PAGO INTERES],"&lt;="&amp;$E$4))</f>
        <v>208</v>
      </c>
      <c r="K9" s="302"/>
      <c r="L9" s="302"/>
      <c r="M9" s="330">
        <v>1</v>
      </c>
      <c r="N9" s="336">
        <v>10000</v>
      </c>
      <c r="O9" s="336">
        <v>1000</v>
      </c>
      <c r="P9" s="363"/>
      <c r="Q9" s="363"/>
      <c r="R9" s="363">
        <v>8</v>
      </c>
      <c r="S9" s="359">
        <f t="shared" ref="S9:S14" si="5">SUM(P9*100+Q9*10+R9*1)</f>
        <v>8</v>
      </c>
      <c r="T9" s="302"/>
      <c r="U9" s="318"/>
      <c r="V9" s="319"/>
      <c r="AC9" s="345" t="s">
        <v>131</v>
      </c>
      <c r="AD9" s="346"/>
      <c r="AE9" s="346"/>
      <c r="AF9" s="346"/>
      <c r="AG9" s="346"/>
      <c r="AH9" s="347"/>
    </row>
    <row r="10" spans="1:34 16375:16375" ht="15.6" thickTop="1" thickBot="1" x14ac:dyDescent="0.35">
      <c r="A10" s="323"/>
      <c r="B10" s="122" t="s">
        <v>226</v>
      </c>
      <c r="C10" s="2"/>
      <c r="D10" s="2"/>
      <c r="E10" s="124">
        <f>IF(OR(E2="",E3="",E4=""),"",SUMIFS(PRESTAMOS[T. INT],PRESTAMOS[REG],"&lt;&gt;AYUDA*",PRESTAMOS[FECHA DEL PRESTAMO],"&gt;="&amp;$E$3,PRESTAMOS[FECHA DEL PRESTAMO],"&lt;="&amp;$E$4))</f>
        <v>6160.6</v>
      </c>
      <c r="F10" s="302"/>
      <c r="G10" s="64" t="s">
        <v>116</v>
      </c>
      <c r="H10" s="65"/>
      <c r="I10" s="65"/>
      <c r="J10" s="362">
        <v>1803.75</v>
      </c>
      <c r="K10" s="303"/>
      <c r="L10" s="302"/>
      <c r="M10" s="330">
        <v>0.5</v>
      </c>
      <c r="N10" s="331">
        <v>5000</v>
      </c>
      <c r="O10" s="331">
        <v>500</v>
      </c>
      <c r="P10" s="360"/>
      <c r="Q10" s="360"/>
      <c r="R10" s="360"/>
      <c r="S10" s="359">
        <f t="shared" si="5"/>
        <v>0</v>
      </c>
      <c r="T10" s="302"/>
      <c r="U10" s="318"/>
      <c r="V10" s="319"/>
      <c r="AC10" s="320">
        <v>1</v>
      </c>
      <c r="AD10" s="321">
        <f t="shared" ref="AD10:AD15" si="6">$AC10*10000</f>
        <v>10000</v>
      </c>
      <c r="AE10" s="321">
        <f t="shared" ref="AE10:AE15" si="7">$AC10*1000</f>
        <v>1000</v>
      </c>
      <c r="AF10" s="321">
        <f t="shared" ref="AF10:AF15" si="8">$AC10*100</f>
        <v>100</v>
      </c>
      <c r="AG10" s="321">
        <f t="shared" ref="AG10:AG15" si="9">$AC10*10</f>
        <v>10</v>
      </c>
      <c r="AH10" s="321">
        <f t="shared" ref="AH10:AH15" si="10">$AC10*1</f>
        <v>1</v>
      </c>
    </row>
    <row r="11" spans="1:34 16375:16375" ht="15.6" thickTop="1" thickBot="1" x14ac:dyDescent="0.35">
      <c r="A11" s="323"/>
      <c r="B11" s="60" t="s">
        <v>104</v>
      </c>
      <c r="C11" s="2"/>
      <c r="D11" s="2"/>
      <c r="E11" s="69">
        <f>IF(OR(E2="",E3="",E4=""),"",SUMIFS(PRESTAMOS[T. INT],PRESTAMOS[REG],"&lt;&gt;AYUDA*",PRESTAMOS[FECHA DEL PRESTAMO],"&gt;="&amp;$E$2,PRESTAMOS[FECHA DEL PRESTAMO],"&lt;="&amp;$E$4))</f>
        <v>46.800000000000004</v>
      </c>
      <c r="F11" s="302"/>
      <c r="G11" s="337" t="s">
        <v>114</v>
      </c>
      <c r="H11" s="338"/>
      <c r="I11" s="338"/>
      <c r="J11" s="339">
        <f>IF(OR(E2="",E3="",E4=""),"",J4+J6+J9+J10+J7)</f>
        <v>3261.19</v>
      </c>
      <c r="K11" s="303"/>
      <c r="L11" s="302"/>
      <c r="M11" s="330">
        <v>0.25</v>
      </c>
      <c r="N11" s="331">
        <v>2000</v>
      </c>
      <c r="O11" s="331">
        <v>200</v>
      </c>
      <c r="P11" s="360"/>
      <c r="Q11" s="360"/>
      <c r="R11" s="360">
        <v>4</v>
      </c>
      <c r="S11" s="359">
        <f t="shared" si="5"/>
        <v>4</v>
      </c>
      <c r="T11" s="302"/>
      <c r="U11" s="318"/>
      <c r="V11" s="319"/>
      <c r="AC11" s="320">
        <v>0.5</v>
      </c>
      <c r="AD11" s="321">
        <f t="shared" si="6"/>
        <v>5000</v>
      </c>
      <c r="AE11" s="321">
        <f t="shared" si="7"/>
        <v>500</v>
      </c>
      <c r="AF11" s="321">
        <f t="shared" si="8"/>
        <v>50</v>
      </c>
      <c r="AG11" s="321">
        <f t="shared" si="9"/>
        <v>5</v>
      </c>
      <c r="AH11" s="321">
        <f t="shared" si="10"/>
        <v>0.5</v>
      </c>
    </row>
    <row r="12" spans="1:34 16375:16375" ht="15.6" thickTop="1" thickBot="1" x14ac:dyDescent="0.35">
      <c r="A12" s="323"/>
      <c r="B12" s="125" t="s">
        <v>39</v>
      </c>
      <c r="C12" s="62"/>
      <c r="D12" s="62"/>
      <c r="E12" s="123"/>
      <c r="F12" s="302"/>
      <c r="G12" s="340" t="s">
        <v>115</v>
      </c>
      <c r="H12" s="2"/>
      <c r="I12" s="2"/>
      <c r="J12" s="341">
        <f>IF(OR(E2="",E3="",E4=""),"",J5)</f>
        <v>660</v>
      </c>
      <c r="K12" s="302"/>
      <c r="L12" s="302"/>
      <c r="M12" s="330">
        <v>0.1</v>
      </c>
      <c r="N12" s="331">
        <v>1000</v>
      </c>
      <c r="O12" s="331">
        <v>100</v>
      </c>
      <c r="P12" s="360"/>
      <c r="Q12" s="360">
        <v>1</v>
      </c>
      <c r="R12" s="360">
        <v>6</v>
      </c>
      <c r="S12" s="359">
        <f t="shared" si="5"/>
        <v>16</v>
      </c>
      <c r="T12" s="302"/>
      <c r="U12" s="318"/>
      <c r="V12" s="319"/>
      <c r="AC12" s="320">
        <v>0.25</v>
      </c>
      <c r="AD12" s="321">
        <f t="shared" si="6"/>
        <v>2500</v>
      </c>
      <c r="AE12" s="321">
        <f t="shared" si="7"/>
        <v>250</v>
      </c>
      <c r="AF12" s="321">
        <f t="shared" si="8"/>
        <v>25</v>
      </c>
      <c r="AG12" s="321">
        <f t="shared" si="9"/>
        <v>2.5</v>
      </c>
      <c r="AH12" s="321">
        <f t="shared" si="10"/>
        <v>0.25</v>
      </c>
    </row>
    <row r="13" spans="1:34 16375:16375" ht="15.6" thickTop="1" thickBot="1" x14ac:dyDescent="0.35">
      <c r="A13" s="323"/>
      <c r="B13" s="60" t="s">
        <v>100</v>
      </c>
      <c r="C13" s="2"/>
      <c r="D13" s="2"/>
      <c r="E13" s="232">
        <f>IF(OR(E2="",E3="",E4=""),"",SUMIFS(PAGOS[PAGO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INTERES],"&lt;="&amp;$E$4))</f>
        <v>37861.699999999983</v>
      </c>
      <c r="F13" s="302"/>
      <c r="G13" s="342" t="s">
        <v>127</v>
      </c>
      <c r="H13" s="343"/>
      <c r="I13" s="343"/>
      <c r="J13" s="344">
        <f>IF(OR(E2="",E3="",E4=""),"",J11-J12)</f>
        <v>2601.19</v>
      </c>
      <c r="K13" s="303"/>
      <c r="L13" s="302"/>
      <c r="M13" s="330">
        <v>0.05</v>
      </c>
      <c r="N13" s="331">
        <v>500</v>
      </c>
      <c r="O13" s="331">
        <v>50</v>
      </c>
      <c r="P13" s="360"/>
      <c r="Q13" s="360"/>
      <c r="R13" s="360">
        <v>9</v>
      </c>
      <c r="S13" s="359">
        <f t="shared" si="5"/>
        <v>9</v>
      </c>
      <c r="T13" s="302"/>
      <c r="U13" s="318"/>
      <c r="V13" s="319"/>
      <c r="AC13" s="320">
        <v>0.1</v>
      </c>
      <c r="AD13" s="321">
        <f t="shared" si="6"/>
        <v>1000</v>
      </c>
      <c r="AE13" s="321">
        <f t="shared" si="7"/>
        <v>100</v>
      </c>
      <c r="AF13" s="321">
        <f t="shared" si="8"/>
        <v>10</v>
      </c>
      <c r="AG13" s="321">
        <f t="shared" si="9"/>
        <v>1</v>
      </c>
      <c r="AH13" s="321">
        <f t="shared" si="10"/>
        <v>0.1</v>
      </c>
    </row>
    <row r="14" spans="1:34 16375:16375" ht="15" thickTop="1" x14ac:dyDescent="0.3">
      <c r="A14" s="323"/>
      <c r="B14" s="60" t="s">
        <v>103</v>
      </c>
      <c r="C14" s="2"/>
      <c r="D14" s="2"/>
      <c r="E14" s="69">
        <f>IF(OR(E2="",E3="",E4=""),"",SUMIFS(PAGOS[PAGO DEL MONTO],PAGOS[REG],"&lt;&gt;EGRESO*",PAGOS[FECHA PAGO DEL MONTO],"&gt;="&amp;$E$2,PAGOS[FECHA PAGO DEL MONTO],"&lt;="&amp;$E$4))</f>
        <v>929.43999999999994</v>
      </c>
      <c r="F14" s="302"/>
      <c r="G14" s="302"/>
      <c r="H14" s="302"/>
      <c r="I14" s="302"/>
      <c r="J14" s="302"/>
      <c r="K14" s="303"/>
      <c r="L14" s="302"/>
      <c r="M14" s="330">
        <v>0.01</v>
      </c>
      <c r="N14" s="331">
        <v>100</v>
      </c>
      <c r="O14" s="331">
        <v>10</v>
      </c>
      <c r="P14" s="360"/>
      <c r="Q14" s="360">
        <v>1</v>
      </c>
      <c r="R14" s="360">
        <v>4</v>
      </c>
      <c r="S14" s="359">
        <f t="shared" si="5"/>
        <v>14</v>
      </c>
      <c r="T14" s="302"/>
      <c r="U14" s="318"/>
      <c r="V14" s="319"/>
      <c r="AC14" s="320">
        <v>0.05</v>
      </c>
      <c r="AD14" s="321">
        <f t="shared" si="6"/>
        <v>500</v>
      </c>
      <c r="AE14" s="321">
        <f t="shared" si="7"/>
        <v>50</v>
      </c>
      <c r="AF14" s="321">
        <f t="shared" si="8"/>
        <v>5</v>
      </c>
      <c r="AG14" s="321">
        <f t="shared" si="9"/>
        <v>0.5</v>
      </c>
      <c r="AH14" s="321">
        <f t="shared" si="10"/>
        <v>0.05</v>
      </c>
    </row>
    <row r="15" spans="1:34 16375:16375" ht="15" thickBot="1" x14ac:dyDescent="0.35">
      <c r="A15" s="323"/>
      <c r="B15" s="73" t="s">
        <v>95</v>
      </c>
      <c r="C15" s="72"/>
      <c r="D15" s="63"/>
      <c r="E15" s="71">
        <f>IF(OR(E2="",E3="",E4=""),"",E7-E13)</f>
        <v>7508.3000000000175</v>
      </c>
      <c r="F15" s="302"/>
      <c r="G15" s="324" t="s">
        <v>139</v>
      </c>
      <c r="H15" s="325">
        <f>K16+K21</f>
        <v>2161.19</v>
      </c>
      <c r="I15" s="326"/>
      <c r="J15" s="326"/>
      <c r="K15" s="327"/>
      <c r="L15" s="302"/>
      <c r="M15" s="302"/>
      <c r="N15" s="302"/>
      <c r="O15" s="302"/>
      <c r="P15" s="302"/>
      <c r="Q15" s="302"/>
      <c r="R15" s="304"/>
      <c r="S15" s="302"/>
      <c r="T15" s="302"/>
      <c r="U15" s="318"/>
      <c r="V15" s="319"/>
      <c r="AC15" s="320">
        <v>0.01</v>
      </c>
      <c r="AD15" s="321">
        <f t="shared" si="6"/>
        <v>100</v>
      </c>
      <c r="AE15" s="321">
        <f t="shared" si="7"/>
        <v>10</v>
      </c>
      <c r="AF15" s="321">
        <f t="shared" si="8"/>
        <v>1</v>
      </c>
      <c r="AG15" s="321">
        <f t="shared" si="9"/>
        <v>0.1</v>
      </c>
      <c r="AH15" s="321">
        <f t="shared" si="10"/>
        <v>0.01</v>
      </c>
    </row>
    <row r="16" spans="1:34 16375:16375" ht="15" thickTop="1" x14ac:dyDescent="0.3">
      <c r="A16" s="323"/>
      <c r="B16" s="60" t="s">
        <v>101</v>
      </c>
      <c r="C16" s="2"/>
      <c r="D16" s="2"/>
      <c r="E16" s="232">
        <f>IF(OR(E2="",E3="",E4=""),"",SUMIFS(PAGOS[PAGO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INTERES],"&lt;="&amp;$E$4))</f>
        <v>4533.7999999999993</v>
      </c>
      <c r="F16" s="302"/>
      <c r="G16" s="328" t="s">
        <v>130</v>
      </c>
      <c r="H16" s="328"/>
      <c r="I16" s="328"/>
      <c r="J16" s="329"/>
      <c r="K16" s="330">
        <f>SUM(K17:K20)</f>
        <v>2150</v>
      </c>
      <c r="L16" s="302"/>
      <c r="M16" s="305"/>
      <c r="N16" s="364"/>
      <c r="O16" s="364"/>
      <c r="P16" s="365">
        <f>+IFERROR(J13-H15,"")</f>
        <v>440</v>
      </c>
      <c r="Q16" s="364"/>
      <c r="R16" s="366"/>
      <c r="S16" s="364"/>
      <c r="T16" s="302"/>
      <c r="U16" s="318"/>
      <c r="V16" s="319"/>
    </row>
    <row r="17" spans="1:22" x14ac:dyDescent="0.3">
      <c r="A17" s="323"/>
      <c r="B17" s="60" t="s">
        <v>105</v>
      </c>
      <c r="C17" s="2"/>
      <c r="D17" s="2"/>
      <c r="E17" s="69">
        <f>IF(OR(E2="",E3="",E4=""),"",SUMIFS(PAGOS[PAGO DEL INTERES],PAGOS[REG],"&lt;&gt;EGRESO*",PAGOS[FECHA PAGO INTERES],"&gt;="&amp;$E$2,PAGOS[FECHA PAGO INTERES],"&lt;="&amp;$E$4))</f>
        <v>208</v>
      </c>
      <c r="F17" s="302"/>
      <c r="G17" s="330">
        <v>20</v>
      </c>
      <c r="H17" s="331">
        <f t="shared" ref="H17:J20" si="11">AF5*P4</f>
        <v>2000</v>
      </c>
      <c r="I17" s="331">
        <f t="shared" si="11"/>
        <v>0</v>
      </c>
      <c r="J17" s="331">
        <f t="shared" si="11"/>
        <v>140</v>
      </c>
      <c r="K17" s="332">
        <f>SUM(H17:J17)</f>
        <v>2140</v>
      </c>
      <c r="L17" s="302"/>
      <c r="M17" s="365"/>
      <c r="N17" s="364"/>
      <c r="O17" s="364"/>
      <c r="P17" s="367">
        <f>IFERROR(P16-R20,"")</f>
        <v>0</v>
      </c>
      <c r="Q17" s="364"/>
      <c r="R17" s="366">
        <v>50</v>
      </c>
      <c r="S17" s="364" t="s">
        <v>617</v>
      </c>
      <c r="T17" s="302"/>
      <c r="U17" s="318"/>
      <c r="V17" s="319"/>
    </row>
    <row r="18" spans="1:22" ht="15" thickBot="1" x14ac:dyDescent="0.35">
      <c r="A18" s="323"/>
      <c r="B18" s="73" t="s">
        <v>97</v>
      </c>
      <c r="C18" s="63"/>
      <c r="D18" s="63"/>
      <c r="E18" s="71">
        <f>IF(OR(E2="",E3="",E4=""),"",E10-E16)</f>
        <v>1626.8000000000011</v>
      </c>
      <c r="F18" s="302"/>
      <c r="G18" s="330">
        <v>10</v>
      </c>
      <c r="H18" s="331">
        <f t="shared" si="11"/>
        <v>0</v>
      </c>
      <c r="I18" s="331">
        <f t="shared" si="11"/>
        <v>0</v>
      </c>
      <c r="J18" s="331">
        <f t="shared" si="11"/>
        <v>10</v>
      </c>
      <c r="K18" s="332">
        <f>SUM(H18:J18)</f>
        <v>10</v>
      </c>
      <c r="L18" s="302"/>
      <c r="M18" s="365"/>
      <c r="N18" s="364"/>
      <c r="O18" s="364"/>
      <c r="P18" s="305"/>
      <c r="Q18" s="364"/>
      <c r="R18" s="366">
        <v>140</v>
      </c>
      <c r="S18" s="364" t="s">
        <v>616</v>
      </c>
      <c r="T18" s="303"/>
      <c r="U18" s="318"/>
      <c r="V18" s="319"/>
    </row>
    <row r="19" spans="1:22" ht="15.6" thickTop="1" thickBot="1" x14ac:dyDescent="0.35">
      <c r="A19" s="323"/>
      <c r="B19" s="61" t="s">
        <v>227</v>
      </c>
      <c r="C19" s="126"/>
      <c r="D19" s="62"/>
      <c r="E19" s="130"/>
      <c r="F19" s="302"/>
      <c r="G19" s="330">
        <v>5</v>
      </c>
      <c r="H19" s="331">
        <f t="shared" si="11"/>
        <v>0</v>
      </c>
      <c r="I19" s="331">
        <f t="shared" si="11"/>
        <v>0</v>
      </c>
      <c r="J19" s="331">
        <f t="shared" si="11"/>
        <v>0</v>
      </c>
      <c r="K19" s="332">
        <f>SUM(H19:J19)</f>
        <v>0</v>
      </c>
      <c r="L19" s="302"/>
      <c r="M19" s="305"/>
      <c r="N19" s="364"/>
      <c r="O19" s="364"/>
      <c r="P19" s="365"/>
      <c r="Q19" s="365"/>
      <c r="R19" s="366">
        <v>250</v>
      </c>
      <c r="S19" s="364" t="s">
        <v>604</v>
      </c>
      <c r="T19" s="302"/>
      <c r="U19" s="318"/>
      <c r="V19" s="319"/>
    </row>
    <row r="20" spans="1:22" ht="15" thickTop="1" x14ac:dyDescent="0.3">
      <c r="A20" s="323"/>
      <c r="B20" s="60" t="s">
        <v>294</v>
      </c>
      <c r="C20" s="118"/>
      <c r="D20" s="2"/>
      <c r="E20" s="70">
        <f>IF(OR(E2="",E3="",E4=""),"",SUMIFS(PAGOS[PAGO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MONTO],"&lt;="&amp;$E$4))</f>
        <v>244.69999999999996</v>
      </c>
      <c r="F20" s="302"/>
      <c r="G20" s="330">
        <v>1</v>
      </c>
      <c r="H20" s="331">
        <f t="shared" si="11"/>
        <v>0</v>
      </c>
      <c r="I20" s="331">
        <f t="shared" si="11"/>
        <v>0</v>
      </c>
      <c r="J20" s="331">
        <f t="shared" si="11"/>
        <v>0</v>
      </c>
      <c r="K20" s="332">
        <f>SUM(H20:J20)</f>
        <v>0</v>
      </c>
      <c r="L20" s="302"/>
      <c r="M20" s="364"/>
      <c r="N20" s="364"/>
      <c r="O20" s="364"/>
      <c r="P20" s="305"/>
      <c r="Q20" s="305"/>
      <c r="R20" s="366">
        <f>+SUM(R16:R19)</f>
        <v>440</v>
      </c>
      <c r="S20" s="368"/>
      <c r="T20" s="302"/>
      <c r="U20" s="318"/>
      <c r="V20" s="319"/>
    </row>
    <row r="21" spans="1:22" x14ac:dyDescent="0.3">
      <c r="A21" s="323"/>
      <c r="B21" s="60" t="s">
        <v>415</v>
      </c>
      <c r="C21" s="127"/>
      <c r="D21" s="128"/>
      <c r="E21" s="68">
        <f>IF(OR(E2="",E3="",E4=""),"",SUMIFS(PAGOS[PAGO DEL MONTO],PAGOS[REG],"EGRESO*",PAGOS[CODIGO CLIENTE],2,PAGOS[FECHA PAGO DEL MONTO],"&gt;="&amp;$E$3,PAGOS[FECHA PAGO DEL MONTO],"&lt;="&amp;$E$4)+E8)</f>
        <v>1755.01</v>
      </c>
      <c r="F21" s="302"/>
      <c r="G21" s="333" t="s">
        <v>131</v>
      </c>
      <c r="H21" s="334"/>
      <c r="I21" s="334"/>
      <c r="J21" s="335"/>
      <c r="K21" s="330">
        <f>SUM(K22:K27)</f>
        <v>11.19</v>
      </c>
      <c r="L21" s="302"/>
      <c r="M21" s="364"/>
      <c r="N21" s="364"/>
      <c r="O21" s="364"/>
      <c r="P21" s="369"/>
      <c r="Q21" s="305"/>
      <c r="R21" s="364"/>
      <c r="S21" s="364"/>
      <c r="T21" s="302"/>
      <c r="U21" s="318"/>
      <c r="V21" s="319"/>
    </row>
    <row r="22" spans="1:22" x14ac:dyDescent="0.3">
      <c r="A22" s="323"/>
      <c r="B22" s="60" t="s">
        <v>247</v>
      </c>
      <c r="C22" s="127"/>
      <c r="D22" s="128"/>
      <c r="E22" s="68">
        <f>IF(OR(E2="",E3="",E4=""),"",SUMIFS(PAGOS[PAGO DEL INTERES],PAGOS[REG],"EGRESO*",PAGOS[CODIGO CLIENTE],"&lt;&gt;2",PAGOS[FECHA PAGO INTERES],"&gt;="&amp;$E$3,PAGOS[FECHA PAGO INTERES],"&lt;="&amp;$E$4))</f>
        <v>434</v>
      </c>
      <c r="F22" s="302"/>
      <c r="G22" s="330">
        <v>1</v>
      </c>
      <c r="H22" s="336">
        <f t="shared" ref="H22:J27" si="12">AF10*P9</f>
        <v>0</v>
      </c>
      <c r="I22" s="336">
        <f t="shared" si="12"/>
        <v>0</v>
      </c>
      <c r="J22" s="336">
        <f t="shared" si="12"/>
        <v>8</v>
      </c>
      <c r="K22" s="332">
        <f t="shared" ref="K22:K26" si="13">SUM(H22:J22)</f>
        <v>8</v>
      </c>
      <c r="L22" s="302"/>
      <c r="M22" s="365"/>
      <c r="N22" s="364"/>
      <c r="O22" s="364"/>
      <c r="P22" s="364"/>
      <c r="Q22" s="370"/>
      <c r="R22" s="364"/>
      <c r="S22" s="305"/>
      <c r="T22" s="302"/>
      <c r="U22" s="318"/>
      <c r="V22" s="319"/>
    </row>
    <row r="23" spans="1:22" x14ac:dyDescent="0.3">
      <c r="A23" s="323"/>
      <c r="B23" s="60" t="s">
        <v>93</v>
      </c>
      <c r="C23" s="2"/>
      <c r="D23" s="2"/>
      <c r="E23" s="67">
        <f>IF(OR(E2="",E3="",E4=""),"",E5)</f>
        <v>7520</v>
      </c>
      <c r="F23" s="302"/>
      <c r="G23" s="330">
        <v>0.5</v>
      </c>
      <c r="H23" s="336">
        <f t="shared" si="12"/>
        <v>0</v>
      </c>
      <c r="I23" s="336">
        <f t="shared" si="12"/>
        <v>0</v>
      </c>
      <c r="J23" s="336">
        <f t="shared" si="12"/>
        <v>0</v>
      </c>
      <c r="K23" s="332">
        <f t="shared" si="13"/>
        <v>0</v>
      </c>
      <c r="L23" s="302"/>
      <c r="M23" s="364"/>
      <c r="N23" s="364"/>
      <c r="O23" s="364"/>
      <c r="P23" s="371">
        <f>52*20</f>
        <v>1040</v>
      </c>
      <c r="Q23" s="365">
        <v>9480</v>
      </c>
      <c r="R23" s="369"/>
      <c r="S23" s="364"/>
      <c r="T23" s="302"/>
      <c r="U23" s="318"/>
      <c r="V23" s="319"/>
    </row>
    <row r="24" spans="1:22" x14ac:dyDescent="0.3">
      <c r="A24" s="323"/>
      <c r="B24" s="60" t="s">
        <v>99</v>
      </c>
      <c r="C24" s="2"/>
      <c r="D24" s="2"/>
      <c r="E24" s="66">
        <f>IF(OR(E2="",E3="",E4=""),"",E23/16)</f>
        <v>470</v>
      </c>
      <c r="F24" s="302"/>
      <c r="G24" s="330">
        <v>0.25</v>
      </c>
      <c r="H24" s="336">
        <f t="shared" si="12"/>
        <v>0</v>
      </c>
      <c r="I24" s="336">
        <f>AG12*Q11</f>
        <v>0</v>
      </c>
      <c r="J24" s="336">
        <f t="shared" si="12"/>
        <v>1</v>
      </c>
      <c r="K24" s="332">
        <f t="shared" si="13"/>
        <v>1</v>
      </c>
      <c r="L24" s="302"/>
      <c r="M24" s="364"/>
      <c r="N24" s="364"/>
      <c r="O24" s="364"/>
      <c r="P24" s="371"/>
      <c r="Q24" s="365"/>
      <c r="R24" s="364"/>
      <c r="S24" s="364"/>
      <c r="T24" s="302"/>
      <c r="U24" s="318"/>
      <c r="V24" s="319"/>
    </row>
    <row r="25" spans="1:22" x14ac:dyDescent="0.3">
      <c r="A25" s="323"/>
      <c r="B25" s="60" t="s">
        <v>354</v>
      </c>
      <c r="C25" s="2"/>
      <c r="D25" s="2"/>
      <c r="E25" s="67">
        <f>IF(OR(E2="",E3="",E4=""),"",E10-E21-E22+E20)</f>
        <v>4216.29</v>
      </c>
      <c r="F25" s="302"/>
      <c r="G25" s="330">
        <v>0.1</v>
      </c>
      <c r="H25" s="336">
        <f t="shared" si="12"/>
        <v>0</v>
      </c>
      <c r="I25" s="336">
        <f t="shared" si="12"/>
        <v>1</v>
      </c>
      <c r="J25" s="336">
        <f t="shared" si="12"/>
        <v>0.60000000000000009</v>
      </c>
      <c r="K25" s="332">
        <f t="shared" si="13"/>
        <v>1.6</v>
      </c>
      <c r="L25" s="302"/>
      <c r="M25" s="365"/>
      <c r="N25" s="364"/>
      <c r="O25" s="364"/>
      <c r="P25" s="371">
        <f>+P23+Q23</f>
        <v>10520</v>
      </c>
      <c r="Q25" s="364"/>
      <c r="R25" s="364"/>
      <c r="S25" s="364"/>
      <c r="T25" s="302"/>
      <c r="U25" s="318"/>
      <c r="V25" s="319"/>
    </row>
    <row r="26" spans="1:22" ht="15" thickBot="1" x14ac:dyDescent="0.35">
      <c r="A26" s="323"/>
      <c r="B26" s="60" t="s">
        <v>96</v>
      </c>
      <c r="C26" s="2"/>
      <c r="D26" s="129"/>
      <c r="E26" s="179">
        <f>IF(OR(E2="",E3="",E4=""),"",IF(J4&lt;&gt;0,SUMIFS(DENERO_CAJA[MONTO],DENERO_CAJA[FECHA],"&gt;="&amp;$E$2,DENERO_CAJA[FECHA],"&lt;="&amp;$E$4),J10))</f>
        <v>2495.19</v>
      </c>
      <c r="F26" s="302"/>
      <c r="G26" s="330">
        <v>0.05</v>
      </c>
      <c r="H26" s="336">
        <f t="shared" si="12"/>
        <v>0</v>
      </c>
      <c r="I26" s="336">
        <f t="shared" si="12"/>
        <v>0</v>
      </c>
      <c r="J26" s="336">
        <f t="shared" si="12"/>
        <v>0.45</v>
      </c>
      <c r="K26" s="332">
        <f t="shared" si="13"/>
        <v>0.45</v>
      </c>
      <c r="L26" s="302"/>
      <c r="M26" s="364"/>
      <c r="N26" s="372"/>
      <c r="O26" s="364"/>
      <c r="P26" s="364"/>
      <c r="Q26" s="364"/>
      <c r="R26" s="364"/>
      <c r="S26" s="364"/>
      <c r="T26" s="302"/>
      <c r="U26" s="318"/>
      <c r="V26" s="319"/>
    </row>
    <row r="27" spans="1:22" ht="15.6" thickTop="1" thickBot="1" x14ac:dyDescent="0.35">
      <c r="A27" s="323"/>
      <c r="B27" s="64" t="s">
        <v>94</v>
      </c>
      <c r="C27" s="65"/>
      <c r="D27" s="131"/>
      <c r="E27" s="132">
        <f>IF(OR(E2="",E3="",E4=""),"",E23+E25)</f>
        <v>11736.29</v>
      </c>
      <c r="F27" s="302"/>
      <c r="G27" s="330">
        <v>0.01</v>
      </c>
      <c r="H27" s="336">
        <f t="shared" si="12"/>
        <v>0</v>
      </c>
      <c r="I27" s="336">
        <f>AG15*Q14</f>
        <v>0.1</v>
      </c>
      <c r="J27" s="336">
        <f t="shared" si="12"/>
        <v>0.04</v>
      </c>
      <c r="K27" s="332">
        <f>SUM(H27:J27)</f>
        <v>0.14000000000000001</v>
      </c>
      <c r="L27" s="302"/>
      <c r="M27" s="364"/>
      <c r="N27" s="364"/>
      <c r="O27" s="364"/>
      <c r="P27" s="365"/>
      <c r="Q27" s="364"/>
      <c r="R27" s="364"/>
      <c r="S27" s="364"/>
      <c r="T27" s="302"/>
      <c r="U27" s="318"/>
      <c r="V27" s="319"/>
    </row>
    <row r="28" spans="1:22" ht="15.6" thickTop="1" thickBot="1" x14ac:dyDescent="0.35">
      <c r="A28" s="323"/>
      <c r="B28" s="64" t="s">
        <v>98</v>
      </c>
      <c r="C28" s="65"/>
      <c r="D28" s="131"/>
      <c r="E28" s="143">
        <f>+IF(OR(E2="",E3="",E4=""),"",E15+E18+E26)</f>
        <v>11630.290000000019</v>
      </c>
      <c r="F28" s="302"/>
      <c r="G28" s="303"/>
      <c r="H28" s="306">
        <f>SUMIFS(DENERO_CAJA[MONTO],DENERO_CAJA[FECHA],"&gt;="&amp;$E$2,DENERO_CAJA[FECHA],"&lt;="&amp;$E$4)</f>
        <v>2495.19</v>
      </c>
      <c r="I28" s="303">
        <f>IFERROR(E27-E28,"")</f>
        <v>105.99999999998181</v>
      </c>
      <c r="J28" s="302"/>
      <c r="K28" s="302"/>
      <c r="L28" s="302"/>
      <c r="M28" s="364"/>
      <c r="N28" s="364"/>
      <c r="O28" s="364"/>
      <c r="P28" s="364"/>
      <c r="Q28" s="364"/>
      <c r="R28" s="364"/>
      <c r="S28" s="305"/>
      <c r="T28" s="302"/>
      <c r="U28" s="322"/>
      <c r="V28" s="319"/>
    </row>
    <row r="29" spans="1:22" ht="8.25" customHeight="1" thickTop="1" thickBot="1" x14ac:dyDescent="0.35">
      <c r="A29" s="307"/>
      <c r="B29" s="308"/>
      <c r="C29" s="308"/>
      <c r="D29" s="308"/>
      <c r="E29" s="308"/>
      <c r="F29" s="308"/>
      <c r="G29" s="309"/>
      <c r="H29" s="310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11"/>
      <c r="T29" s="308"/>
      <c r="U29" s="308"/>
      <c r="V29" s="312"/>
    </row>
    <row r="30" spans="1:22" ht="15" thickTop="1" x14ac:dyDescent="0.3">
      <c r="E30" s="314"/>
      <c r="H30" s="315"/>
      <c r="J30" s="316"/>
      <c r="S30" s="317"/>
    </row>
    <row r="31" spans="1:22" x14ac:dyDescent="0.3">
      <c r="C31" s="316"/>
      <c r="E31" s="316"/>
      <c r="H31" s="316"/>
      <c r="I31" s="316"/>
    </row>
  </sheetData>
  <sheetProtection algorithmName="SHA-512" hashValue="y/vQPmQ7veVGlpbp0T6NqrjG1bNvHXG8W/uT40oHXcZncju9c04vxb4YKCuGk8r8WlJeDb5VwdRWiturPKvsqQ==" saltValue="U0ah2I9rAMCWsVZ6pJS4PA==" spinCount="100000" sheet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6"/>
  <sheetViews>
    <sheetView zoomScaleNormal="100" workbookViewId="0">
      <pane ySplit="3" topLeftCell="A406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4" t="s">
        <v>295</v>
      </c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  <c r="O1" s="404"/>
    </row>
    <row r="2" spans="2:17" x14ac:dyDescent="0.3">
      <c r="B2" s="404"/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Q2" s="24"/>
    </row>
    <row r="3" spans="2:17" ht="15" thickBot="1" x14ac:dyDescent="0.35">
      <c r="B3" s="404"/>
      <c r="C3" s="404"/>
      <c r="D3" s="404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Q3" s="24"/>
    </row>
    <row r="4" spans="2:17" ht="15.6" thickTop="1" thickBot="1" x14ac:dyDescent="0.35">
      <c r="B4" s="378" t="s">
        <v>92</v>
      </c>
      <c r="C4" s="379"/>
      <c r="D4" s="180" t="s">
        <v>392</v>
      </c>
      <c r="E4" s="75">
        <v>44788</v>
      </c>
      <c r="G4" s="378" t="s">
        <v>92</v>
      </c>
      <c r="H4" s="379"/>
      <c r="I4" s="180" t="s">
        <v>392</v>
      </c>
      <c r="J4" s="75">
        <v>44819</v>
      </c>
      <c r="L4" s="378" t="s">
        <v>92</v>
      </c>
      <c r="M4" s="379"/>
      <c r="N4" s="180" t="s">
        <v>392</v>
      </c>
      <c r="O4" s="75">
        <v>44849</v>
      </c>
      <c r="Q4" s="24"/>
    </row>
    <row r="5" spans="2:17" ht="15.6" thickTop="1" thickBot="1" x14ac:dyDescent="0.35">
      <c r="B5" s="380"/>
      <c r="C5" s="381"/>
      <c r="D5" s="180" t="s">
        <v>393</v>
      </c>
      <c r="E5" s="75">
        <v>44788</v>
      </c>
      <c r="G5" s="380"/>
      <c r="H5" s="381"/>
      <c r="I5" s="180" t="s">
        <v>393</v>
      </c>
      <c r="J5" s="75">
        <v>44788</v>
      </c>
      <c r="L5" s="380"/>
      <c r="M5" s="381"/>
      <c r="N5" s="180" t="s">
        <v>393</v>
      </c>
      <c r="O5" s="75">
        <v>44788</v>
      </c>
    </row>
    <row r="6" spans="2:17" ht="15.6" thickTop="1" thickBot="1" x14ac:dyDescent="0.35">
      <c r="B6" s="382"/>
      <c r="C6" s="383"/>
      <c r="D6" s="180" t="s">
        <v>391</v>
      </c>
      <c r="E6" s="75">
        <v>44818</v>
      </c>
      <c r="G6" s="382"/>
      <c r="H6" s="383"/>
      <c r="I6" s="180" t="s">
        <v>391</v>
      </c>
      <c r="J6" s="75">
        <v>44848</v>
      </c>
      <c r="L6" s="382"/>
      <c r="M6" s="383"/>
      <c r="N6" s="180" t="s">
        <v>391</v>
      </c>
      <c r="O6" s="75">
        <v>44879</v>
      </c>
    </row>
    <row r="7" spans="2:17" ht="15.6" thickTop="1" thickBot="1" x14ac:dyDescent="0.35">
      <c r="B7" s="60" t="s">
        <v>91</v>
      </c>
      <c r="C7" s="2"/>
      <c r="D7" s="2"/>
      <c r="E7" s="117">
        <v>130</v>
      </c>
      <c r="G7" s="60" t="s">
        <v>91</v>
      </c>
      <c r="H7" s="2"/>
      <c r="I7" s="2"/>
      <c r="J7" s="117">
        <v>260</v>
      </c>
      <c r="L7" s="60" t="s">
        <v>91</v>
      </c>
      <c r="M7" s="2"/>
      <c r="N7" s="2"/>
      <c r="O7" s="117">
        <v>390</v>
      </c>
    </row>
    <row r="8" spans="2:17" ht="15.6" thickTop="1" thickBot="1" x14ac:dyDescent="0.35">
      <c r="B8" s="61" t="s">
        <v>168</v>
      </c>
      <c r="C8" s="62"/>
      <c r="D8" s="62"/>
      <c r="E8" s="123"/>
      <c r="G8" s="61" t="s">
        <v>168</v>
      </c>
      <c r="H8" s="62"/>
      <c r="I8" s="62"/>
      <c r="J8" s="123"/>
      <c r="L8" s="61" t="s">
        <v>168</v>
      </c>
      <c r="M8" s="62"/>
      <c r="N8" s="62"/>
      <c r="O8" s="123"/>
    </row>
    <row r="9" spans="2:17" ht="15" thickTop="1" x14ac:dyDescent="0.3">
      <c r="B9" s="121" t="s">
        <v>224</v>
      </c>
      <c r="C9" s="2"/>
      <c r="D9" s="2"/>
      <c r="E9" s="116">
        <v>0</v>
      </c>
      <c r="G9" s="121" t="s">
        <v>224</v>
      </c>
      <c r="H9" s="2"/>
      <c r="I9" s="2"/>
      <c r="J9" s="116">
        <v>160</v>
      </c>
      <c r="L9" s="121" t="s">
        <v>224</v>
      </c>
      <c r="M9" s="2"/>
      <c r="N9" s="2"/>
      <c r="O9" s="116">
        <v>360</v>
      </c>
    </row>
    <row r="10" spans="2:17" x14ac:dyDescent="0.3">
      <c r="B10" s="122" t="s">
        <v>225</v>
      </c>
      <c r="C10" s="2"/>
      <c r="D10" s="2"/>
      <c r="E10" s="68">
        <v>0</v>
      </c>
      <c r="G10" s="122" t="s">
        <v>225</v>
      </c>
      <c r="H10" s="2"/>
      <c r="I10" s="2"/>
      <c r="J10" s="68">
        <v>0</v>
      </c>
      <c r="L10" s="122" t="s">
        <v>225</v>
      </c>
      <c r="M10" s="2"/>
      <c r="N10" s="2"/>
      <c r="O10" s="68">
        <v>0</v>
      </c>
    </row>
    <row r="11" spans="2:17" x14ac:dyDescent="0.3">
      <c r="B11" s="60" t="s">
        <v>102</v>
      </c>
      <c r="C11" s="2"/>
      <c r="D11" s="2"/>
      <c r="E11" s="69">
        <v>0</v>
      </c>
      <c r="G11" s="60" t="s">
        <v>102</v>
      </c>
      <c r="H11" s="2"/>
      <c r="I11" s="2"/>
      <c r="J11" s="69">
        <v>160</v>
      </c>
      <c r="L11" s="60" t="s">
        <v>102</v>
      </c>
      <c r="M11" s="2"/>
      <c r="N11" s="2"/>
      <c r="O11" s="69">
        <v>200</v>
      </c>
    </row>
    <row r="12" spans="2:17" x14ac:dyDescent="0.3">
      <c r="B12" s="122" t="s">
        <v>226</v>
      </c>
      <c r="C12" s="2"/>
      <c r="D12" s="2"/>
      <c r="E12" s="124">
        <v>0</v>
      </c>
      <c r="G12" s="122" t="s">
        <v>226</v>
      </c>
      <c r="H12" s="2"/>
      <c r="I12" s="2"/>
      <c r="J12" s="124">
        <v>6.4</v>
      </c>
      <c r="L12" s="122" t="s">
        <v>226</v>
      </c>
      <c r="M12" s="2"/>
      <c r="N12" s="2"/>
      <c r="O12" s="124">
        <v>10.4</v>
      </c>
    </row>
    <row r="13" spans="2:17" ht="15" thickBot="1" x14ac:dyDescent="0.35">
      <c r="B13" s="60" t="s">
        <v>104</v>
      </c>
      <c r="C13" s="2"/>
      <c r="D13" s="2"/>
      <c r="E13" s="69">
        <v>0</v>
      </c>
      <c r="G13" s="60" t="s">
        <v>104</v>
      </c>
      <c r="H13" s="2"/>
      <c r="I13" s="2"/>
      <c r="J13" s="69">
        <v>6.4</v>
      </c>
      <c r="L13" s="60" t="s">
        <v>104</v>
      </c>
      <c r="M13" s="2"/>
      <c r="N13" s="2"/>
      <c r="O13" s="69">
        <v>4</v>
      </c>
    </row>
    <row r="14" spans="2:17" ht="15.6" thickTop="1" thickBot="1" x14ac:dyDescent="0.35">
      <c r="B14" s="125" t="s">
        <v>39</v>
      </c>
      <c r="C14" s="62"/>
      <c r="D14" s="62"/>
      <c r="E14" s="123"/>
      <c r="G14" s="125" t="s">
        <v>39</v>
      </c>
      <c r="H14" s="62"/>
      <c r="I14" s="62"/>
      <c r="J14" s="123"/>
      <c r="L14" s="125" t="s">
        <v>39</v>
      </c>
      <c r="M14" s="62"/>
      <c r="N14" s="62"/>
      <c r="O14" s="123"/>
    </row>
    <row r="15" spans="2:17" ht="15" thickTop="1" x14ac:dyDescent="0.3">
      <c r="B15" s="60" t="s">
        <v>100</v>
      </c>
      <c r="C15" s="2"/>
      <c r="D15" s="2"/>
      <c r="E15" s="68">
        <v>0</v>
      </c>
      <c r="G15" s="60" t="s">
        <v>100</v>
      </c>
      <c r="H15" s="2"/>
      <c r="I15" s="2"/>
      <c r="J15" s="68">
        <v>0</v>
      </c>
      <c r="L15" s="60" t="s">
        <v>100</v>
      </c>
      <c r="M15" s="2"/>
      <c r="N15" s="2"/>
      <c r="O15" s="68">
        <v>80</v>
      </c>
    </row>
    <row r="16" spans="2:17" x14ac:dyDescent="0.3">
      <c r="B16" s="60" t="s">
        <v>103</v>
      </c>
      <c r="C16" s="2"/>
      <c r="D16" s="2"/>
      <c r="E16" s="69">
        <v>0</v>
      </c>
      <c r="G16" s="60" t="s">
        <v>103</v>
      </c>
      <c r="H16" s="2"/>
      <c r="I16" s="2"/>
      <c r="J16" s="69">
        <v>0</v>
      </c>
      <c r="L16" s="60" t="s">
        <v>103</v>
      </c>
      <c r="M16" s="2"/>
      <c r="N16" s="2"/>
      <c r="O16" s="69">
        <v>80</v>
      </c>
    </row>
    <row r="17" spans="2:15" ht="15" thickBot="1" x14ac:dyDescent="0.35">
      <c r="B17" s="73" t="s">
        <v>95</v>
      </c>
      <c r="C17" s="72"/>
      <c r="D17" s="63"/>
      <c r="E17" s="71">
        <v>0</v>
      </c>
      <c r="G17" s="73" t="s">
        <v>95</v>
      </c>
      <c r="H17" s="72"/>
      <c r="I17" s="63"/>
      <c r="J17" s="71">
        <v>160</v>
      </c>
      <c r="L17" s="73" t="s">
        <v>95</v>
      </c>
      <c r="M17" s="72"/>
      <c r="N17" s="63"/>
      <c r="O17" s="71">
        <v>280</v>
      </c>
    </row>
    <row r="18" spans="2:15" ht="15" thickTop="1" x14ac:dyDescent="0.3">
      <c r="B18" s="60" t="s">
        <v>101</v>
      </c>
      <c r="C18" s="2"/>
      <c r="D18" s="2"/>
      <c r="E18" s="68">
        <v>0</v>
      </c>
      <c r="G18" s="60" t="s">
        <v>101</v>
      </c>
      <c r="H18" s="2"/>
      <c r="I18" s="2"/>
      <c r="J18" s="68">
        <v>0</v>
      </c>
      <c r="L18" s="60" t="s">
        <v>101</v>
      </c>
      <c r="M18" s="2"/>
      <c r="N18" s="2"/>
      <c r="O18" s="68">
        <v>3.2</v>
      </c>
    </row>
    <row r="19" spans="2:15" x14ac:dyDescent="0.3">
      <c r="B19" s="60" t="s">
        <v>105</v>
      </c>
      <c r="C19" s="2"/>
      <c r="D19" s="2"/>
      <c r="E19" s="69">
        <v>0</v>
      </c>
      <c r="G19" s="60" t="s">
        <v>105</v>
      </c>
      <c r="H19" s="2"/>
      <c r="I19" s="2"/>
      <c r="J19" s="69">
        <v>0</v>
      </c>
      <c r="L19" s="60" t="s">
        <v>105</v>
      </c>
      <c r="M19" s="2"/>
      <c r="N19" s="2"/>
      <c r="O19" s="69">
        <v>3.2</v>
      </c>
    </row>
    <row r="20" spans="2:15" ht="15" thickBot="1" x14ac:dyDescent="0.35">
      <c r="B20" s="73" t="s">
        <v>97</v>
      </c>
      <c r="C20" s="63"/>
      <c r="D20" s="63"/>
      <c r="E20" s="71">
        <v>0</v>
      </c>
      <c r="G20" s="73" t="s">
        <v>97</v>
      </c>
      <c r="H20" s="63"/>
      <c r="I20" s="63"/>
      <c r="J20" s="71">
        <v>6.4</v>
      </c>
      <c r="L20" s="73" t="s">
        <v>97</v>
      </c>
      <c r="M20" s="63"/>
      <c r="N20" s="63"/>
      <c r="O20" s="71">
        <v>7.2</v>
      </c>
    </row>
    <row r="21" spans="2:15" ht="15.6" thickTop="1" thickBot="1" x14ac:dyDescent="0.35">
      <c r="B21" s="61" t="s">
        <v>227</v>
      </c>
      <c r="C21" s="126"/>
      <c r="D21" s="62"/>
      <c r="E21" s="130"/>
      <c r="G21" s="61" t="s">
        <v>227</v>
      </c>
      <c r="H21" s="126"/>
      <c r="I21" s="62"/>
      <c r="J21" s="130"/>
      <c r="L21" s="61" t="s">
        <v>227</v>
      </c>
      <c r="M21" s="126"/>
      <c r="N21" s="62"/>
      <c r="O21" s="130"/>
    </row>
    <row r="22" spans="2:15" ht="15" thickTop="1" x14ac:dyDescent="0.3">
      <c r="B22" s="60" t="s">
        <v>294</v>
      </c>
      <c r="C22" s="118"/>
      <c r="D22" s="2"/>
      <c r="E22" s="70">
        <v>0</v>
      </c>
      <c r="G22" s="60" t="s">
        <v>294</v>
      </c>
      <c r="H22" s="118"/>
      <c r="I22" s="2"/>
      <c r="J22" s="70">
        <v>0</v>
      </c>
      <c r="L22" s="60" t="s">
        <v>294</v>
      </c>
      <c r="M22" s="118"/>
      <c r="N22" s="2"/>
      <c r="O22" s="70">
        <v>0</v>
      </c>
    </row>
    <row r="23" spans="2:15" x14ac:dyDescent="0.3">
      <c r="B23" s="60" t="s">
        <v>353</v>
      </c>
      <c r="C23" s="127"/>
      <c r="D23" s="128"/>
      <c r="E23" s="68">
        <v>0</v>
      </c>
      <c r="G23" s="60" t="s">
        <v>353</v>
      </c>
      <c r="H23" s="127"/>
      <c r="I23" s="128"/>
      <c r="J23" s="68">
        <v>0</v>
      </c>
      <c r="L23" s="60" t="s">
        <v>353</v>
      </c>
      <c r="M23" s="127"/>
      <c r="N23" s="128"/>
      <c r="O23" s="68">
        <v>0</v>
      </c>
    </row>
    <row r="24" spans="2:15" x14ac:dyDescent="0.3">
      <c r="B24" s="60" t="s">
        <v>247</v>
      </c>
      <c r="C24" s="127"/>
      <c r="D24" s="128"/>
      <c r="E24" s="68">
        <v>0</v>
      </c>
      <c r="G24" s="60" t="s">
        <v>247</v>
      </c>
      <c r="H24" s="127"/>
      <c r="I24" s="128"/>
      <c r="J24" s="68">
        <v>0</v>
      </c>
      <c r="L24" s="60" t="s">
        <v>247</v>
      </c>
      <c r="M24" s="127"/>
      <c r="N24" s="128"/>
      <c r="O24" s="68">
        <v>0</v>
      </c>
    </row>
    <row r="25" spans="2:15" x14ac:dyDescent="0.3">
      <c r="B25" s="60" t="s">
        <v>93</v>
      </c>
      <c r="C25" s="2"/>
      <c r="D25" s="2"/>
      <c r="E25" s="67">
        <v>130</v>
      </c>
      <c r="G25" s="60" t="s">
        <v>93</v>
      </c>
      <c r="H25" s="2"/>
      <c r="I25" s="2"/>
      <c r="J25" s="67">
        <v>260</v>
      </c>
      <c r="L25" s="60" t="s">
        <v>93</v>
      </c>
      <c r="M25" s="2"/>
      <c r="N25" s="2"/>
      <c r="O25" s="67">
        <v>390</v>
      </c>
    </row>
    <row r="26" spans="2:15" x14ac:dyDescent="0.3">
      <c r="B26" s="60" t="s">
        <v>99</v>
      </c>
      <c r="C26" s="2"/>
      <c r="D26" s="2"/>
      <c r="E26" s="66">
        <v>10</v>
      </c>
      <c r="G26" s="60" t="s">
        <v>99</v>
      </c>
      <c r="H26" s="2"/>
      <c r="I26" s="2"/>
      <c r="J26" s="66">
        <v>20</v>
      </c>
      <c r="L26" s="60" t="s">
        <v>99</v>
      </c>
      <c r="M26" s="2"/>
      <c r="N26" s="2"/>
      <c r="O26" s="66">
        <v>30</v>
      </c>
    </row>
    <row r="27" spans="2:15" x14ac:dyDescent="0.3">
      <c r="B27" s="60" t="s">
        <v>354</v>
      </c>
      <c r="C27" s="2"/>
      <c r="D27" s="2"/>
      <c r="E27" s="67">
        <v>0</v>
      </c>
      <c r="G27" s="60" t="s">
        <v>354</v>
      </c>
      <c r="H27" s="2"/>
      <c r="I27" s="2"/>
      <c r="J27" s="67">
        <v>6.4</v>
      </c>
      <c r="L27" s="60" t="s">
        <v>354</v>
      </c>
      <c r="M27" s="2"/>
      <c r="N27" s="2"/>
      <c r="O27" s="67">
        <v>10.4</v>
      </c>
    </row>
    <row r="28" spans="2:15" ht="15" thickBot="1" x14ac:dyDescent="0.35">
      <c r="B28" s="60" t="s">
        <v>96</v>
      </c>
      <c r="C28" s="2"/>
      <c r="D28" s="129"/>
      <c r="E28" s="179">
        <v>130</v>
      </c>
      <c r="G28" s="60" t="s">
        <v>96</v>
      </c>
      <c r="H28" s="2"/>
      <c r="I28" s="129"/>
      <c r="J28" s="179">
        <v>100</v>
      </c>
      <c r="L28" s="60" t="s">
        <v>96</v>
      </c>
      <c r="M28" s="2"/>
      <c r="N28" s="129"/>
      <c r="O28" s="179">
        <v>113.2</v>
      </c>
    </row>
    <row r="29" spans="2:15" ht="15.6" thickTop="1" thickBot="1" x14ac:dyDescent="0.35">
      <c r="B29" s="64" t="s">
        <v>94</v>
      </c>
      <c r="C29" s="65"/>
      <c r="D29" s="131"/>
      <c r="E29" s="132">
        <v>130</v>
      </c>
      <c r="G29" s="64" t="s">
        <v>94</v>
      </c>
      <c r="H29" s="65"/>
      <c r="I29" s="131"/>
      <c r="J29" s="132">
        <v>266.39999999999998</v>
      </c>
      <c r="L29" s="64" t="s">
        <v>94</v>
      </c>
      <c r="M29" s="65"/>
      <c r="N29" s="131"/>
      <c r="O29" s="132">
        <v>400.4</v>
      </c>
    </row>
    <row r="30" spans="2:15" ht="15.6" thickTop="1" thickBot="1" x14ac:dyDescent="0.35">
      <c r="B30" s="64" t="s">
        <v>98</v>
      </c>
      <c r="C30" s="65"/>
      <c r="D30" s="131"/>
      <c r="E30" s="143">
        <v>130</v>
      </c>
      <c r="G30" s="64" t="s">
        <v>98</v>
      </c>
      <c r="H30" s="65"/>
      <c r="I30" s="131"/>
      <c r="J30" s="143">
        <v>266.39999999999998</v>
      </c>
      <c r="L30" s="64" t="s">
        <v>98</v>
      </c>
      <c r="M30" s="65"/>
      <c r="N30" s="131"/>
      <c r="O30" s="143">
        <v>400.4</v>
      </c>
    </row>
    <row r="31" spans="2:15" ht="15.6" thickTop="1" thickBot="1" x14ac:dyDescent="0.35">
      <c r="B31" s="2"/>
      <c r="C31" s="2"/>
      <c r="D31" s="2"/>
      <c r="E31" s="202"/>
      <c r="J31" s="202"/>
      <c r="O31" s="202"/>
    </row>
    <row r="32" spans="2:15" ht="15.6" thickTop="1" thickBot="1" x14ac:dyDescent="0.35">
      <c r="B32" s="378" t="s">
        <v>92</v>
      </c>
      <c r="C32" s="379"/>
      <c r="D32" s="180" t="s">
        <v>392</v>
      </c>
      <c r="E32" s="75">
        <v>44880</v>
      </c>
      <c r="G32" s="378" t="s">
        <v>92</v>
      </c>
      <c r="H32" s="379"/>
      <c r="I32" s="180" t="s">
        <v>392</v>
      </c>
      <c r="J32" s="75">
        <v>44910</v>
      </c>
      <c r="L32" s="378" t="s">
        <v>92</v>
      </c>
      <c r="M32" s="379"/>
      <c r="N32" s="180" t="s">
        <v>392</v>
      </c>
      <c r="O32" s="75">
        <v>44941</v>
      </c>
    </row>
    <row r="33" spans="2:15" ht="15.6" thickTop="1" thickBot="1" x14ac:dyDescent="0.35">
      <c r="B33" s="380"/>
      <c r="C33" s="381"/>
      <c r="D33" s="180" t="s">
        <v>393</v>
      </c>
      <c r="E33" s="75">
        <v>44788</v>
      </c>
      <c r="G33" s="380"/>
      <c r="H33" s="381"/>
      <c r="I33" s="180" t="s">
        <v>393</v>
      </c>
      <c r="J33" s="75">
        <v>44788</v>
      </c>
      <c r="L33" s="380"/>
      <c r="M33" s="381"/>
      <c r="N33" s="180" t="s">
        <v>393</v>
      </c>
      <c r="O33" s="75">
        <v>44788</v>
      </c>
    </row>
    <row r="34" spans="2:15" ht="15.6" thickTop="1" thickBot="1" x14ac:dyDescent="0.35">
      <c r="B34" s="382"/>
      <c r="C34" s="383"/>
      <c r="D34" s="180" t="s">
        <v>391</v>
      </c>
      <c r="E34" s="75">
        <v>44909</v>
      </c>
      <c r="G34" s="382"/>
      <c r="H34" s="383"/>
      <c r="I34" s="180" t="s">
        <v>391</v>
      </c>
      <c r="J34" s="75">
        <v>44940</v>
      </c>
      <c r="L34" s="382"/>
      <c r="M34" s="383"/>
      <c r="N34" s="180" t="s">
        <v>391</v>
      </c>
      <c r="O34" s="75">
        <v>44971</v>
      </c>
    </row>
    <row r="35" spans="2:15" ht="15.6" thickTop="1" thickBot="1" x14ac:dyDescent="0.35">
      <c r="B35" s="60" t="s">
        <v>91</v>
      </c>
      <c r="C35" s="2"/>
      <c r="D35" s="2"/>
      <c r="E35" s="117">
        <v>520</v>
      </c>
      <c r="G35" s="60" t="s">
        <v>91</v>
      </c>
      <c r="H35" s="2"/>
      <c r="I35" s="2"/>
      <c r="J35" s="117">
        <v>650</v>
      </c>
      <c r="L35" s="60" t="s">
        <v>91</v>
      </c>
      <c r="M35" s="2"/>
      <c r="N35" s="2"/>
      <c r="O35" s="117">
        <v>780</v>
      </c>
    </row>
    <row r="36" spans="2:15" ht="15.6" thickTop="1" thickBot="1" x14ac:dyDescent="0.35">
      <c r="B36" s="61" t="s">
        <v>168</v>
      </c>
      <c r="C36" s="62"/>
      <c r="D36" s="62"/>
      <c r="E36" s="123"/>
      <c r="G36" s="61" t="s">
        <v>168</v>
      </c>
      <c r="H36" s="62"/>
      <c r="I36" s="62"/>
      <c r="J36" s="123"/>
      <c r="L36" s="61" t="s">
        <v>168</v>
      </c>
      <c r="M36" s="62"/>
      <c r="N36" s="62"/>
      <c r="O36" s="123"/>
    </row>
    <row r="37" spans="2:15" ht="15" thickTop="1" x14ac:dyDescent="0.3">
      <c r="B37" s="121" t="s">
        <v>224</v>
      </c>
      <c r="C37" s="2"/>
      <c r="D37" s="2"/>
      <c r="E37" s="116">
        <v>760</v>
      </c>
      <c r="G37" s="121" t="s">
        <v>224</v>
      </c>
      <c r="H37" s="2"/>
      <c r="I37" s="2"/>
      <c r="J37" s="116">
        <v>1130</v>
      </c>
      <c r="L37" s="121" t="s">
        <v>224</v>
      </c>
      <c r="M37" s="2"/>
      <c r="N37" s="2"/>
      <c r="O37" s="116">
        <v>1430</v>
      </c>
    </row>
    <row r="38" spans="2:15" x14ac:dyDescent="0.3">
      <c r="B38" s="122" t="s">
        <v>225</v>
      </c>
      <c r="C38" s="2"/>
      <c r="D38" s="2"/>
      <c r="E38" s="68">
        <v>0</v>
      </c>
      <c r="G38" s="122" t="s">
        <v>225</v>
      </c>
      <c r="H38" s="2"/>
      <c r="I38" s="2"/>
      <c r="J38" s="68">
        <v>100</v>
      </c>
      <c r="L38" s="122" t="s">
        <v>225</v>
      </c>
      <c r="M38" s="2"/>
      <c r="N38" s="2"/>
      <c r="O38" s="68">
        <v>100</v>
      </c>
    </row>
    <row r="39" spans="2:15" x14ac:dyDescent="0.3">
      <c r="B39" s="60" t="s">
        <v>102</v>
      </c>
      <c r="C39" s="2"/>
      <c r="D39" s="2"/>
      <c r="E39" s="69">
        <v>400</v>
      </c>
      <c r="G39" s="60" t="s">
        <v>102</v>
      </c>
      <c r="H39" s="2"/>
      <c r="I39" s="2"/>
      <c r="J39" s="69">
        <v>470</v>
      </c>
      <c r="L39" s="60" t="s">
        <v>102</v>
      </c>
      <c r="M39" s="2"/>
      <c r="N39" s="2"/>
      <c r="O39" s="69">
        <v>300</v>
      </c>
    </row>
    <row r="40" spans="2:15" x14ac:dyDescent="0.3">
      <c r="B40" s="122" t="s">
        <v>226</v>
      </c>
      <c r="C40" s="2"/>
      <c r="D40" s="2"/>
      <c r="E40" s="124">
        <v>22.4</v>
      </c>
      <c r="G40" s="122" t="s">
        <v>226</v>
      </c>
      <c r="H40" s="2"/>
      <c r="I40" s="2"/>
      <c r="J40" s="124">
        <v>55.4</v>
      </c>
      <c r="L40" s="122" t="s">
        <v>226</v>
      </c>
      <c r="M40" s="2"/>
      <c r="N40" s="2"/>
      <c r="O40" s="124">
        <v>75.400000000000006</v>
      </c>
    </row>
    <row r="41" spans="2:15" ht="15" thickBot="1" x14ac:dyDescent="0.35">
      <c r="B41" s="60" t="s">
        <v>104</v>
      </c>
      <c r="C41" s="2"/>
      <c r="D41" s="2"/>
      <c r="E41" s="69">
        <v>12</v>
      </c>
      <c r="G41" s="60" t="s">
        <v>104</v>
      </c>
      <c r="H41" s="2"/>
      <c r="I41" s="2"/>
      <c r="J41" s="69">
        <v>33</v>
      </c>
      <c r="L41" s="60" t="s">
        <v>104</v>
      </c>
      <c r="M41" s="2"/>
      <c r="N41" s="2"/>
      <c r="O41" s="69">
        <v>20</v>
      </c>
    </row>
    <row r="42" spans="2:15" ht="15.6" thickTop="1" thickBot="1" x14ac:dyDescent="0.35">
      <c r="B42" s="125" t="s">
        <v>39</v>
      </c>
      <c r="C42" s="62"/>
      <c r="D42" s="62"/>
      <c r="E42" s="123"/>
      <c r="G42" s="125" t="s">
        <v>39</v>
      </c>
      <c r="H42" s="62"/>
      <c r="I42" s="62"/>
      <c r="J42" s="123"/>
      <c r="L42" s="125" t="s">
        <v>39</v>
      </c>
      <c r="M42" s="62"/>
      <c r="N42" s="62"/>
      <c r="O42" s="123"/>
    </row>
    <row r="43" spans="2:15" ht="15" thickTop="1" x14ac:dyDescent="0.3">
      <c r="B43" s="60" t="s">
        <v>100</v>
      </c>
      <c r="C43" s="2"/>
      <c r="D43" s="2"/>
      <c r="E43" s="68">
        <v>360</v>
      </c>
      <c r="G43" s="60" t="s">
        <v>100</v>
      </c>
      <c r="H43" s="2"/>
      <c r="I43" s="2"/>
      <c r="J43" s="68">
        <v>660</v>
      </c>
      <c r="L43" s="60" t="s">
        <v>100</v>
      </c>
      <c r="M43" s="2"/>
      <c r="N43" s="2"/>
      <c r="O43" s="68">
        <v>844</v>
      </c>
    </row>
    <row r="44" spans="2:15" x14ac:dyDescent="0.3">
      <c r="B44" s="60" t="s">
        <v>103</v>
      </c>
      <c r="C44" s="2"/>
      <c r="D44" s="2"/>
      <c r="E44" s="69">
        <v>280</v>
      </c>
      <c r="G44" s="60" t="s">
        <v>103</v>
      </c>
      <c r="H44" s="2"/>
      <c r="I44" s="2"/>
      <c r="J44" s="69">
        <v>300</v>
      </c>
      <c r="L44" s="60" t="s">
        <v>103</v>
      </c>
      <c r="M44" s="2"/>
      <c r="N44" s="2"/>
      <c r="O44" s="69">
        <v>184</v>
      </c>
    </row>
    <row r="45" spans="2:15" ht="15" thickBot="1" x14ac:dyDescent="0.35">
      <c r="B45" s="73" t="s">
        <v>95</v>
      </c>
      <c r="C45" s="72"/>
      <c r="D45" s="63"/>
      <c r="E45" s="71">
        <v>400</v>
      </c>
      <c r="G45" s="73" t="s">
        <v>95</v>
      </c>
      <c r="H45" s="72"/>
      <c r="I45" s="63"/>
      <c r="J45" s="71">
        <v>470</v>
      </c>
      <c r="L45" s="73" t="s">
        <v>95</v>
      </c>
      <c r="M45" s="72"/>
      <c r="N45" s="63"/>
      <c r="O45" s="71">
        <v>586</v>
      </c>
    </row>
    <row r="46" spans="2:15" ht="15" thickTop="1" x14ac:dyDescent="0.3">
      <c r="B46" s="60" t="s">
        <v>101</v>
      </c>
      <c r="C46" s="2"/>
      <c r="D46" s="2"/>
      <c r="E46" s="68">
        <v>10.4</v>
      </c>
      <c r="G46" s="60" t="s">
        <v>101</v>
      </c>
      <c r="H46" s="2"/>
      <c r="I46" s="2"/>
      <c r="J46" s="68">
        <v>18.399999999999999</v>
      </c>
      <c r="L46" s="60" t="s">
        <v>101</v>
      </c>
      <c r="M46" s="2"/>
      <c r="N46" s="2"/>
      <c r="O46" s="68">
        <v>29.799999999999997</v>
      </c>
    </row>
    <row r="47" spans="2:15" x14ac:dyDescent="0.3">
      <c r="B47" s="60" t="s">
        <v>105</v>
      </c>
      <c r="C47" s="2"/>
      <c r="D47" s="2"/>
      <c r="E47" s="69">
        <v>7.2</v>
      </c>
      <c r="G47" s="60" t="s">
        <v>105</v>
      </c>
      <c r="H47" s="2"/>
      <c r="I47" s="2"/>
      <c r="J47" s="69">
        <v>18</v>
      </c>
      <c r="L47" s="60" t="s">
        <v>105</v>
      </c>
      <c r="M47" s="2"/>
      <c r="N47" s="2"/>
      <c r="O47" s="69">
        <v>11.4</v>
      </c>
    </row>
    <row r="48" spans="2:15" ht="15" thickBot="1" x14ac:dyDescent="0.35">
      <c r="B48" s="73" t="s">
        <v>97</v>
      </c>
      <c r="C48" s="63"/>
      <c r="D48" s="63"/>
      <c r="E48" s="71">
        <v>11.999999999999998</v>
      </c>
      <c r="G48" s="73" t="s">
        <v>97</v>
      </c>
      <c r="H48" s="63"/>
      <c r="I48" s="63"/>
      <c r="J48" s="71">
        <v>37</v>
      </c>
      <c r="L48" s="73" t="s">
        <v>97</v>
      </c>
      <c r="M48" s="63"/>
      <c r="N48" s="63"/>
      <c r="O48" s="71">
        <v>45.600000000000009</v>
      </c>
    </row>
    <row r="49" spans="2:15" ht="15.6" thickTop="1" thickBot="1" x14ac:dyDescent="0.35">
      <c r="B49" s="61" t="s">
        <v>227</v>
      </c>
      <c r="C49" s="126"/>
      <c r="D49" s="62"/>
      <c r="E49" s="130"/>
      <c r="G49" s="61" t="s">
        <v>227</v>
      </c>
      <c r="H49" s="126"/>
      <c r="I49" s="62"/>
      <c r="J49" s="130"/>
      <c r="L49" s="61" t="s">
        <v>227</v>
      </c>
      <c r="M49" s="126"/>
      <c r="N49" s="62"/>
      <c r="O49" s="130"/>
    </row>
    <row r="50" spans="2:15" ht="15" thickTop="1" x14ac:dyDescent="0.3">
      <c r="B50" s="60" t="s">
        <v>294</v>
      </c>
      <c r="C50" s="118"/>
      <c r="D50" s="2"/>
      <c r="E50" s="70">
        <v>0</v>
      </c>
      <c r="G50" s="60" t="s">
        <v>294</v>
      </c>
      <c r="H50" s="118"/>
      <c r="I50" s="2"/>
      <c r="J50" s="70">
        <v>10</v>
      </c>
      <c r="L50" s="60" t="s">
        <v>294</v>
      </c>
      <c r="M50" s="118"/>
      <c r="N50" s="2"/>
      <c r="O50" s="70">
        <v>10</v>
      </c>
    </row>
    <row r="51" spans="2:15" x14ac:dyDescent="0.3">
      <c r="B51" s="60" t="s">
        <v>353</v>
      </c>
      <c r="C51" s="127"/>
      <c r="D51" s="128"/>
      <c r="E51" s="68">
        <v>0</v>
      </c>
      <c r="G51" s="60" t="s">
        <v>353</v>
      </c>
      <c r="H51" s="127"/>
      <c r="I51" s="128"/>
      <c r="J51" s="68">
        <v>100</v>
      </c>
      <c r="L51" s="60" t="s">
        <v>353</v>
      </c>
      <c r="M51" s="127"/>
      <c r="N51" s="128"/>
      <c r="O51" s="68">
        <v>100</v>
      </c>
    </row>
    <row r="52" spans="2:15" x14ac:dyDescent="0.3">
      <c r="B52" s="60" t="s">
        <v>247</v>
      </c>
      <c r="C52" s="127"/>
      <c r="D52" s="128"/>
      <c r="E52" s="68">
        <v>0</v>
      </c>
      <c r="G52" s="60" t="s">
        <v>247</v>
      </c>
      <c r="H52" s="127"/>
      <c r="I52" s="128"/>
      <c r="J52" s="68">
        <v>0</v>
      </c>
      <c r="L52" s="60" t="s">
        <v>247</v>
      </c>
      <c r="M52" s="127"/>
      <c r="N52" s="128"/>
      <c r="O52" s="68">
        <v>0</v>
      </c>
    </row>
    <row r="53" spans="2:15" x14ac:dyDescent="0.3">
      <c r="B53" s="60" t="s">
        <v>93</v>
      </c>
      <c r="C53" s="2"/>
      <c r="D53" s="2"/>
      <c r="E53" s="67">
        <v>520</v>
      </c>
      <c r="G53" s="60" t="s">
        <v>93</v>
      </c>
      <c r="H53" s="2"/>
      <c r="I53" s="2"/>
      <c r="J53" s="67">
        <v>650</v>
      </c>
      <c r="L53" s="60" t="s">
        <v>93</v>
      </c>
      <c r="M53" s="2"/>
      <c r="N53" s="2"/>
      <c r="O53" s="67">
        <v>780</v>
      </c>
    </row>
    <row r="54" spans="2:15" x14ac:dyDescent="0.3">
      <c r="B54" s="60" t="s">
        <v>99</v>
      </c>
      <c r="C54" s="2"/>
      <c r="D54" s="2"/>
      <c r="E54" s="66">
        <v>40</v>
      </c>
      <c r="G54" s="60" t="s">
        <v>99</v>
      </c>
      <c r="H54" s="2"/>
      <c r="I54" s="2"/>
      <c r="J54" s="66">
        <v>50</v>
      </c>
      <c r="L54" s="60" t="s">
        <v>99</v>
      </c>
      <c r="M54" s="2"/>
      <c r="N54" s="2"/>
      <c r="O54" s="66">
        <v>60</v>
      </c>
    </row>
    <row r="55" spans="2:15" x14ac:dyDescent="0.3">
      <c r="B55" s="60" t="s">
        <v>354</v>
      </c>
      <c r="C55" s="2"/>
      <c r="D55" s="2"/>
      <c r="E55" s="67">
        <v>22.4</v>
      </c>
      <c r="G55" s="60" t="s">
        <v>354</v>
      </c>
      <c r="H55" s="2"/>
      <c r="I55" s="2"/>
      <c r="J55" s="67">
        <v>-34.6</v>
      </c>
      <c r="L55" s="60" t="s">
        <v>354</v>
      </c>
      <c r="M55" s="2"/>
      <c r="N55" s="2"/>
      <c r="O55" s="67">
        <v>-14.599999999999994</v>
      </c>
    </row>
    <row r="56" spans="2:15" ht="15" thickBot="1" x14ac:dyDescent="0.35">
      <c r="B56" s="60" t="s">
        <v>96</v>
      </c>
      <c r="C56" s="2"/>
      <c r="D56" s="129"/>
      <c r="E56" s="179">
        <v>130.4</v>
      </c>
      <c r="G56" s="60" t="s">
        <v>96</v>
      </c>
      <c r="H56" s="2"/>
      <c r="I56" s="129"/>
      <c r="J56" s="179">
        <v>108.4</v>
      </c>
      <c r="L56" s="60" t="s">
        <v>96</v>
      </c>
      <c r="M56" s="2"/>
      <c r="N56" s="129"/>
      <c r="O56" s="179">
        <v>133.80000000000001</v>
      </c>
    </row>
    <row r="57" spans="2:15" ht="15.6" thickTop="1" thickBot="1" x14ac:dyDescent="0.35">
      <c r="B57" s="64" t="s">
        <v>94</v>
      </c>
      <c r="C57" s="65"/>
      <c r="D57" s="131"/>
      <c r="E57" s="132">
        <v>542.4</v>
      </c>
      <c r="G57" s="64" t="s">
        <v>94</v>
      </c>
      <c r="H57" s="65"/>
      <c r="I57" s="131"/>
      <c r="J57" s="132">
        <v>615.4</v>
      </c>
      <c r="L57" s="64" t="s">
        <v>94</v>
      </c>
      <c r="M57" s="65"/>
      <c r="N57" s="131"/>
      <c r="O57" s="132">
        <v>765.4</v>
      </c>
    </row>
    <row r="58" spans="2:15" ht="15.6" thickTop="1" thickBot="1" x14ac:dyDescent="0.35">
      <c r="B58" s="64" t="s">
        <v>98</v>
      </c>
      <c r="C58" s="65"/>
      <c r="D58" s="131"/>
      <c r="E58" s="143">
        <v>542.4</v>
      </c>
      <c r="G58" s="64" t="s">
        <v>98</v>
      </c>
      <c r="H58" s="65"/>
      <c r="I58" s="131"/>
      <c r="J58" s="143">
        <v>615.4</v>
      </c>
      <c r="L58" s="64" t="s">
        <v>98</v>
      </c>
      <c r="M58" s="65"/>
      <c r="N58" s="131"/>
      <c r="O58" s="143">
        <v>765.40000000000009</v>
      </c>
    </row>
    <row r="59" spans="2:15" ht="15.6" thickTop="1" thickBot="1" x14ac:dyDescent="0.35">
      <c r="B59" s="2"/>
      <c r="C59" s="2"/>
      <c r="E59" s="202"/>
      <c r="J59" s="202"/>
      <c r="O59" s="202"/>
    </row>
    <row r="60" spans="2:15" ht="15.6" thickTop="1" thickBot="1" x14ac:dyDescent="0.35">
      <c r="B60" s="378" t="s">
        <v>92</v>
      </c>
      <c r="C60" s="379"/>
      <c r="D60" s="180" t="s">
        <v>392</v>
      </c>
      <c r="E60" s="75">
        <v>44972</v>
      </c>
      <c r="G60" s="378" t="s">
        <v>92</v>
      </c>
      <c r="H60" s="379"/>
      <c r="I60" s="180" t="s">
        <v>392</v>
      </c>
      <c r="J60" s="75">
        <v>45000</v>
      </c>
      <c r="L60" s="378" t="s">
        <v>92</v>
      </c>
      <c r="M60" s="379"/>
      <c r="N60" s="180" t="s">
        <v>392</v>
      </c>
      <c r="O60" s="75">
        <v>45031</v>
      </c>
    </row>
    <row r="61" spans="2:15" ht="15.6" thickTop="1" thickBot="1" x14ac:dyDescent="0.35">
      <c r="B61" s="380"/>
      <c r="C61" s="381"/>
      <c r="D61" s="180" t="s">
        <v>393</v>
      </c>
      <c r="E61" s="75">
        <v>44788</v>
      </c>
      <c r="G61" s="380"/>
      <c r="H61" s="381"/>
      <c r="I61" s="180" t="s">
        <v>393</v>
      </c>
      <c r="J61" s="75">
        <v>44788</v>
      </c>
      <c r="L61" s="380"/>
      <c r="M61" s="381"/>
      <c r="N61" s="180" t="s">
        <v>393</v>
      </c>
      <c r="O61" s="75">
        <v>44788</v>
      </c>
    </row>
    <row r="62" spans="2:15" ht="15.6" thickTop="1" thickBot="1" x14ac:dyDescent="0.35">
      <c r="B62" s="382"/>
      <c r="C62" s="383"/>
      <c r="D62" s="180" t="s">
        <v>391</v>
      </c>
      <c r="E62" s="75">
        <v>44999</v>
      </c>
      <c r="G62" s="382"/>
      <c r="H62" s="383"/>
      <c r="I62" s="180" t="s">
        <v>391</v>
      </c>
      <c r="J62" s="75">
        <v>45030</v>
      </c>
      <c r="L62" s="382"/>
      <c r="M62" s="383"/>
      <c r="N62" s="180" t="s">
        <v>391</v>
      </c>
      <c r="O62" s="75">
        <v>45060</v>
      </c>
    </row>
    <row r="63" spans="2:15" ht="15.6" thickTop="1" thickBot="1" x14ac:dyDescent="0.35">
      <c r="B63" s="60" t="s">
        <v>91</v>
      </c>
      <c r="C63" s="2"/>
      <c r="D63" s="2"/>
      <c r="E63" s="117">
        <v>910</v>
      </c>
      <c r="G63" s="60" t="s">
        <v>91</v>
      </c>
      <c r="H63" s="2"/>
      <c r="I63" s="2"/>
      <c r="J63" s="117">
        <v>1040</v>
      </c>
      <c r="L63" s="60" t="s">
        <v>91</v>
      </c>
      <c r="M63" s="2"/>
      <c r="N63" s="2"/>
      <c r="O63" s="117">
        <v>1170</v>
      </c>
    </row>
    <row r="64" spans="2:15" ht="15.6" thickTop="1" thickBot="1" x14ac:dyDescent="0.35">
      <c r="B64" s="61" t="s">
        <v>168</v>
      </c>
      <c r="C64" s="62"/>
      <c r="D64" s="62"/>
      <c r="E64" s="123"/>
      <c r="G64" s="61" t="s">
        <v>168</v>
      </c>
      <c r="H64" s="62"/>
      <c r="I64" s="62"/>
      <c r="J64" s="123"/>
      <c r="L64" s="61" t="s">
        <v>168</v>
      </c>
      <c r="M64" s="62"/>
      <c r="N64" s="62"/>
      <c r="O64" s="123"/>
    </row>
    <row r="65" spans="2:15" ht="15" thickTop="1" x14ac:dyDescent="0.3">
      <c r="B65" s="121" t="s">
        <v>224</v>
      </c>
      <c r="C65" s="2"/>
      <c r="D65" s="2"/>
      <c r="E65" s="116">
        <v>1830</v>
      </c>
      <c r="G65" s="121" t="s">
        <v>224</v>
      </c>
      <c r="H65" s="2"/>
      <c r="I65" s="2"/>
      <c r="J65" s="116">
        <v>2310</v>
      </c>
      <c r="L65" s="121" t="s">
        <v>224</v>
      </c>
      <c r="M65" s="2"/>
      <c r="N65" s="2"/>
      <c r="O65" s="116">
        <v>2610</v>
      </c>
    </row>
    <row r="66" spans="2:15" x14ac:dyDescent="0.3">
      <c r="B66" s="122" t="s">
        <v>225</v>
      </c>
      <c r="C66" s="2"/>
      <c r="D66" s="2"/>
      <c r="E66" s="68">
        <v>100</v>
      </c>
      <c r="G66" s="122" t="s">
        <v>225</v>
      </c>
      <c r="H66" s="2"/>
      <c r="I66" s="2"/>
      <c r="J66" s="68">
        <v>100</v>
      </c>
      <c r="L66" s="122" t="s">
        <v>225</v>
      </c>
      <c r="M66" s="2"/>
      <c r="N66" s="2"/>
      <c r="O66" s="68">
        <v>100</v>
      </c>
    </row>
    <row r="67" spans="2:15" x14ac:dyDescent="0.3">
      <c r="B67" s="60" t="s">
        <v>102</v>
      </c>
      <c r="C67" s="2"/>
      <c r="D67" s="2"/>
      <c r="E67" s="69">
        <v>400</v>
      </c>
      <c r="G67" s="60" t="s">
        <v>102</v>
      </c>
      <c r="H67" s="2"/>
      <c r="I67" s="2"/>
      <c r="J67" s="69">
        <v>480</v>
      </c>
      <c r="L67" s="60" t="s">
        <v>102</v>
      </c>
      <c r="M67" s="2"/>
      <c r="N67" s="2"/>
      <c r="O67" s="69">
        <v>300</v>
      </c>
    </row>
    <row r="68" spans="2:15" x14ac:dyDescent="0.3">
      <c r="B68" s="122" t="s">
        <v>226</v>
      </c>
      <c r="C68" s="2"/>
      <c r="D68" s="2"/>
      <c r="E68" s="124">
        <v>101.4</v>
      </c>
      <c r="G68" s="122" t="s">
        <v>226</v>
      </c>
      <c r="H68" s="2"/>
      <c r="I68" s="2"/>
      <c r="J68" s="124">
        <v>135</v>
      </c>
      <c r="L68" s="122" t="s">
        <v>226</v>
      </c>
      <c r="M68" s="2"/>
      <c r="N68" s="2"/>
      <c r="O68" s="124">
        <v>159</v>
      </c>
    </row>
    <row r="69" spans="2:15" ht="15" thickBot="1" x14ac:dyDescent="0.35">
      <c r="B69" s="60" t="s">
        <v>104</v>
      </c>
      <c r="C69" s="2"/>
      <c r="D69" s="2"/>
      <c r="E69" s="69">
        <v>26</v>
      </c>
      <c r="G69" s="60" t="s">
        <v>104</v>
      </c>
      <c r="H69" s="2"/>
      <c r="I69" s="2"/>
      <c r="J69" s="69">
        <v>33.6</v>
      </c>
      <c r="L69" s="60" t="s">
        <v>104</v>
      </c>
      <c r="M69" s="2"/>
      <c r="N69" s="2"/>
      <c r="O69" s="69">
        <v>24</v>
      </c>
    </row>
    <row r="70" spans="2:15" ht="15.6" thickTop="1" thickBot="1" x14ac:dyDescent="0.35">
      <c r="B70" s="125" t="s">
        <v>39</v>
      </c>
      <c r="C70" s="62"/>
      <c r="D70" s="62"/>
      <c r="E70" s="123"/>
      <c r="G70" s="125" t="s">
        <v>39</v>
      </c>
      <c r="H70" s="62"/>
      <c r="I70" s="62"/>
      <c r="J70" s="123"/>
      <c r="L70" s="125" t="s">
        <v>39</v>
      </c>
      <c r="M70" s="62"/>
      <c r="N70" s="62"/>
      <c r="O70" s="123"/>
    </row>
    <row r="71" spans="2:15" ht="15" thickTop="1" x14ac:dyDescent="0.3">
      <c r="B71" s="60" t="s">
        <v>100</v>
      </c>
      <c r="C71" s="2"/>
      <c r="D71" s="2"/>
      <c r="E71" s="68">
        <v>1019.67</v>
      </c>
      <c r="G71" s="60" t="s">
        <v>100</v>
      </c>
      <c r="H71" s="2"/>
      <c r="I71" s="2"/>
      <c r="J71" s="68">
        <v>1320.3400000000001</v>
      </c>
      <c r="L71" s="60" t="s">
        <v>100</v>
      </c>
      <c r="M71" s="2"/>
      <c r="N71" s="2"/>
      <c r="O71" s="68">
        <v>1801.0000000000002</v>
      </c>
    </row>
    <row r="72" spans="2:15" x14ac:dyDescent="0.3">
      <c r="B72" s="60" t="s">
        <v>103</v>
      </c>
      <c r="C72" s="2"/>
      <c r="D72" s="2"/>
      <c r="E72" s="69">
        <v>175.67000000000002</v>
      </c>
      <c r="G72" s="60" t="s">
        <v>103</v>
      </c>
      <c r="H72" s="2"/>
      <c r="I72" s="2"/>
      <c r="J72" s="69">
        <v>300.67</v>
      </c>
      <c r="L72" s="60" t="s">
        <v>103</v>
      </c>
      <c r="M72" s="2"/>
      <c r="N72" s="2"/>
      <c r="O72" s="69">
        <v>480.65999999999997</v>
      </c>
    </row>
    <row r="73" spans="2:15" ht="15" thickBot="1" x14ac:dyDescent="0.35">
      <c r="B73" s="73" t="s">
        <v>95</v>
      </c>
      <c r="C73" s="72"/>
      <c r="D73" s="63"/>
      <c r="E73" s="71">
        <v>810.33</v>
      </c>
      <c r="G73" s="73" t="s">
        <v>95</v>
      </c>
      <c r="H73" s="72"/>
      <c r="I73" s="63"/>
      <c r="J73" s="71">
        <v>989.65999999999985</v>
      </c>
      <c r="L73" s="73" t="s">
        <v>95</v>
      </c>
      <c r="M73" s="72"/>
      <c r="N73" s="63"/>
      <c r="O73" s="71">
        <v>808.99999999999977</v>
      </c>
    </row>
    <row r="74" spans="2:15" ht="15" thickTop="1" x14ac:dyDescent="0.3">
      <c r="B74" s="60" t="s">
        <v>101</v>
      </c>
      <c r="C74" s="2"/>
      <c r="D74" s="2"/>
      <c r="E74" s="68">
        <v>43.199999999999996</v>
      </c>
      <c r="G74" s="60" t="s">
        <v>101</v>
      </c>
      <c r="H74" s="2"/>
      <c r="I74" s="2"/>
      <c r="J74" s="68">
        <v>64.599999999999994</v>
      </c>
      <c r="L74" s="60" t="s">
        <v>101</v>
      </c>
      <c r="M74" s="2"/>
      <c r="N74" s="2"/>
      <c r="O74" s="68">
        <v>95.6</v>
      </c>
    </row>
    <row r="75" spans="2:15" x14ac:dyDescent="0.3">
      <c r="B75" s="60" t="s">
        <v>105</v>
      </c>
      <c r="C75" s="2"/>
      <c r="D75" s="2"/>
      <c r="E75" s="69">
        <v>13.4</v>
      </c>
      <c r="G75" s="60" t="s">
        <v>105</v>
      </c>
      <c r="H75" s="2"/>
      <c r="I75" s="2"/>
      <c r="J75" s="69">
        <v>21.4</v>
      </c>
      <c r="L75" s="60" t="s">
        <v>105</v>
      </c>
      <c r="M75" s="2"/>
      <c r="N75" s="2"/>
      <c r="O75" s="69">
        <v>31</v>
      </c>
    </row>
    <row r="76" spans="2:15" ht="15" thickBot="1" x14ac:dyDescent="0.35">
      <c r="B76" s="73" t="s">
        <v>97</v>
      </c>
      <c r="C76" s="63"/>
      <c r="D76" s="63"/>
      <c r="E76" s="71">
        <v>58.20000000000001</v>
      </c>
      <c r="G76" s="73" t="s">
        <v>97</v>
      </c>
      <c r="H76" s="63"/>
      <c r="I76" s="63"/>
      <c r="J76" s="71">
        <v>70.400000000000006</v>
      </c>
      <c r="L76" s="73" t="s">
        <v>97</v>
      </c>
      <c r="M76" s="63"/>
      <c r="N76" s="63"/>
      <c r="O76" s="71">
        <v>63.400000000000006</v>
      </c>
    </row>
    <row r="77" spans="2:15" ht="15.6" thickTop="1" thickBot="1" x14ac:dyDescent="0.35">
      <c r="B77" s="61" t="s">
        <v>227</v>
      </c>
      <c r="C77" s="126"/>
      <c r="D77" s="62"/>
      <c r="E77" s="130"/>
      <c r="G77" s="61" t="s">
        <v>227</v>
      </c>
      <c r="H77" s="126"/>
      <c r="I77" s="62"/>
      <c r="J77" s="130"/>
      <c r="L77" s="61" t="s">
        <v>227</v>
      </c>
      <c r="M77" s="126"/>
      <c r="N77" s="62"/>
      <c r="O77" s="130"/>
    </row>
    <row r="78" spans="2:15" ht="15" thickTop="1" x14ac:dyDescent="0.3">
      <c r="B78" s="60" t="s">
        <v>294</v>
      </c>
      <c r="C78" s="118"/>
      <c r="D78" s="2"/>
      <c r="E78" s="70">
        <v>10</v>
      </c>
      <c r="G78" s="60" t="s">
        <v>294</v>
      </c>
      <c r="H78" s="118"/>
      <c r="I78" s="2"/>
      <c r="J78" s="70">
        <v>10</v>
      </c>
      <c r="L78" s="60" t="s">
        <v>294</v>
      </c>
      <c r="M78" s="118"/>
      <c r="N78" s="2"/>
      <c r="O78" s="70">
        <v>10</v>
      </c>
    </row>
    <row r="79" spans="2:15" x14ac:dyDescent="0.3">
      <c r="B79" s="60" t="s">
        <v>353</v>
      </c>
      <c r="C79" s="127"/>
      <c r="D79" s="128"/>
      <c r="E79" s="68">
        <v>100</v>
      </c>
      <c r="G79" s="60" t="s">
        <v>353</v>
      </c>
      <c r="H79" s="127"/>
      <c r="I79" s="128"/>
      <c r="J79" s="68">
        <v>100</v>
      </c>
      <c r="L79" s="60" t="s">
        <v>353</v>
      </c>
      <c r="M79" s="127"/>
      <c r="N79" s="128"/>
      <c r="O79" s="68">
        <v>100</v>
      </c>
    </row>
    <row r="80" spans="2:15" x14ac:dyDescent="0.3">
      <c r="B80" s="60" t="s">
        <v>247</v>
      </c>
      <c r="C80" s="127"/>
      <c r="D80" s="128"/>
      <c r="E80" s="68">
        <v>0</v>
      </c>
      <c r="G80" s="60" t="s">
        <v>247</v>
      </c>
      <c r="H80" s="127"/>
      <c r="I80" s="128"/>
      <c r="J80" s="68">
        <v>0</v>
      </c>
      <c r="L80" s="60" t="s">
        <v>247</v>
      </c>
      <c r="M80" s="127"/>
      <c r="N80" s="128"/>
      <c r="O80" s="68">
        <v>0</v>
      </c>
    </row>
    <row r="81" spans="2:15" x14ac:dyDescent="0.3">
      <c r="B81" s="60" t="s">
        <v>93</v>
      </c>
      <c r="C81" s="2"/>
      <c r="D81" s="2"/>
      <c r="E81" s="67">
        <v>910</v>
      </c>
      <c r="G81" s="60" t="s">
        <v>93</v>
      </c>
      <c r="H81" s="2"/>
      <c r="I81" s="2"/>
      <c r="J81" s="67">
        <v>1040</v>
      </c>
      <c r="L81" s="60" t="s">
        <v>93</v>
      </c>
      <c r="M81" s="2"/>
      <c r="N81" s="2"/>
      <c r="O81" s="67">
        <v>1170</v>
      </c>
    </row>
    <row r="82" spans="2:15" x14ac:dyDescent="0.3">
      <c r="B82" s="60" t="s">
        <v>99</v>
      </c>
      <c r="C82" s="2"/>
      <c r="D82" s="2"/>
      <c r="E82" s="66">
        <v>70</v>
      </c>
      <c r="G82" s="60" t="s">
        <v>99</v>
      </c>
      <c r="H82" s="2"/>
      <c r="I82" s="2"/>
      <c r="J82" s="66">
        <v>80</v>
      </c>
      <c r="L82" s="60" t="s">
        <v>99</v>
      </c>
      <c r="M82" s="2"/>
      <c r="N82" s="2"/>
      <c r="O82" s="66">
        <v>90</v>
      </c>
    </row>
    <row r="83" spans="2:15" x14ac:dyDescent="0.3">
      <c r="B83" s="60" t="s">
        <v>354</v>
      </c>
      <c r="C83" s="2"/>
      <c r="D83" s="2"/>
      <c r="E83" s="67">
        <v>11.400000000000006</v>
      </c>
      <c r="G83" s="60" t="s">
        <v>354</v>
      </c>
      <c r="H83" s="2"/>
      <c r="I83" s="2"/>
      <c r="J83" s="67">
        <v>45</v>
      </c>
      <c r="L83" s="60" t="s">
        <v>354</v>
      </c>
      <c r="M83" s="2"/>
      <c r="N83" s="2"/>
      <c r="O83" s="67">
        <v>69</v>
      </c>
    </row>
    <row r="84" spans="2:15" ht="15" thickBot="1" x14ac:dyDescent="0.35">
      <c r="B84" s="60" t="s">
        <v>96</v>
      </c>
      <c r="C84" s="2"/>
      <c r="D84" s="129"/>
      <c r="E84" s="179">
        <v>52.87</v>
      </c>
      <c r="G84" s="60" t="s">
        <v>96</v>
      </c>
      <c r="H84" s="2"/>
      <c r="I84" s="129"/>
      <c r="J84" s="179">
        <v>24.94</v>
      </c>
      <c r="L84" s="60" t="s">
        <v>96</v>
      </c>
      <c r="M84" s="2"/>
      <c r="N84" s="129"/>
      <c r="O84" s="179">
        <v>366.6</v>
      </c>
    </row>
    <row r="85" spans="2:15" ht="15.6" thickTop="1" thickBot="1" x14ac:dyDescent="0.35">
      <c r="B85" s="64" t="s">
        <v>94</v>
      </c>
      <c r="C85" s="65"/>
      <c r="D85" s="131"/>
      <c r="E85" s="132">
        <v>921.4</v>
      </c>
      <c r="G85" s="64" t="s">
        <v>94</v>
      </c>
      <c r="H85" s="65"/>
      <c r="I85" s="131"/>
      <c r="J85" s="132">
        <v>1085</v>
      </c>
      <c r="L85" s="64" t="s">
        <v>94</v>
      </c>
      <c r="M85" s="65"/>
      <c r="N85" s="131"/>
      <c r="O85" s="132">
        <v>1239</v>
      </c>
    </row>
    <row r="86" spans="2:15" ht="15.6" thickTop="1" thickBot="1" x14ac:dyDescent="0.35">
      <c r="B86" s="64" t="s">
        <v>98</v>
      </c>
      <c r="C86" s="65"/>
      <c r="D86" s="131"/>
      <c r="E86" s="143">
        <v>921.40000000000009</v>
      </c>
      <c r="G86" s="64" t="s">
        <v>98</v>
      </c>
      <c r="H86" s="65"/>
      <c r="I86" s="131"/>
      <c r="J86" s="143">
        <v>1085</v>
      </c>
      <c r="L86" s="64" t="s">
        <v>98</v>
      </c>
      <c r="M86" s="65"/>
      <c r="N86" s="131"/>
      <c r="O86" s="143">
        <v>1238.9999999999998</v>
      </c>
    </row>
    <row r="87" spans="2:15" ht="15.6" thickTop="1" thickBot="1" x14ac:dyDescent="0.35">
      <c r="E87" s="202"/>
      <c r="J87" s="202"/>
      <c r="O87" s="202"/>
    </row>
    <row r="88" spans="2:15" ht="15.6" thickTop="1" thickBot="1" x14ac:dyDescent="0.35">
      <c r="B88" s="378" t="s">
        <v>92</v>
      </c>
      <c r="C88" s="379"/>
      <c r="D88" s="180" t="s">
        <v>392</v>
      </c>
      <c r="E88" s="75">
        <v>45061</v>
      </c>
      <c r="G88" s="378" t="s">
        <v>92</v>
      </c>
      <c r="H88" s="379"/>
      <c r="I88" s="180" t="s">
        <v>392</v>
      </c>
      <c r="J88" s="75">
        <v>45092</v>
      </c>
      <c r="L88" s="378" t="s">
        <v>92</v>
      </c>
      <c r="M88" s="379"/>
      <c r="N88" s="180" t="s">
        <v>392</v>
      </c>
      <c r="O88" s="75">
        <v>45122</v>
      </c>
    </row>
    <row r="89" spans="2:15" ht="15.6" thickTop="1" thickBot="1" x14ac:dyDescent="0.35">
      <c r="B89" s="380"/>
      <c r="C89" s="381"/>
      <c r="D89" s="180" t="s">
        <v>393</v>
      </c>
      <c r="E89" s="75">
        <v>44788</v>
      </c>
      <c r="G89" s="380"/>
      <c r="H89" s="381"/>
      <c r="I89" s="180" t="s">
        <v>393</v>
      </c>
      <c r="J89" s="75">
        <v>44788</v>
      </c>
      <c r="L89" s="380"/>
      <c r="M89" s="381"/>
      <c r="N89" s="180" t="s">
        <v>393</v>
      </c>
      <c r="O89" s="75">
        <v>44788</v>
      </c>
    </row>
    <row r="90" spans="2:15" ht="15.6" thickTop="1" thickBot="1" x14ac:dyDescent="0.35">
      <c r="B90" s="382"/>
      <c r="C90" s="383"/>
      <c r="D90" s="180" t="s">
        <v>391</v>
      </c>
      <c r="E90" s="75">
        <v>45091</v>
      </c>
      <c r="G90" s="382"/>
      <c r="H90" s="383"/>
      <c r="I90" s="180" t="s">
        <v>391</v>
      </c>
      <c r="J90" s="75">
        <v>45121</v>
      </c>
      <c r="L90" s="382"/>
      <c r="M90" s="383"/>
      <c r="N90" s="180" t="s">
        <v>391</v>
      </c>
      <c r="O90" s="75">
        <v>45152</v>
      </c>
    </row>
    <row r="91" spans="2:15" ht="15.6" thickTop="1" thickBot="1" x14ac:dyDescent="0.35">
      <c r="B91" s="60" t="s">
        <v>91</v>
      </c>
      <c r="C91" s="2"/>
      <c r="D91" s="2"/>
      <c r="E91" s="117">
        <v>1300</v>
      </c>
      <c r="G91" s="60" t="s">
        <v>91</v>
      </c>
      <c r="H91" s="2"/>
      <c r="I91" s="2"/>
      <c r="J91" s="117">
        <v>1430</v>
      </c>
      <c r="L91" s="60" t="s">
        <v>91</v>
      </c>
      <c r="M91" s="2"/>
      <c r="N91" s="2"/>
      <c r="O91" s="117">
        <v>1560</v>
      </c>
    </row>
    <row r="92" spans="2:15" ht="15.6" thickTop="1" thickBot="1" x14ac:dyDescent="0.35">
      <c r="B92" s="61" t="s">
        <v>168</v>
      </c>
      <c r="C92" s="62"/>
      <c r="D92" s="62"/>
      <c r="E92" s="123"/>
      <c r="G92" s="61" t="s">
        <v>168</v>
      </c>
      <c r="H92" s="62"/>
      <c r="I92" s="62"/>
      <c r="J92" s="123"/>
      <c r="L92" s="61" t="s">
        <v>168</v>
      </c>
      <c r="M92" s="62"/>
      <c r="N92" s="62"/>
      <c r="O92" s="123"/>
    </row>
    <row r="93" spans="2:15" ht="15" thickTop="1" x14ac:dyDescent="0.3">
      <c r="B93" s="121" t="s">
        <v>224</v>
      </c>
      <c r="C93" s="2"/>
      <c r="D93" s="2"/>
      <c r="E93" s="116">
        <v>2910</v>
      </c>
      <c r="G93" s="121" t="s">
        <v>224</v>
      </c>
      <c r="H93" s="2"/>
      <c r="I93" s="2"/>
      <c r="J93" s="116">
        <v>3910</v>
      </c>
      <c r="L93" s="121" t="s">
        <v>224</v>
      </c>
      <c r="M93" s="2"/>
      <c r="N93" s="2"/>
      <c r="O93" s="116">
        <v>4210</v>
      </c>
    </row>
    <row r="94" spans="2:15" x14ac:dyDescent="0.3">
      <c r="B94" s="122" t="s">
        <v>225</v>
      </c>
      <c r="C94" s="2"/>
      <c r="D94" s="2"/>
      <c r="E94" s="68">
        <v>100</v>
      </c>
      <c r="G94" s="122" t="s">
        <v>225</v>
      </c>
      <c r="H94" s="2"/>
      <c r="I94" s="2"/>
      <c r="J94" s="68">
        <v>100</v>
      </c>
      <c r="L94" s="122" t="s">
        <v>225</v>
      </c>
      <c r="M94" s="2"/>
      <c r="N94" s="2"/>
      <c r="O94" s="68">
        <v>100</v>
      </c>
    </row>
    <row r="95" spans="2:15" x14ac:dyDescent="0.3">
      <c r="B95" s="60" t="s">
        <v>102</v>
      </c>
      <c r="C95" s="2"/>
      <c r="D95" s="2"/>
      <c r="E95" s="69">
        <v>300</v>
      </c>
      <c r="G95" s="60" t="s">
        <v>102</v>
      </c>
      <c r="H95" s="2"/>
      <c r="I95" s="2"/>
      <c r="J95" s="69">
        <v>1000</v>
      </c>
      <c r="L95" s="60" t="s">
        <v>102</v>
      </c>
      <c r="M95" s="2"/>
      <c r="N95" s="2"/>
      <c r="O95" s="69">
        <v>300</v>
      </c>
    </row>
    <row r="96" spans="2:15" x14ac:dyDescent="0.3">
      <c r="B96" s="122" t="s">
        <v>226</v>
      </c>
      <c r="C96" s="2"/>
      <c r="D96" s="2"/>
      <c r="E96" s="124">
        <v>175</v>
      </c>
      <c r="G96" s="122" t="s">
        <v>226</v>
      </c>
      <c r="H96" s="2"/>
      <c r="I96" s="2"/>
      <c r="J96" s="124">
        <v>255</v>
      </c>
      <c r="L96" s="122" t="s">
        <v>226</v>
      </c>
      <c r="M96" s="2"/>
      <c r="N96" s="2"/>
      <c r="O96" s="124">
        <v>261</v>
      </c>
    </row>
    <row r="97" spans="2:15" ht="15" thickBot="1" x14ac:dyDescent="0.35">
      <c r="B97" s="60" t="s">
        <v>104</v>
      </c>
      <c r="C97" s="2"/>
      <c r="D97" s="2"/>
      <c r="E97" s="69">
        <v>16</v>
      </c>
      <c r="G97" s="60" t="s">
        <v>104</v>
      </c>
      <c r="H97" s="2"/>
      <c r="I97" s="2"/>
      <c r="J97" s="69">
        <v>80</v>
      </c>
      <c r="L97" s="60" t="s">
        <v>104</v>
      </c>
      <c r="M97" s="2"/>
      <c r="N97" s="2"/>
      <c r="O97" s="69">
        <v>6</v>
      </c>
    </row>
    <row r="98" spans="2:15" ht="15.6" thickTop="1" thickBot="1" x14ac:dyDescent="0.35">
      <c r="B98" s="125" t="s">
        <v>39</v>
      </c>
      <c r="C98" s="62"/>
      <c r="D98" s="62"/>
      <c r="E98" s="123"/>
      <c r="G98" s="125" t="s">
        <v>39</v>
      </c>
      <c r="H98" s="62"/>
      <c r="I98" s="62"/>
      <c r="J98" s="123"/>
      <c r="L98" s="125" t="s">
        <v>39</v>
      </c>
      <c r="M98" s="62"/>
      <c r="N98" s="62"/>
      <c r="O98" s="123"/>
    </row>
    <row r="99" spans="2:15" ht="15" thickTop="1" x14ac:dyDescent="0.3">
      <c r="B99" s="60" t="s">
        <v>100</v>
      </c>
      <c r="C99" s="2"/>
      <c r="D99" s="2"/>
      <c r="E99" s="68">
        <v>2160</v>
      </c>
      <c r="G99" s="60" t="s">
        <v>100</v>
      </c>
      <c r="H99" s="2"/>
      <c r="I99" s="2"/>
      <c r="J99" s="68">
        <v>2485</v>
      </c>
      <c r="L99" s="60" t="s">
        <v>100</v>
      </c>
      <c r="M99" s="2"/>
      <c r="N99" s="2"/>
      <c r="O99" s="68">
        <v>2785</v>
      </c>
    </row>
    <row r="100" spans="2:15" x14ac:dyDescent="0.3">
      <c r="B100" s="60" t="s">
        <v>103</v>
      </c>
      <c r="C100" s="2"/>
      <c r="D100" s="2"/>
      <c r="E100" s="69">
        <v>359</v>
      </c>
      <c r="G100" s="60" t="s">
        <v>103</v>
      </c>
      <c r="H100" s="2"/>
      <c r="I100" s="2"/>
      <c r="J100" s="69">
        <v>325</v>
      </c>
      <c r="L100" s="60" t="s">
        <v>103</v>
      </c>
      <c r="M100" s="2"/>
      <c r="N100" s="2"/>
      <c r="O100" s="69">
        <v>300</v>
      </c>
    </row>
    <row r="101" spans="2:15" ht="15" thickBot="1" x14ac:dyDescent="0.35">
      <c r="B101" s="73" t="s">
        <v>95</v>
      </c>
      <c r="C101" s="72"/>
      <c r="D101" s="63"/>
      <c r="E101" s="71">
        <v>750</v>
      </c>
      <c r="G101" s="73" t="s">
        <v>95</v>
      </c>
      <c r="H101" s="72"/>
      <c r="I101" s="63"/>
      <c r="J101" s="71">
        <v>1425</v>
      </c>
      <c r="L101" s="73" t="s">
        <v>95</v>
      </c>
      <c r="M101" s="72"/>
      <c r="N101" s="63"/>
      <c r="O101" s="71">
        <v>1425</v>
      </c>
    </row>
    <row r="102" spans="2:15" ht="15" thickTop="1" x14ac:dyDescent="0.3">
      <c r="B102" s="60" t="s">
        <v>101</v>
      </c>
      <c r="C102" s="2"/>
      <c r="D102" s="2"/>
      <c r="E102" s="68">
        <v>123</v>
      </c>
      <c r="G102" s="60" t="s">
        <v>101</v>
      </c>
      <c r="H102" s="2"/>
      <c r="I102" s="2"/>
      <c r="J102" s="68">
        <v>145</v>
      </c>
      <c r="L102" s="60" t="s">
        <v>101</v>
      </c>
      <c r="M102" s="2"/>
      <c r="N102" s="2"/>
      <c r="O102" s="68">
        <v>185</v>
      </c>
    </row>
    <row r="103" spans="2:15" x14ac:dyDescent="0.3">
      <c r="B103" s="60" t="s">
        <v>105</v>
      </c>
      <c r="C103" s="2"/>
      <c r="D103" s="2"/>
      <c r="E103" s="69">
        <v>27.4</v>
      </c>
      <c r="G103" s="60" t="s">
        <v>105</v>
      </c>
      <c r="H103" s="2"/>
      <c r="I103" s="2"/>
      <c r="J103" s="69">
        <v>22</v>
      </c>
      <c r="L103" s="60" t="s">
        <v>105</v>
      </c>
      <c r="M103" s="2"/>
      <c r="N103" s="2"/>
      <c r="O103" s="69">
        <v>40</v>
      </c>
    </row>
    <row r="104" spans="2:15" ht="15" thickBot="1" x14ac:dyDescent="0.35">
      <c r="B104" s="73" t="s">
        <v>97</v>
      </c>
      <c r="C104" s="63"/>
      <c r="D104" s="63"/>
      <c r="E104" s="71">
        <v>52</v>
      </c>
      <c r="G104" s="73" t="s">
        <v>97</v>
      </c>
      <c r="H104" s="63"/>
      <c r="I104" s="63"/>
      <c r="J104" s="71">
        <v>110</v>
      </c>
      <c r="L104" s="73" t="s">
        <v>97</v>
      </c>
      <c r="M104" s="63"/>
      <c r="N104" s="63"/>
      <c r="O104" s="71">
        <v>76</v>
      </c>
    </row>
    <row r="105" spans="2:15" ht="15.6" thickTop="1" thickBot="1" x14ac:dyDescent="0.35">
      <c r="B105" s="61" t="s">
        <v>227</v>
      </c>
      <c r="C105" s="126"/>
      <c r="D105" s="62"/>
      <c r="E105" s="130"/>
      <c r="G105" s="61" t="s">
        <v>227</v>
      </c>
      <c r="H105" s="126"/>
      <c r="I105" s="62"/>
      <c r="J105" s="130"/>
      <c r="L105" s="61" t="s">
        <v>227</v>
      </c>
      <c r="M105" s="126"/>
      <c r="N105" s="62"/>
      <c r="O105" s="130"/>
    </row>
    <row r="106" spans="2:15" ht="15" thickTop="1" x14ac:dyDescent="0.3">
      <c r="B106" s="60" t="s">
        <v>294</v>
      </c>
      <c r="C106" s="118"/>
      <c r="D106" s="2"/>
      <c r="E106" s="70">
        <v>10</v>
      </c>
      <c r="G106" s="60" t="s">
        <v>294</v>
      </c>
      <c r="H106" s="118"/>
      <c r="I106" s="2"/>
      <c r="J106" s="70">
        <v>10</v>
      </c>
      <c r="L106" s="60" t="s">
        <v>294</v>
      </c>
      <c r="M106" s="118"/>
      <c r="N106" s="2"/>
      <c r="O106" s="70">
        <v>10</v>
      </c>
    </row>
    <row r="107" spans="2:15" x14ac:dyDescent="0.3">
      <c r="B107" s="60" t="s">
        <v>353</v>
      </c>
      <c r="C107" s="127"/>
      <c r="D107" s="128"/>
      <c r="E107" s="68">
        <v>100</v>
      </c>
      <c r="G107" s="60" t="s">
        <v>353</v>
      </c>
      <c r="H107" s="127"/>
      <c r="I107" s="128"/>
      <c r="J107" s="68">
        <v>100</v>
      </c>
      <c r="L107" s="60" t="s">
        <v>353</v>
      </c>
      <c r="M107" s="127"/>
      <c r="N107" s="128"/>
      <c r="O107" s="68">
        <v>100</v>
      </c>
    </row>
    <row r="108" spans="2:15" x14ac:dyDescent="0.3">
      <c r="B108" s="60" t="s">
        <v>247</v>
      </c>
      <c r="C108" s="127"/>
      <c r="D108" s="128"/>
      <c r="E108" s="68">
        <v>0</v>
      </c>
      <c r="G108" s="60" t="s">
        <v>247</v>
      </c>
      <c r="H108" s="127"/>
      <c r="I108" s="128"/>
      <c r="J108" s="68">
        <v>0</v>
      </c>
      <c r="L108" s="60" t="s">
        <v>247</v>
      </c>
      <c r="M108" s="127"/>
      <c r="N108" s="128"/>
      <c r="O108" s="68">
        <v>0</v>
      </c>
    </row>
    <row r="109" spans="2:15" x14ac:dyDescent="0.3">
      <c r="B109" s="60" t="s">
        <v>93</v>
      </c>
      <c r="C109" s="2"/>
      <c r="D109" s="2"/>
      <c r="E109" s="67">
        <v>1300</v>
      </c>
      <c r="G109" s="60" t="s">
        <v>93</v>
      </c>
      <c r="H109" s="2"/>
      <c r="I109" s="2"/>
      <c r="J109" s="67">
        <v>1430</v>
      </c>
      <c r="L109" s="60" t="s">
        <v>93</v>
      </c>
      <c r="M109" s="2"/>
      <c r="N109" s="2"/>
      <c r="O109" s="67">
        <v>1560</v>
      </c>
    </row>
    <row r="110" spans="2:15" x14ac:dyDescent="0.3">
      <c r="B110" s="60" t="s">
        <v>99</v>
      </c>
      <c r="C110" s="2"/>
      <c r="D110" s="2"/>
      <c r="E110" s="66">
        <v>100</v>
      </c>
      <c r="G110" s="60" t="s">
        <v>99</v>
      </c>
      <c r="H110" s="2"/>
      <c r="I110" s="2"/>
      <c r="J110" s="66">
        <v>110</v>
      </c>
      <c r="L110" s="60" t="s">
        <v>99</v>
      </c>
      <c r="M110" s="2"/>
      <c r="N110" s="2"/>
      <c r="O110" s="66">
        <v>120</v>
      </c>
    </row>
    <row r="111" spans="2:15" x14ac:dyDescent="0.3">
      <c r="B111" s="60" t="s">
        <v>354</v>
      </c>
      <c r="C111" s="2"/>
      <c r="D111" s="2"/>
      <c r="E111" s="67">
        <v>85</v>
      </c>
      <c r="G111" s="60" t="s">
        <v>354</v>
      </c>
      <c r="H111" s="2"/>
      <c r="I111" s="2"/>
      <c r="J111" s="67">
        <v>165</v>
      </c>
      <c r="L111" s="60" t="s">
        <v>354</v>
      </c>
      <c r="M111" s="2"/>
      <c r="N111" s="2"/>
      <c r="O111" s="67">
        <v>171</v>
      </c>
    </row>
    <row r="112" spans="2:15" ht="15" thickBot="1" x14ac:dyDescent="0.35">
      <c r="B112" s="60" t="s">
        <v>96</v>
      </c>
      <c r="C112" s="2"/>
      <c r="D112" s="129"/>
      <c r="E112" s="179">
        <v>583</v>
      </c>
      <c r="G112" s="60" t="s">
        <v>96</v>
      </c>
      <c r="H112" s="2"/>
      <c r="I112" s="129"/>
      <c r="J112" s="179">
        <v>60</v>
      </c>
      <c r="L112" s="60" t="s">
        <v>96</v>
      </c>
      <c r="M112" s="2"/>
      <c r="N112" s="129"/>
      <c r="O112" s="179">
        <v>230</v>
      </c>
    </row>
    <row r="113" spans="2:15" ht="15.6" thickTop="1" thickBot="1" x14ac:dyDescent="0.35">
      <c r="B113" s="64" t="s">
        <v>94</v>
      </c>
      <c r="C113" s="65"/>
      <c r="D113" s="131"/>
      <c r="E113" s="132">
        <v>1385</v>
      </c>
      <c r="G113" s="64" t="s">
        <v>94</v>
      </c>
      <c r="H113" s="65"/>
      <c r="I113" s="131"/>
      <c r="J113" s="132">
        <v>1595</v>
      </c>
      <c r="L113" s="64" t="s">
        <v>94</v>
      </c>
      <c r="M113" s="65"/>
      <c r="N113" s="131"/>
      <c r="O113" s="132">
        <v>1731</v>
      </c>
    </row>
    <row r="114" spans="2:15" ht="15.6" thickTop="1" thickBot="1" x14ac:dyDescent="0.35">
      <c r="B114" s="64" t="s">
        <v>98</v>
      </c>
      <c r="C114" s="65"/>
      <c r="D114" s="131"/>
      <c r="E114" s="143">
        <v>1385</v>
      </c>
      <c r="G114" s="64" t="s">
        <v>98</v>
      </c>
      <c r="H114" s="65"/>
      <c r="I114" s="131"/>
      <c r="J114" s="143">
        <v>1595</v>
      </c>
      <c r="L114" s="64" t="s">
        <v>98</v>
      </c>
      <c r="M114" s="65"/>
      <c r="N114" s="131"/>
      <c r="O114" s="143">
        <v>1731</v>
      </c>
    </row>
    <row r="115" spans="2:15" ht="15" thickTop="1" x14ac:dyDescent="0.3">
      <c r="E115" s="202"/>
      <c r="J115" s="202"/>
      <c r="O115" s="202"/>
    </row>
    <row r="116" spans="2:15" ht="15" thickBot="1" x14ac:dyDescent="0.35">
      <c r="E116" s="202"/>
      <c r="J116" s="202"/>
      <c r="O116" s="202"/>
    </row>
    <row r="117" spans="2:15" ht="15.6" thickTop="1" thickBot="1" x14ac:dyDescent="0.35">
      <c r="B117" s="378" t="s">
        <v>92</v>
      </c>
      <c r="C117" s="379"/>
      <c r="D117" s="180" t="s">
        <v>392</v>
      </c>
      <c r="E117" s="75">
        <v>45153</v>
      </c>
      <c r="G117" s="378" t="s">
        <v>92</v>
      </c>
      <c r="H117" s="379"/>
      <c r="I117" s="180" t="s">
        <v>392</v>
      </c>
      <c r="J117" s="75">
        <v>45184</v>
      </c>
      <c r="L117" s="378" t="s">
        <v>92</v>
      </c>
      <c r="M117" s="379"/>
      <c r="N117" s="180" t="s">
        <v>392</v>
      </c>
      <c r="O117" s="75">
        <v>45214</v>
      </c>
    </row>
    <row r="118" spans="2:15" ht="15.6" thickTop="1" thickBot="1" x14ac:dyDescent="0.35">
      <c r="B118" s="380"/>
      <c r="C118" s="381"/>
      <c r="D118" s="180" t="s">
        <v>393</v>
      </c>
      <c r="E118" s="75">
        <v>44788</v>
      </c>
      <c r="G118" s="380"/>
      <c r="H118" s="381"/>
      <c r="I118" s="180" t="s">
        <v>393</v>
      </c>
      <c r="J118" s="75">
        <v>44788</v>
      </c>
      <c r="L118" s="380"/>
      <c r="M118" s="381"/>
      <c r="N118" s="180" t="s">
        <v>393</v>
      </c>
      <c r="O118" s="75">
        <v>44788</v>
      </c>
    </row>
    <row r="119" spans="2:15" ht="15.6" thickTop="1" thickBot="1" x14ac:dyDescent="0.35">
      <c r="B119" s="382"/>
      <c r="C119" s="383"/>
      <c r="D119" s="180" t="s">
        <v>391</v>
      </c>
      <c r="E119" s="75">
        <v>45183</v>
      </c>
      <c r="G119" s="382"/>
      <c r="H119" s="383"/>
      <c r="I119" s="180" t="s">
        <v>391</v>
      </c>
      <c r="J119" s="75">
        <v>45213</v>
      </c>
      <c r="L119" s="382"/>
      <c r="M119" s="383"/>
      <c r="N119" s="180" t="s">
        <v>391</v>
      </c>
      <c r="O119" s="75">
        <v>45244</v>
      </c>
    </row>
    <row r="120" spans="2:15" ht="15.6" thickTop="1" thickBot="1" x14ac:dyDescent="0.35">
      <c r="B120" s="60" t="s">
        <v>91</v>
      </c>
      <c r="C120" s="2"/>
      <c r="D120" s="2"/>
      <c r="E120" s="117">
        <v>1690</v>
      </c>
      <c r="G120" s="60" t="s">
        <v>91</v>
      </c>
      <c r="H120" s="2"/>
      <c r="I120" s="2"/>
      <c r="J120" s="117">
        <v>1820</v>
      </c>
      <c r="L120" s="60" t="s">
        <v>91</v>
      </c>
      <c r="M120" s="2"/>
      <c r="N120" s="2"/>
      <c r="O120" s="117">
        <v>1950</v>
      </c>
    </row>
    <row r="121" spans="2:15" ht="15.6" thickTop="1" thickBot="1" x14ac:dyDescent="0.35">
      <c r="B121" s="61" t="s">
        <v>168</v>
      </c>
      <c r="C121" s="62"/>
      <c r="D121" s="62"/>
      <c r="E121" s="123"/>
      <c r="G121" s="61" t="s">
        <v>168</v>
      </c>
      <c r="H121" s="62"/>
      <c r="I121" s="62"/>
      <c r="J121" s="123"/>
      <c r="L121" s="61" t="s">
        <v>168</v>
      </c>
      <c r="M121" s="62"/>
      <c r="N121" s="62"/>
      <c r="O121" s="123"/>
    </row>
    <row r="122" spans="2:15" ht="15" thickTop="1" x14ac:dyDescent="0.3">
      <c r="B122" s="121" t="s">
        <v>224</v>
      </c>
      <c r="C122" s="2"/>
      <c r="D122" s="2"/>
      <c r="E122" s="116">
        <v>4410</v>
      </c>
      <c r="G122" s="121" t="s">
        <v>224</v>
      </c>
      <c r="H122" s="2"/>
      <c r="I122" s="2"/>
      <c r="J122" s="116">
        <v>5110</v>
      </c>
      <c r="L122" s="121" t="s">
        <v>224</v>
      </c>
      <c r="M122" s="2"/>
      <c r="N122" s="2"/>
      <c r="O122" s="116">
        <v>6310</v>
      </c>
    </row>
    <row r="123" spans="2:15" x14ac:dyDescent="0.3">
      <c r="B123" s="122" t="s">
        <v>225</v>
      </c>
      <c r="C123" s="2"/>
      <c r="D123" s="2"/>
      <c r="E123" s="68">
        <v>100</v>
      </c>
      <c r="G123" s="122" t="s">
        <v>225</v>
      </c>
      <c r="H123" s="2"/>
      <c r="I123" s="2"/>
      <c r="J123" s="68">
        <v>100</v>
      </c>
      <c r="L123" s="122" t="s">
        <v>225</v>
      </c>
      <c r="M123" s="2"/>
      <c r="N123" s="2"/>
      <c r="O123" s="68">
        <v>100</v>
      </c>
    </row>
    <row r="124" spans="2:15" x14ac:dyDescent="0.3">
      <c r="B124" s="60" t="s">
        <v>102</v>
      </c>
      <c r="C124" s="2"/>
      <c r="D124" s="2"/>
      <c r="E124" s="69">
        <v>200</v>
      </c>
      <c r="G124" s="60" t="s">
        <v>102</v>
      </c>
      <c r="H124" s="2"/>
      <c r="I124" s="2"/>
      <c r="J124" s="69">
        <v>700</v>
      </c>
      <c r="L124" s="60" t="s">
        <v>102</v>
      </c>
      <c r="M124" s="2"/>
      <c r="N124" s="2"/>
      <c r="O124" s="69">
        <v>1200</v>
      </c>
    </row>
    <row r="125" spans="2:15" x14ac:dyDescent="0.3">
      <c r="B125" s="122" t="s">
        <v>226</v>
      </c>
      <c r="C125" s="2"/>
      <c r="D125" s="2"/>
      <c r="E125" s="124">
        <v>265</v>
      </c>
      <c r="G125" s="122" t="s">
        <v>226</v>
      </c>
      <c r="H125" s="2"/>
      <c r="I125" s="2"/>
      <c r="J125" s="124">
        <v>335</v>
      </c>
      <c r="L125" s="122" t="s">
        <v>226</v>
      </c>
      <c r="M125" s="2"/>
      <c r="N125" s="2"/>
      <c r="O125" s="124">
        <v>455</v>
      </c>
    </row>
    <row r="126" spans="2:15" ht="15" thickBot="1" x14ac:dyDescent="0.35">
      <c r="B126" s="60" t="s">
        <v>104</v>
      </c>
      <c r="C126" s="2"/>
      <c r="D126" s="2"/>
      <c r="E126" s="69">
        <v>4</v>
      </c>
      <c r="G126" s="60" t="s">
        <v>104</v>
      </c>
      <c r="H126" s="2"/>
      <c r="I126" s="2"/>
      <c r="J126" s="69">
        <v>70</v>
      </c>
      <c r="L126" s="60" t="s">
        <v>104</v>
      </c>
      <c r="M126" s="2"/>
      <c r="N126" s="2"/>
      <c r="O126" s="69">
        <v>120</v>
      </c>
    </row>
    <row r="127" spans="2:15" ht="15.6" thickTop="1" thickBot="1" x14ac:dyDescent="0.35">
      <c r="B127" s="125" t="s">
        <v>39</v>
      </c>
      <c r="C127" s="62"/>
      <c r="D127" s="62"/>
      <c r="E127" s="123"/>
      <c r="G127" s="125" t="s">
        <v>39</v>
      </c>
      <c r="H127" s="62"/>
      <c r="I127" s="62"/>
      <c r="J127" s="123"/>
      <c r="L127" s="125" t="s">
        <v>39</v>
      </c>
      <c r="M127" s="62"/>
      <c r="N127" s="62"/>
      <c r="O127" s="123"/>
    </row>
    <row r="128" spans="2:15" ht="15" thickTop="1" x14ac:dyDescent="0.3">
      <c r="B128" s="60" t="s">
        <v>100</v>
      </c>
      <c r="C128" s="2"/>
      <c r="D128" s="2"/>
      <c r="E128" s="68">
        <v>3185</v>
      </c>
      <c r="G128" s="60" t="s">
        <v>100</v>
      </c>
      <c r="H128" s="2"/>
      <c r="I128" s="2"/>
      <c r="J128" s="68">
        <v>3410</v>
      </c>
      <c r="L128" s="60" t="s">
        <v>100</v>
      </c>
      <c r="M128" s="2"/>
      <c r="N128" s="2"/>
      <c r="O128" s="68">
        <v>4535</v>
      </c>
    </row>
    <row r="129" spans="2:15" x14ac:dyDescent="0.3">
      <c r="B129" s="60" t="s">
        <v>103</v>
      </c>
      <c r="C129" s="2"/>
      <c r="D129" s="2"/>
      <c r="E129" s="69">
        <v>400</v>
      </c>
      <c r="G129" s="60" t="s">
        <v>103</v>
      </c>
      <c r="H129" s="2"/>
      <c r="I129" s="2"/>
      <c r="J129" s="69">
        <v>225</v>
      </c>
      <c r="L129" s="60" t="s">
        <v>103</v>
      </c>
      <c r="M129" s="2"/>
      <c r="N129" s="2"/>
      <c r="O129" s="69">
        <v>1125</v>
      </c>
    </row>
    <row r="130" spans="2:15" ht="15" thickBot="1" x14ac:dyDescent="0.35">
      <c r="B130" s="73" t="s">
        <v>95</v>
      </c>
      <c r="C130" s="72"/>
      <c r="D130" s="63"/>
      <c r="E130" s="71">
        <v>1225</v>
      </c>
      <c r="G130" s="73" t="s">
        <v>95</v>
      </c>
      <c r="H130" s="72"/>
      <c r="I130" s="63"/>
      <c r="J130" s="71">
        <v>1700</v>
      </c>
      <c r="L130" s="73" t="s">
        <v>95</v>
      </c>
      <c r="M130" s="72"/>
      <c r="N130" s="63"/>
      <c r="O130" s="71">
        <v>1775</v>
      </c>
    </row>
    <row r="131" spans="2:15" ht="15" thickTop="1" x14ac:dyDescent="0.3">
      <c r="B131" s="60" t="s">
        <v>101</v>
      </c>
      <c r="C131" s="2"/>
      <c r="D131" s="2"/>
      <c r="E131" s="68">
        <v>219</v>
      </c>
      <c r="G131" s="60" t="s">
        <v>101</v>
      </c>
      <c r="H131" s="2"/>
      <c r="I131" s="2"/>
      <c r="J131" s="68">
        <v>245</v>
      </c>
      <c r="L131" s="60" t="s">
        <v>101</v>
      </c>
      <c r="M131" s="2"/>
      <c r="N131" s="2"/>
      <c r="O131" s="68">
        <v>279</v>
      </c>
    </row>
    <row r="132" spans="2:15" x14ac:dyDescent="0.3">
      <c r="B132" s="60" t="s">
        <v>105</v>
      </c>
      <c r="C132" s="2"/>
      <c r="D132" s="2"/>
      <c r="E132" s="69">
        <v>34</v>
      </c>
      <c r="G132" s="60" t="s">
        <v>105</v>
      </c>
      <c r="H132" s="2"/>
      <c r="I132" s="2"/>
      <c r="J132" s="69">
        <v>26</v>
      </c>
      <c r="L132" s="60" t="s">
        <v>105</v>
      </c>
      <c r="M132" s="2"/>
      <c r="N132" s="2"/>
      <c r="O132" s="69">
        <v>34</v>
      </c>
    </row>
    <row r="133" spans="2:15" ht="15" thickBot="1" x14ac:dyDescent="0.35">
      <c r="B133" s="73" t="s">
        <v>97</v>
      </c>
      <c r="C133" s="63"/>
      <c r="D133" s="63"/>
      <c r="E133" s="71">
        <v>46</v>
      </c>
      <c r="G133" s="73" t="s">
        <v>97</v>
      </c>
      <c r="H133" s="63"/>
      <c r="I133" s="63"/>
      <c r="J133" s="71">
        <v>90</v>
      </c>
      <c r="L133" s="73" t="s">
        <v>97</v>
      </c>
      <c r="M133" s="63"/>
      <c r="N133" s="63"/>
      <c r="O133" s="71">
        <v>176</v>
      </c>
    </row>
    <row r="134" spans="2:15" ht="15.6" thickTop="1" thickBot="1" x14ac:dyDescent="0.35">
      <c r="B134" s="61" t="s">
        <v>227</v>
      </c>
      <c r="C134" s="126"/>
      <c r="D134" s="62"/>
      <c r="E134" s="130"/>
      <c r="G134" s="61" t="s">
        <v>227</v>
      </c>
      <c r="H134" s="126"/>
      <c r="I134" s="62"/>
      <c r="J134" s="130"/>
      <c r="L134" s="61" t="s">
        <v>227</v>
      </c>
      <c r="M134" s="126"/>
      <c r="N134" s="62"/>
      <c r="O134" s="130"/>
    </row>
    <row r="135" spans="2:15" ht="15" thickTop="1" x14ac:dyDescent="0.3">
      <c r="B135" s="60" t="s">
        <v>294</v>
      </c>
      <c r="C135" s="118"/>
      <c r="D135" s="2"/>
      <c r="E135" s="70">
        <v>10</v>
      </c>
      <c r="G135" s="60" t="s">
        <v>294</v>
      </c>
      <c r="H135" s="118"/>
      <c r="I135" s="2"/>
      <c r="J135" s="70">
        <v>10</v>
      </c>
      <c r="L135" s="60" t="s">
        <v>294</v>
      </c>
      <c r="M135" s="118"/>
      <c r="N135" s="2"/>
      <c r="O135" s="70">
        <v>10</v>
      </c>
    </row>
    <row r="136" spans="2:15" x14ac:dyDescent="0.3">
      <c r="B136" s="60" t="s">
        <v>353</v>
      </c>
      <c r="C136" s="127"/>
      <c r="D136" s="128"/>
      <c r="E136" s="68">
        <v>300</v>
      </c>
      <c r="G136" s="60" t="s">
        <v>353</v>
      </c>
      <c r="H136" s="127"/>
      <c r="I136" s="128"/>
      <c r="J136" s="68">
        <v>300</v>
      </c>
      <c r="L136" s="60" t="s">
        <v>353</v>
      </c>
      <c r="M136" s="127"/>
      <c r="N136" s="128"/>
      <c r="O136" s="68">
        <v>300</v>
      </c>
    </row>
    <row r="137" spans="2:15" x14ac:dyDescent="0.3">
      <c r="B137" s="60" t="s">
        <v>247</v>
      </c>
      <c r="C137" s="127"/>
      <c r="D137" s="128"/>
      <c r="E137" s="68">
        <v>0</v>
      </c>
      <c r="G137" s="60" t="s">
        <v>247</v>
      </c>
      <c r="H137" s="127"/>
      <c r="I137" s="128"/>
      <c r="J137" s="68">
        <v>0</v>
      </c>
      <c r="L137" s="60" t="s">
        <v>247</v>
      </c>
      <c r="M137" s="127"/>
      <c r="N137" s="128"/>
      <c r="O137" s="68">
        <v>0</v>
      </c>
    </row>
    <row r="138" spans="2:15" x14ac:dyDescent="0.3">
      <c r="B138" s="60" t="s">
        <v>93</v>
      </c>
      <c r="C138" s="2"/>
      <c r="D138" s="2"/>
      <c r="E138" s="67">
        <v>1690</v>
      </c>
      <c r="G138" s="60" t="s">
        <v>93</v>
      </c>
      <c r="H138" s="2"/>
      <c r="I138" s="2"/>
      <c r="J138" s="67">
        <v>1820</v>
      </c>
      <c r="L138" s="60" t="s">
        <v>93</v>
      </c>
      <c r="M138" s="2"/>
      <c r="N138" s="2"/>
      <c r="O138" s="67">
        <v>1950</v>
      </c>
    </row>
    <row r="139" spans="2:15" x14ac:dyDescent="0.3">
      <c r="B139" s="60" t="s">
        <v>99</v>
      </c>
      <c r="C139" s="2"/>
      <c r="D139" s="2"/>
      <c r="E139" s="66">
        <v>130</v>
      </c>
      <c r="G139" s="60" t="s">
        <v>99</v>
      </c>
      <c r="H139" s="2"/>
      <c r="I139" s="2"/>
      <c r="J139" s="66">
        <v>140</v>
      </c>
      <c r="L139" s="60" t="s">
        <v>99</v>
      </c>
      <c r="M139" s="2"/>
      <c r="N139" s="2"/>
      <c r="O139" s="66">
        <v>150</v>
      </c>
    </row>
    <row r="140" spans="2:15" x14ac:dyDescent="0.3">
      <c r="B140" s="60" t="s">
        <v>354</v>
      </c>
      <c r="C140" s="2"/>
      <c r="D140" s="2"/>
      <c r="E140" s="67">
        <v>-25</v>
      </c>
      <c r="G140" s="60" t="s">
        <v>354</v>
      </c>
      <c r="H140" s="2"/>
      <c r="I140" s="2"/>
      <c r="J140" s="67">
        <v>45</v>
      </c>
      <c r="L140" s="60" t="s">
        <v>354</v>
      </c>
      <c r="M140" s="2"/>
      <c r="N140" s="2"/>
      <c r="O140" s="67">
        <v>165</v>
      </c>
    </row>
    <row r="141" spans="2:15" ht="15" thickBot="1" x14ac:dyDescent="0.35">
      <c r="B141" s="60" t="s">
        <v>96</v>
      </c>
      <c r="C141" s="2"/>
      <c r="D141" s="129"/>
      <c r="E141" s="179">
        <v>394</v>
      </c>
      <c r="G141" s="60" t="s">
        <v>96</v>
      </c>
      <c r="H141" s="2"/>
      <c r="I141" s="129"/>
      <c r="J141" s="179">
        <v>75</v>
      </c>
      <c r="L141" s="60" t="s">
        <v>96</v>
      </c>
      <c r="M141" s="2"/>
      <c r="N141" s="129"/>
      <c r="O141" s="179">
        <v>164</v>
      </c>
    </row>
    <row r="142" spans="2:15" ht="15.6" thickTop="1" thickBot="1" x14ac:dyDescent="0.35">
      <c r="B142" s="64" t="s">
        <v>94</v>
      </c>
      <c r="C142" s="65"/>
      <c r="D142" s="131"/>
      <c r="E142" s="132">
        <v>1665</v>
      </c>
      <c r="G142" s="64" t="s">
        <v>94</v>
      </c>
      <c r="H142" s="65"/>
      <c r="I142" s="131"/>
      <c r="J142" s="132">
        <v>1865</v>
      </c>
      <c r="L142" s="64" t="s">
        <v>94</v>
      </c>
      <c r="M142" s="65"/>
      <c r="N142" s="131"/>
      <c r="O142" s="132">
        <v>2115</v>
      </c>
    </row>
    <row r="143" spans="2:15" ht="15.6" thickTop="1" thickBot="1" x14ac:dyDescent="0.35">
      <c r="B143" s="64" t="s">
        <v>98</v>
      </c>
      <c r="C143" s="65"/>
      <c r="D143" s="131"/>
      <c r="E143" s="143">
        <v>1665</v>
      </c>
      <c r="G143" s="64" t="s">
        <v>98</v>
      </c>
      <c r="H143" s="65"/>
      <c r="I143" s="131"/>
      <c r="J143" s="143">
        <v>1865</v>
      </c>
      <c r="L143" s="64" t="s">
        <v>98</v>
      </c>
      <c r="M143" s="65"/>
      <c r="N143" s="131"/>
      <c r="O143" s="143">
        <v>2115</v>
      </c>
    </row>
    <row r="144" spans="2:15" ht="15.6" thickTop="1" thickBot="1" x14ac:dyDescent="0.35">
      <c r="E144" s="202"/>
      <c r="J144" s="202"/>
      <c r="O144" s="202"/>
    </row>
    <row r="145" spans="2:15" ht="15.6" thickTop="1" thickBot="1" x14ac:dyDescent="0.35">
      <c r="B145" s="378" t="s">
        <v>92</v>
      </c>
      <c r="C145" s="379"/>
      <c r="D145" s="180" t="s">
        <v>392</v>
      </c>
      <c r="E145" s="75">
        <v>45245</v>
      </c>
      <c r="G145" s="378" t="s">
        <v>92</v>
      </c>
      <c r="H145" s="379"/>
      <c r="I145" s="180" t="s">
        <v>392</v>
      </c>
      <c r="J145" s="75">
        <v>45275</v>
      </c>
      <c r="L145" s="378" t="s">
        <v>92</v>
      </c>
      <c r="M145" s="379"/>
      <c r="N145" s="180" t="s">
        <v>392</v>
      </c>
      <c r="O145" s="75">
        <v>45306</v>
      </c>
    </row>
    <row r="146" spans="2:15" ht="15.6" thickTop="1" thickBot="1" x14ac:dyDescent="0.35">
      <c r="B146" s="380"/>
      <c r="C146" s="381"/>
      <c r="D146" s="180" t="s">
        <v>393</v>
      </c>
      <c r="E146" s="75">
        <v>44788</v>
      </c>
      <c r="G146" s="380"/>
      <c r="H146" s="381"/>
      <c r="I146" s="180" t="s">
        <v>393</v>
      </c>
      <c r="J146" s="75">
        <v>44788</v>
      </c>
      <c r="L146" s="380"/>
      <c r="M146" s="381"/>
      <c r="N146" s="180" t="s">
        <v>393</v>
      </c>
      <c r="O146" s="75">
        <v>44788</v>
      </c>
    </row>
    <row r="147" spans="2:15" ht="15.6" thickTop="1" thickBot="1" x14ac:dyDescent="0.35">
      <c r="B147" s="382"/>
      <c r="C147" s="383"/>
      <c r="D147" s="180" t="s">
        <v>391</v>
      </c>
      <c r="E147" s="75">
        <v>45274</v>
      </c>
      <c r="G147" s="382"/>
      <c r="H147" s="383"/>
      <c r="I147" s="180" t="s">
        <v>391</v>
      </c>
      <c r="J147" s="75">
        <v>45305</v>
      </c>
      <c r="L147" s="382"/>
      <c r="M147" s="383"/>
      <c r="N147" s="180" t="s">
        <v>391</v>
      </c>
      <c r="O147" s="75">
        <v>45336</v>
      </c>
    </row>
    <row r="148" spans="2:15" ht="15.6" thickTop="1" thickBot="1" x14ac:dyDescent="0.35">
      <c r="B148" s="60" t="s">
        <v>91</v>
      </c>
      <c r="C148" s="2"/>
      <c r="D148" s="2"/>
      <c r="E148" s="117">
        <v>2080</v>
      </c>
      <c r="G148" s="60" t="s">
        <v>91</v>
      </c>
      <c r="H148" s="2"/>
      <c r="I148" s="2"/>
      <c r="J148" s="117">
        <v>2210</v>
      </c>
      <c r="L148" s="60" t="s">
        <v>91</v>
      </c>
      <c r="M148" s="2"/>
      <c r="N148" s="2"/>
      <c r="O148" s="117">
        <v>2340</v>
      </c>
    </row>
    <row r="149" spans="2:15" ht="15.6" thickTop="1" thickBot="1" x14ac:dyDescent="0.35">
      <c r="B149" s="61" t="s">
        <v>168</v>
      </c>
      <c r="C149" s="62"/>
      <c r="D149" s="62"/>
      <c r="E149" s="123"/>
      <c r="G149" s="61" t="s">
        <v>168</v>
      </c>
      <c r="H149" s="62"/>
      <c r="I149" s="62"/>
      <c r="J149" s="123"/>
      <c r="L149" s="61" t="s">
        <v>168</v>
      </c>
      <c r="M149" s="62"/>
      <c r="N149" s="62"/>
      <c r="O149" s="123"/>
    </row>
    <row r="150" spans="2:15" ht="15" thickTop="1" x14ac:dyDescent="0.3">
      <c r="B150" s="121" t="s">
        <v>224</v>
      </c>
      <c r="C150" s="2"/>
      <c r="D150" s="2"/>
      <c r="E150" s="116">
        <v>6760</v>
      </c>
      <c r="G150" s="121" t="s">
        <v>224</v>
      </c>
      <c r="H150" s="2"/>
      <c r="I150" s="2"/>
      <c r="J150" s="116">
        <v>6760</v>
      </c>
      <c r="L150" s="121" t="s">
        <v>224</v>
      </c>
      <c r="M150" s="2"/>
      <c r="N150" s="2"/>
      <c r="O150" s="116">
        <v>7360</v>
      </c>
    </row>
    <row r="151" spans="2:15" x14ac:dyDescent="0.3">
      <c r="B151" s="122" t="s">
        <v>225</v>
      </c>
      <c r="C151" s="2"/>
      <c r="D151" s="2"/>
      <c r="E151" s="68">
        <v>100</v>
      </c>
      <c r="G151" s="122" t="s">
        <v>225</v>
      </c>
      <c r="H151" s="2"/>
      <c r="I151" s="2"/>
      <c r="J151" s="68">
        <v>100</v>
      </c>
      <c r="L151" s="122" t="s">
        <v>225</v>
      </c>
      <c r="M151" s="2"/>
      <c r="N151" s="2"/>
      <c r="O151" s="68">
        <v>100</v>
      </c>
    </row>
    <row r="152" spans="2:15" x14ac:dyDescent="0.3">
      <c r="B152" s="60" t="s">
        <v>102</v>
      </c>
      <c r="C152" s="2"/>
      <c r="D152" s="2"/>
      <c r="E152" s="69">
        <v>450</v>
      </c>
      <c r="G152" s="60" t="s">
        <v>102</v>
      </c>
      <c r="H152" s="2"/>
      <c r="I152" s="2"/>
      <c r="J152" s="69">
        <v>0</v>
      </c>
      <c r="L152" s="60" t="s">
        <v>102</v>
      </c>
      <c r="M152" s="2"/>
      <c r="N152" s="2"/>
      <c r="O152" s="69">
        <v>600</v>
      </c>
    </row>
    <row r="153" spans="2:15" x14ac:dyDescent="0.3">
      <c r="B153" s="122" t="s">
        <v>226</v>
      </c>
      <c r="C153" s="2"/>
      <c r="D153" s="2"/>
      <c r="E153" s="124">
        <v>491</v>
      </c>
      <c r="G153" s="122" t="s">
        <v>226</v>
      </c>
      <c r="H153" s="2"/>
      <c r="I153" s="2"/>
      <c r="J153" s="124">
        <v>491</v>
      </c>
      <c r="L153" s="122" t="s">
        <v>226</v>
      </c>
      <c r="M153" s="2"/>
      <c r="N153" s="2"/>
      <c r="O153" s="124">
        <v>521</v>
      </c>
    </row>
    <row r="154" spans="2:15" ht="15" thickBot="1" x14ac:dyDescent="0.35">
      <c r="B154" s="60" t="s">
        <v>104</v>
      </c>
      <c r="C154" s="2"/>
      <c r="D154" s="2"/>
      <c r="E154" s="69">
        <v>36</v>
      </c>
      <c r="G154" s="60" t="s">
        <v>104</v>
      </c>
      <c r="H154" s="2"/>
      <c r="I154" s="2"/>
      <c r="J154" s="69">
        <v>0</v>
      </c>
      <c r="L154" s="60" t="s">
        <v>104</v>
      </c>
      <c r="M154" s="2"/>
      <c r="N154" s="2"/>
      <c r="O154" s="69">
        <v>30</v>
      </c>
    </row>
    <row r="155" spans="2:15" ht="15.6" thickTop="1" thickBot="1" x14ac:dyDescent="0.35">
      <c r="B155" s="125" t="s">
        <v>39</v>
      </c>
      <c r="C155" s="62"/>
      <c r="D155" s="62"/>
      <c r="E155" s="123"/>
      <c r="G155" s="125" t="s">
        <v>39</v>
      </c>
      <c r="H155" s="62"/>
      <c r="I155" s="62"/>
      <c r="J155" s="123"/>
      <c r="L155" s="125" t="s">
        <v>39</v>
      </c>
      <c r="M155" s="62"/>
      <c r="N155" s="62"/>
      <c r="O155" s="123"/>
    </row>
    <row r="156" spans="2:15" ht="15" thickTop="1" x14ac:dyDescent="0.3">
      <c r="B156" s="60" t="s">
        <v>100</v>
      </c>
      <c r="C156" s="2"/>
      <c r="D156" s="2"/>
      <c r="E156" s="68">
        <v>4667.16</v>
      </c>
      <c r="G156" s="60" t="s">
        <v>100</v>
      </c>
      <c r="H156" s="2"/>
      <c r="I156" s="2"/>
      <c r="J156" s="68">
        <v>4799.3</v>
      </c>
      <c r="L156" s="60" t="s">
        <v>100</v>
      </c>
      <c r="M156" s="2"/>
      <c r="N156" s="2"/>
      <c r="O156" s="68">
        <v>5231.4400000000005</v>
      </c>
    </row>
    <row r="157" spans="2:15" x14ac:dyDescent="0.3">
      <c r="B157" s="60" t="s">
        <v>103</v>
      </c>
      <c r="C157" s="2"/>
      <c r="D157" s="2"/>
      <c r="E157" s="69">
        <v>132.16</v>
      </c>
      <c r="G157" s="60" t="s">
        <v>103</v>
      </c>
      <c r="H157" s="2"/>
      <c r="I157" s="2"/>
      <c r="J157" s="69">
        <v>132.13999999999999</v>
      </c>
      <c r="L157" s="60" t="s">
        <v>103</v>
      </c>
      <c r="M157" s="2"/>
      <c r="N157" s="2"/>
      <c r="O157" s="69">
        <v>182.14</v>
      </c>
    </row>
    <row r="158" spans="2:15" ht="15" thickBot="1" x14ac:dyDescent="0.35">
      <c r="B158" s="73" t="s">
        <v>95</v>
      </c>
      <c r="C158" s="72"/>
      <c r="D158" s="63"/>
      <c r="E158" s="71">
        <v>2092.84</v>
      </c>
      <c r="G158" s="73" t="s">
        <v>95</v>
      </c>
      <c r="H158" s="72"/>
      <c r="I158" s="63"/>
      <c r="J158" s="71">
        <v>1960.6999999999998</v>
      </c>
      <c r="L158" s="73" t="s">
        <v>95</v>
      </c>
      <c r="M158" s="72"/>
      <c r="N158" s="63"/>
      <c r="O158" s="71">
        <v>2128.5599999999995</v>
      </c>
    </row>
    <row r="159" spans="2:15" ht="15" thickTop="1" x14ac:dyDescent="0.3">
      <c r="B159" s="60" t="s">
        <v>101</v>
      </c>
      <c r="C159" s="2"/>
      <c r="D159" s="2"/>
      <c r="E159" s="68">
        <v>315</v>
      </c>
      <c r="G159" s="60" t="s">
        <v>101</v>
      </c>
      <c r="H159" s="2"/>
      <c r="I159" s="2"/>
      <c r="J159" s="68">
        <v>360</v>
      </c>
      <c r="L159" s="60" t="s">
        <v>101</v>
      </c>
      <c r="M159" s="2"/>
      <c r="N159" s="2"/>
      <c r="O159" s="68">
        <v>419</v>
      </c>
    </row>
    <row r="160" spans="2:15" x14ac:dyDescent="0.3">
      <c r="B160" s="60" t="s">
        <v>105</v>
      </c>
      <c r="C160" s="2"/>
      <c r="D160" s="2"/>
      <c r="E160" s="69">
        <v>37.5</v>
      </c>
      <c r="G160" s="60" t="s">
        <v>105</v>
      </c>
      <c r="H160" s="2"/>
      <c r="I160" s="2"/>
      <c r="J160" s="69">
        <v>45</v>
      </c>
      <c r="L160" s="60" t="s">
        <v>105</v>
      </c>
      <c r="M160" s="2"/>
      <c r="N160" s="2"/>
      <c r="O160" s="69">
        <v>49</v>
      </c>
    </row>
    <row r="161" spans="2:15" ht="15" thickBot="1" x14ac:dyDescent="0.35">
      <c r="B161" s="73" t="s">
        <v>97</v>
      </c>
      <c r="C161" s="63"/>
      <c r="D161" s="63"/>
      <c r="E161" s="71">
        <v>176</v>
      </c>
      <c r="G161" s="73" t="s">
        <v>97</v>
      </c>
      <c r="H161" s="63"/>
      <c r="I161" s="63"/>
      <c r="J161" s="71">
        <v>131</v>
      </c>
      <c r="L161" s="73" t="s">
        <v>97</v>
      </c>
      <c r="M161" s="63"/>
      <c r="N161" s="63"/>
      <c r="O161" s="71">
        <v>102</v>
      </c>
    </row>
    <row r="162" spans="2:15" ht="15.6" thickTop="1" thickBot="1" x14ac:dyDescent="0.35">
      <c r="B162" s="61" t="s">
        <v>227</v>
      </c>
      <c r="C162" s="126"/>
      <c r="D162" s="62"/>
      <c r="E162" s="130"/>
      <c r="G162" s="61" t="s">
        <v>227</v>
      </c>
      <c r="H162" s="126"/>
      <c r="I162" s="62"/>
      <c r="J162" s="130"/>
      <c r="L162" s="61" t="s">
        <v>227</v>
      </c>
      <c r="M162" s="126"/>
      <c r="N162" s="62"/>
      <c r="O162" s="130"/>
    </row>
    <row r="163" spans="2:15" ht="15" thickTop="1" x14ac:dyDescent="0.3">
      <c r="B163" s="60" t="s">
        <v>294</v>
      </c>
      <c r="C163" s="118"/>
      <c r="D163" s="2"/>
      <c r="E163" s="70">
        <v>11.5</v>
      </c>
      <c r="G163" s="60" t="s">
        <v>294</v>
      </c>
      <c r="H163" s="118"/>
      <c r="I163" s="2"/>
      <c r="J163" s="70">
        <v>11.5</v>
      </c>
      <c r="L163" s="60" t="s">
        <v>294</v>
      </c>
      <c r="M163" s="118"/>
      <c r="N163" s="2"/>
      <c r="O163" s="70">
        <v>11.5</v>
      </c>
    </row>
    <row r="164" spans="2:15" x14ac:dyDescent="0.3">
      <c r="B164" s="60" t="s">
        <v>353</v>
      </c>
      <c r="C164" s="127"/>
      <c r="D164" s="128"/>
      <c r="E164" s="68">
        <v>300</v>
      </c>
      <c r="G164" s="60" t="s">
        <v>353</v>
      </c>
      <c r="H164" s="127"/>
      <c r="I164" s="128"/>
      <c r="J164" s="68">
        <v>300</v>
      </c>
      <c r="L164" s="60" t="s">
        <v>353</v>
      </c>
      <c r="M164" s="127"/>
      <c r="N164" s="128"/>
      <c r="O164" s="68">
        <v>300</v>
      </c>
    </row>
    <row r="165" spans="2:15" x14ac:dyDescent="0.3">
      <c r="B165" s="60" t="s">
        <v>247</v>
      </c>
      <c r="C165" s="127"/>
      <c r="D165" s="128"/>
      <c r="E165" s="68">
        <v>0</v>
      </c>
      <c r="G165" s="60" t="s">
        <v>247</v>
      </c>
      <c r="H165" s="127"/>
      <c r="I165" s="128"/>
      <c r="J165" s="68">
        <v>0</v>
      </c>
      <c r="L165" s="60" t="s">
        <v>247</v>
      </c>
      <c r="M165" s="127"/>
      <c r="N165" s="128"/>
      <c r="O165" s="68">
        <v>10</v>
      </c>
    </row>
    <row r="166" spans="2:15" x14ac:dyDescent="0.3">
      <c r="B166" s="60" t="s">
        <v>93</v>
      </c>
      <c r="C166" s="2"/>
      <c r="D166" s="2"/>
      <c r="E166" s="67">
        <v>2080</v>
      </c>
      <c r="G166" s="60" t="s">
        <v>93</v>
      </c>
      <c r="H166" s="2"/>
      <c r="I166" s="2"/>
      <c r="J166" s="67">
        <v>2210</v>
      </c>
      <c r="L166" s="60" t="s">
        <v>93</v>
      </c>
      <c r="M166" s="2"/>
      <c r="N166" s="2"/>
      <c r="O166" s="67">
        <v>2340</v>
      </c>
    </row>
    <row r="167" spans="2:15" x14ac:dyDescent="0.3">
      <c r="B167" s="60" t="s">
        <v>99</v>
      </c>
      <c r="C167" s="2"/>
      <c r="D167" s="2"/>
      <c r="E167" s="66">
        <v>160</v>
      </c>
      <c r="G167" s="60" t="s">
        <v>99</v>
      </c>
      <c r="H167" s="2"/>
      <c r="I167" s="2"/>
      <c r="J167" s="66">
        <v>170</v>
      </c>
      <c r="L167" s="60" t="s">
        <v>99</v>
      </c>
      <c r="M167" s="2"/>
      <c r="N167" s="2"/>
      <c r="O167" s="66">
        <v>180</v>
      </c>
    </row>
    <row r="168" spans="2:15" x14ac:dyDescent="0.3">
      <c r="B168" s="60" t="s">
        <v>354</v>
      </c>
      <c r="C168" s="2"/>
      <c r="D168" s="2"/>
      <c r="E168" s="67">
        <v>202.5</v>
      </c>
      <c r="G168" s="60" t="s">
        <v>354</v>
      </c>
      <c r="H168" s="2"/>
      <c r="I168" s="2"/>
      <c r="J168" s="67">
        <v>202.5</v>
      </c>
      <c r="L168" s="60" t="s">
        <v>354</v>
      </c>
      <c r="M168" s="2"/>
      <c r="N168" s="2"/>
      <c r="O168" s="67">
        <v>222.5</v>
      </c>
    </row>
    <row r="169" spans="2:15" ht="15" thickBot="1" x14ac:dyDescent="0.35">
      <c r="B169" s="60" t="s">
        <v>96</v>
      </c>
      <c r="C169" s="2"/>
      <c r="D169" s="129"/>
      <c r="E169" s="179">
        <v>13.66</v>
      </c>
      <c r="G169" s="60" t="s">
        <v>96</v>
      </c>
      <c r="H169" s="2"/>
      <c r="I169" s="129"/>
      <c r="J169" s="179">
        <v>320.8</v>
      </c>
      <c r="L169" s="60" t="s">
        <v>96</v>
      </c>
      <c r="M169" s="2"/>
      <c r="N169" s="129"/>
      <c r="O169" s="179">
        <v>331.94</v>
      </c>
    </row>
    <row r="170" spans="2:15" ht="15.6" thickTop="1" thickBot="1" x14ac:dyDescent="0.35">
      <c r="B170" s="64" t="s">
        <v>94</v>
      </c>
      <c r="C170" s="65"/>
      <c r="D170" s="131"/>
      <c r="E170" s="132">
        <v>2282.5</v>
      </c>
      <c r="G170" s="64" t="s">
        <v>94</v>
      </c>
      <c r="H170" s="65"/>
      <c r="I170" s="131"/>
      <c r="J170" s="132">
        <v>2412.5</v>
      </c>
      <c r="L170" s="64" t="s">
        <v>94</v>
      </c>
      <c r="M170" s="65"/>
      <c r="N170" s="131"/>
      <c r="O170" s="132">
        <v>2562.5</v>
      </c>
    </row>
    <row r="171" spans="2:15" ht="15.6" thickTop="1" thickBot="1" x14ac:dyDescent="0.35">
      <c r="B171" s="64" t="s">
        <v>98</v>
      </c>
      <c r="C171" s="65"/>
      <c r="D171" s="131"/>
      <c r="E171" s="143">
        <v>2282.5</v>
      </c>
      <c r="G171" s="64" t="s">
        <v>98</v>
      </c>
      <c r="H171" s="65"/>
      <c r="I171" s="131"/>
      <c r="J171" s="143">
        <v>2412.5</v>
      </c>
      <c r="L171" s="64" t="s">
        <v>98</v>
      </c>
      <c r="M171" s="65"/>
      <c r="N171" s="131"/>
      <c r="O171" s="143">
        <v>2562.4999999999995</v>
      </c>
    </row>
    <row r="172" spans="2:15" ht="15.6" thickTop="1" thickBot="1" x14ac:dyDescent="0.35">
      <c r="E172" s="202"/>
      <c r="J172" s="202"/>
      <c r="O172" s="202"/>
    </row>
    <row r="173" spans="2:15" ht="15.6" thickTop="1" thickBot="1" x14ac:dyDescent="0.35">
      <c r="B173" s="378" t="s">
        <v>92</v>
      </c>
      <c r="C173" s="379"/>
      <c r="D173" s="180" t="s">
        <v>392</v>
      </c>
      <c r="E173" s="75">
        <v>45337</v>
      </c>
      <c r="G173" s="378" t="s">
        <v>92</v>
      </c>
      <c r="H173" s="379"/>
      <c r="I173" s="180" t="s">
        <v>392</v>
      </c>
      <c r="J173" s="75">
        <v>45366</v>
      </c>
      <c r="L173" s="378" t="s">
        <v>92</v>
      </c>
      <c r="M173" s="379"/>
      <c r="N173" s="180" t="s">
        <v>392</v>
      </c>
      <c r="O173" s="75">
        <v>45397</v>
      </c>
    </row>
    <row r="174" spans="2:15" ht="15.6" thickTop="1" thickBot="1" x14ac:dyDescent="0.35">
      <c r="B174" s="380"/>
      <c r="C174" s="381"/>
      <c r="D174" s="180" t="s">
        <v>393</v>
      </c>
      <c r="E174" s="75">
        <v>44788</v>
      </c>
      <c r="G174" s="380"/>
      <c r="H174" s="381"/>
      <c r="I174" s="180" t="s">
        <v>393</v>
      </c>
      <c r="J174" s="75">
        <v>44788</v>
      </c>
      <c r="L174" s="380"/>
      <c r="M174" s="381"/>
      <c r="N174" s="180" t="s">
        <v>393</v>
      </c>
      <c r="O174" s="75">
        <v>44788</v>
      </c>
    </row>
    <row r="175" spans="2:15" ht="15.6" thickTop="1" thickBot="1" x14ac:dyDescent="0.35">
      <c r="B175" s="382"/>
      <c r="C175" s="383"/>
      <c r="D175" s="180" t="s">
        <v>391</v>
      </c>
      <c r="E175" s="75">
        <v>45365</v>
      </c>
      <c r="G175" s="382"/>
      <c r="H175" s="383"/>
      <c r="I175" s="180" t="s">
        <v>391</v>
      </c>
      <c r="J175" s="75">
        <v>45396</v>
      </c>
      <c r="L175" s="382"/>
      <c r="M175" s="383"/>
      <c r="N175" s="180" t="s">
        <v>391</v>
      </c>
      <c r="O175" s="75">
        <v>45426</v>
      </c>
    </row>
    <row r="176" spans="2:15" ht="15.6" thickTop="1" thickBot="1" x14ac:dyDescent="0.35">
      <c r="B176" s="60" t="s">
        <v>91</v>
      </c>
      <c r="C176" s="2"/>
      <c r="D176" s="2"/>
      <c r="E176" s="117">
        <v>2470</v>
      </c>
      <c r="G176" s="60" t="s">
        <v>91</v>
      </c>
      <c r="H176" s="2"/>
      <c r="I176" s="2"/>
      <c r="J176" s="117">
        <v>2600</v>
      </c>
      <c r="L176" s="60" t="s">
        <v>91</v>
      </c>
      <c r="M176" s="2"/>
      <c r="N176" s="2"/>
      <c r="O176" s="117">
        <v>2730</v>
      </c>
    </row>
    <row r="177" spans="2:15" ht="15.6" thickTop="1" thickBot="1" x14ac:dyDescent="0.35">
      <c r="B177" s="61" t="s">
        <v>168</v>
      </c>
      <c r="C177" s="62"/>
      <c r="D177" s="62"/>
      <c r="E177" s="123"/>
      <c r="G177" s="61" t="s">
        <v>168</v>
      </c>
      <c r="H177" s="62"/>
      <c r="I177" s="62"/>
      <c r="J177" s="123"/>
      <c r="L177" s="61" t="s">
        <v>168</v>
      </c>
      <c r="M177" s="62"/>
      <c r="N177" s="62"/>
      <c r="O177" s="123"/>
    </row>
    <row r="178" spans="2:15" ht="15" thickTop="1" x14ac:dyDescent="0.3">
      <c r="B178" s="121" t="s">
        <v>224</v>
      </c>
      <c r="C178" s="2"/>
      <c r="D178" s="2"/>
      <c r="E178" s="116">
        <v>8060</v>
      </c>
      <c r="G178" s="121" t="s">
        <v>224</v>
      </c>
      <c r="H178" s="2"/>
      <c r="I178" s="2"/>
      <c r="J178" s="116">
        <v>10160</v>
      </c>
      <c r="L178" s="121" t="s">
        <v>224</v>
      </c>
      <c r="M178" s="2"/>
      <c r="N178" s="2"/>
      <c r="O178" s="116">
        <v>10310</v>
      </c>
    </row>
    <row r="179" spans="2:15" x14ac:dyDescent="0.3">
      <c r="B179" s="122" t="s">
        <v>225</v>
      </c>
      <c r="C179" s="2"/>
      <c r="D179" s="2"/>
      <c r="E179" s="68">
        <v>100</v>
      </c>
      <c r="G179" s="122" t="s">
        <v>225</v>
      </c>
      <c r="H179" s="2"/>
      <c r="I179" s="2"/>
      <c r="J179" s="68">
        <v>100</v>
      </c>
      <c r="L179" s="122" t="s">
        <v>225</v>
      </c>
      <c r="M179" s="2"/>
      <c r="N179" s="2"/>
      <c r="O179" s="68">
        <v>200</v>
      </c>
    </row>
    <row r="180" spans="2:15" x14ac:dyDescent="0.3">
      <c r="B180" s="60" t="s">
        <v>102</v>
      </c>
      <c r="C180" s="2"/>
      <c r="D180" s="2"/>
      <c r="E180" s="69">
        <v>700</v>
      </c>
      <c r="G180" s="60" t="s">
        <v>102</v>
      </c>
      <c r="H180" s="2"/>
      <c r="I180" s="2"/>
      <c r="J180" s="69">
        <v>2100</v>
      </c>
      <c r="L180" s="60" t="s">
        <v>102</v>
      </c>
      <c r="M180" s="2"/>
      <c r="N180" s="2"/>
      <c r="O180" s="69">
        <v>250</v>
      </c>
    </row>
    <row r="181" spans="2:15" x14ac:dyDescent="0.3">
      <c r="B181" s="122" t="s">
        <v>226</v>
      </c>
      <c r="C181" s="2"/>
      <c r="D181" s="2"/>
      <c r="E181" s="124">
        <v>589</v>
      </c>
      <c r="G181" s="122" t="s">
        <v>226</v>
      </c>
      <c r="H181" s="2"/>
      <c r="I181" s="2"/>
      <c r="J181" s="124">
        <v>975</v>
      </c>
      <c r="L181" s="122" t="s">
        <v>226</v>
      </c>
      <c r="M181" s="2"/>
      <c r="N181" s="2"/>
      <c r="O181" s="124">
        <v>984</v>
      </c>
    </row>
    <row r="182" spans="2:15" ht="15" thickBot="1" x14ac:dyDescent="0.35">
      <c r="B182" s="60" t="s">
        <v>104</v>
      </c>
      <c r="C182" s="2"/>
      <c r="D182" s="2"/>
      <c r="E182" s="69">
        <v>68</v>
      </c>
      <c r="G182" s="60" t="s">
        <v>104</v>
      </c>
      <c r="H182" s="2"/>
      <c r="I182" s="2"/>
      <c r="J182" s="69">
        <v>386</v>
      </c>
      <c r="L182" s="60" t="s">
        <v>104</v>
      </c>
      <c r="M182" s="2"/>
      <c r="N182" s="2"/>
      <c r="O182" s="69">
        <v>9</v>
      </c>
    </row>
    <row r="183" spans="2:15" ht="15.6" thickTop="1" thickBot="1" x14ac:dyDescent="0.35">
      <c r="B183" s="125" t="s">
        <v>39</v>
      </c>
      <c r="C183" s="62"/>
      <c r="D183" s="62"/>
      <c r="E183" s="123"/>
      <c r="G183" s="125" t="s">
        <v>39</v>
      </c>
      <c r="H183" s="62"/>
      <c r="I183" s="62"/>
      <c r="J183" s="123"/>
      <c r="L183" s="125" t="s">
        <v>39</v>
      </c>
      <c r="M183" s="62"/>
      <c r="N183" s="62"/>
      <c r="O183" s="123"/>
    </row>
    <row r="184" spans="2:15" ht="15" thickTop="1" x14ac:dyDescent="0.3">
      <c r="B184" s="60" t="s">
        <v>100</v>
      </c>
      <c r="C184" s="2"/>
      <c r="D184" s="2"/>
      <c r="E184" s="68">
        <v>5888.5800000000008</v>
      </c>
      <c r="G184" s="60" t="s">
        <v>100</v>
      </c>
      <c r="H184" s="2"/>
      <c r="I184" s="2"/>
      <c r="J184" s="68">
        <v>7390.7200000000012</v>
      </c>
      <c r="L184" s="60" t="s">
        <v>100</v>
      </c>
      <c r="M184" s="2"/>
      <c r="N184" s="2"/>
      <c r="O184" s="68">
        <v>7862.8600000000015</v>
      </c>
    </row>
    <row r="185" spans="2:15" x14ac:dyDescent="0.3">
      <c r="B185" s="60" t="s">
        <v>103</v>
      </c>
      <c r="C185" s="2"/>
      <c r="D185" s="2"/>
      <c r="E185" s="69">
        <v>57.14</v>
      </c>
      <c r="G185" s="60" t="s">
        <v>103</v>
      </c>
      <c r="H185" s="2"/>
      <c r="I185" s="2"/>
      <c r="J185" s="69">
        <v>402.14</v>
      </c>
      <c r="L185" s="60" t="s">
        <v>103</v>
      </c>
      <c r="M185" s="2"/>
      <c r="N185" s="2"/>
      <c r="O185" s="69">
        <v>472.14</v>
      </c>
    </row>
    <row r="186" spans="2:15" ht="15" thickBot="1" x14ac:dyDescent="0.35">
      <c r="B186" s="73" t="s">
        <v>95</v>
      </c>
      <c r="C186" s="72"/>
      <c r="D186" s="63"/>
      <c r="E186" s="71">
        <v>2171.4199999999992</v>
      </c>
      <c r="G186" s="73" t="s">
        <v>95</v>
      </c>
      <c r="H186" s="72"/>
      <c r="I186" s="63"/>
      <c r="J186" s="71">
        <v>2769.2799999999988</v>
      </c>
      <c r="L186" s="73" t="s">
        <v>95</v>
      </c>
      <c r="M186" s="72"/>
      <c r="N186" s="63"/>
      <c r="O186" s="71">
        <v>2447.1399999999985</v>
      </c>
    </row>
    <row r="187" spans="2:15" ht="15" thickTop="1" x14ac:dyDescent="0.3">
      <c r="B187" s="60" t="s">
        <v>101</v>
      </c>
      <c r="C187" s="2"/>
      <c r="D187" s="2"/>
      <c r="E187" s="68">
        <v>465</v>
      </c>
      <c r="G187" s="60" t="s">
        <v>101</v>
      </c>
      <c r="H187" s="2"/>
      <c r="I187" s="2"/>
      <c r="J187" s="68">
        <v>519</v>
      </c>
      <c r="L187" s="60" t="s">
        <v>101</v>
      </c>
      <c r="M187" s="2"/>
      <c r="N187" s="2"/>
      <c r="O187" s="68">
        <v>583</v>
      </c>
    </row>
    <row r="188" spans="2:15" x14ac:dyDescent="0.3">
      <c r="B188" s="60" t="s">
        <v>105</v>
      </c>
      <c r="C188" s="2"/>
      <c r="D188" s="2"/>
      <c r="E188" s="69">
        <v>54</v>
      </c>
      <c r="G188" s="60" t="s">
        <v>105</v>
      </c>
      <c r="H188" s="2"/>
      <c r="I188" s="2"/>
      <c r="J188" s="69">
        <v>48</v>
      </c>
      <c r="L188" s="60" t="s">
        <v>105</v>
      </c>
      <c r="M188" s="2"/>
      <c r="N188" s="2"/>
      <c r="O188" s="69">
        <v>64</v>
      </c>
    </row>
    <row r="189" spans="2:15" ht="15" thickBot="1" x14ac:dyDescent="0.35">
      <c r="B189" s="73" t="s">
        <v>97</v>
      </c>
      <c r="C189" s="63"/>
      <c r="D189" s="63"/>
      <c r="E189" s="71">
        <v>124</v>
      </c>
      <c r="G189" s="73" t="s">
        <v>97</v>
      </c>
      <c r="H189" s="63"/>
      <c r="I189" s="63"/>
      <c r="J189" s="71">
        <v>456</v>
      </c>
      <c r="L189" s="73" t="s">
        <v>97</v>
      </c>
      <c r="M189" s="63"/>
      <c r="N189" s="63"/>
      <c r="O189" s="71">
        <v>401</v>
      </c>
    </row>
    <row r="190" spans="2:15" ht="15.6" thickTop="1" thickBot="1" x14ac:dyDescent="0.35">
      <c r="B190" s="61" t="s">
        <v>227</v>
      </c>
      <c r="C190" s="126"/>
      <c r="D190" s="62"/>
      <c r="E190" s="130"/>
      <c r="G190" s="61" t="s">
        <v>227</v>
      </c>
      <c r="H190" s="126"/>
      <c r="I190" s="62"/>
      <c r="J190" s="130"/>
      <c r="L190" s="61" t="s">
        <v>227</v>
      </c>
      <c r="M190" s="126"/>
      <c r="N190" s="62"/>
      <c r="O190" s="130"/>
    </row>
    <row r="191" spans="2:15" ht="15" thickTop="1" x14ac:dyDescent="0.3">
      <c r="B191" s="60" t="s">
        <v>294</v>
      </c>
      <c r="C191" s="118"/>
      <c r="D191" s="2"/>
      <c r="E191" s="70">
        <v>19.5</v>
      </c>
      <c r="G191" s="60" t="s">
        <v>294</v>
      </c>
      <c r="H191" s="118"/>
      <c r="I191" s="2"/>
      <c r="J191" s="70">
        <v>19.5</v>
      </c>
      <c r="L191" s="60" t="s">
        <v>294</v>
      </c>
      <c r="M191" s="118"/>
      <c r="N191" s="2"/>
      <c r="O191" s="70">
        <v>19.5</v>
      </c>
    </row>
    <row r="192" spans="2:15" x14ac:dyDescent="0.3">
      <c r="B192" s="60" t="s">
        <v>353</v>
      </c>
      <c r="C192" s="127"/>
      <c r="D192" s="128"/>
      <c r="E192" s="68">
        <v>300</v>
      </c>
      <c r="G192" s="60" t="s">
        <v>353</v>
      </c>
      <c r="H192" s="127"/>
      <c r="I192" s="128"/>
      <c r="J192" s="68">
        <v>300</v>
      </c>
      <c r="L192" s="60" t="s">
        <v>353</v>
      </c>
      <c r="M192" s="127"/>
      <c r="N192" s="128"/>
      <c r="O192" s="68">
        <v>400</v>
      </c>
    </row>
    <row r="193" spans="2:15" x14ac:dyDescent="0.3">
      <c r="B193" s="60" t="s">
        <v>247</v>
      </c>
      <c r="C193" s="127"/>
      <c r="D193" s="128"/>
      <c r="E193" s="68">
        <v>10</v>
      </c>
      <c r="G193" s="60" t="s">
        <v>247</v>
      </c>
      <c r="H193" s="127"/>
      <c r="I193" s="128"/>
      <c r="J193" s="68">
        <v>16</v>
      </c>
      <c r="L193" s="60" t="s">
        <v>247</v>
      </c>
      <c r="M193" s="127"/>
      <c r="N193" s="128"/>
      <c r="O193" s="68">
        <v>16</v>
      </c>
    </row>
    <row r="194" spans="2:15" x14ac:dyDescent="0.3">
      <c r="B194" s="60" t="s">
        <v>93</v>
      </c>
      <c r="C194" s="2"/>
      <c r="D194" s="2"/>
      <c r="E194" s="67">
        <v>2470</v>
      </c>
      <c r="G194" s="60" t="s">
        <v>93</v>
      </c>
      <c r="H194" s="2"/>
      <c r="I194" s="2"/>
      <c r="J194" s="67">
        <v>2600</v>
      </c>
      <c r="L194" s="60" t="s">
        <v>93</v>
      </c>
      <c r="M194" s="2"/>
      <c r="N194" s="2"/>
      <c r="O194" s="67">
        <v>2730</v>
      </c>
    </row>
    <row r="195" spans="2:15" x14ac:dyDescent="0.3">
      <c r="B195" s="60" t="s">
        <v>99</v>
      </c>
      <c r="C195" s="2"/>
      <c r="D195" s="2"/>
      <c r="E195" s="66">
        <v>190</v>
      </c>
      <c r="G195" s="60" t="s">
        <v>99</v>
      </c>
      <c r="H195" s="2"/>
      <c r="I195" s="2"/>
      <c r="J195" s="66">
        <v>200</v>
      </c>
      <c r="L195" s="60" t="s">
        <v>99</v>
      </c>
      <c r="M195" s="2"/>
      <c r="N195" s="2"/>
      <c r="O195" s="66">
        <v>210</v>
      </c>
    </row>
    <row r="196" spans="2:15" x14ac:dyDescent="0.3">
      <c r="B196" s="60" t="s">
        <v>354</v>
      </c>
      <c r="C196" s="2"/>
      <c r="D196" s="2"/>
      <c r="E196" s="67">
        <v>298.5</v>
      </c>
      <c r="G196" s="60" t="s">
        <v>354</v>
      </c>
      <c r="H196" s="2"/>
      <c r="I196" s="2"/>
      <c r="J196" s="67">
        <v>678.5</v>
      </c>
      <c r="L196" s="60" t="s">
        <v>354</v>
      </c>
      <c r="M196" s="2"/>
      <c r="N196" s="2"/>
      <c r="O196" s="67">
        <v>587.5</v>
      </c>
    </row>
    <row r="197" spans="2:15" ht="15" thickBot="1" x14ac:dyDescent="0.35">
      <c r="B197" s="60" t="s">
        <v>96</v>
      </c>
      <c r="C197" s="2"/>
      <c r="D197" s="129"/>
      <c r="E197" s="179">
        <v>473.08</v>
      </c>
      <c r="G197" s="60" t="s">
        <v>96</v>
      </c>
      <c r="H197" s="2"/>
      <c r="I197" s="129"/>
      <c r="J197" s="179">
        <v>53.22</v>
      </c>
      <c r="L197" s="60" t="s">
        <v>96</v>
      </c>
      <c r="M197" s="2"/>
      <c r="N197" s="129"/>
      <c r="O197" s="179">
        <v>469.36</v>
      </c>
    </row>
    <row r="198" spans="2:15" ht="15.6" thickTop="1" thickBot="1" x14ac:dyDescent="0.35">
      <c r="B198" s="64" t="s">
        <v>94</v>
      </c>
      <c r="C198" s="65"/>
      <c r="D198" s="131"/>
      <c r="E198" s="132">
        <v>2768.5</v>
      </c>
      <c r="G198" s="64" t="s">
        <v>94</v>
      </c>
      <c r="H198" s="65"/>
      <c r="I198" s="131"/>
      <c r="J198" s="132">
        <v>3278.5</v>
      </c>
      <c r="L198" s="64" t="s">
        <v>94</v>
      </c>
      <c r="M198" s="65"/>
      <c r="N198" s="131"/>
      <c r="O198" s="132">
        <v>3317.5</v>
      </c>
    </row>
    <row r="199" spans="2:15" ht="15.6" thickTop="1" thickBot="1" x14ac:dyDescent="0.35">
      <c r="B199" s="64" t="s">
        <v>98</v>
      </c>
      <c r="C199" s="65"/>
      <c r="D199" s="131"/>
      <c r="E199" s="143">
        <v>2768.4999999999991</v>
      </c>
      <c r="G199" s="64" t="s">
        <v>98</v>
      </c>
      <c r="H199" s="65"/>
      <c r="I199" s="131"/>
      <c r="J199" s="143">
        <v>3278.4999999999986</v>
      </c>
      <c r="L199" s="64" t="s">
        <v>98</v>
      </c>
      <c r="M199" s="65"/>
      <c r="N199" s="131"/>
      <c r="O199" s="143">
        <v>3317.4999999999986</v>
      </c>
    </row>
    <row r="200" spans="2:15" ht="15.6" thickTop="1" thickBot="1" x14ac:dyDescent="0.35">
      <c r="E200" s="202"/>
      <c r="J200" s="202"/>
      <c r="O200" s="202"/>
    </row>
    <row r="201" spans="2:15" ht="15.6" thickTop="1" thickBot="1" x14ac:dyDescent="0.35">
      <c r="B201" s="378" t="s">
        <v>92</v>
      </c>
      <c r="C201" s="379"/>
      <c r="D201" s="180" t="s">
        <v>392</v>
      </c>
      <c r="E201" s="75">
        <v>45427</v>
      </c>
      <c r="G201" s="378" t="s">
        <v>92</v>
      </c>
      <c r="H201" s="379"/>
      <c r="I201" s="180" t="s">
        <v>392</v>
      </c>
      <c r="J201" s="75">
        <v>45458</v>
      </c>
      <c r="L201" s="378" t="s">
        <v>92</v>
      </c>
      <c r="M201" s="379"/>
      <c r="N201" s="180" t="s">
        <v>392</v>
      </c>
      <c r="O201" s="75">
        <v>45488</v>
      </c>
    </row>
    <row r="202" spans="2:15" ht="15.6" thickTop="1" thickBot="1" x14ac:dyDescent="0.35">
      <c r="B202" s="380"/>
      <c r="C202" s="381"/>
      <c r="D202" s="180" t="s">
        <v>393</v>
      </c>
      <c r="E202" s="75">
        <v>44788</v>
      </c>
      <c r="G202" s="380"/>
      <c r="H202" s="381"/>
      <c r="I202" s="180" t="s">
        <v>393</v>
      </c>
      <c r="J202" s="75">
        <v>44788</v>
      </c>
      <c r="L202" s="380"/>
      <c r="M202" s="381"/>
      <c r="N202" s="180" t="s">
        <v>393</v>
      </c>
      <c r="O202" s="75">
        <v>44788</v>
      </c>
    </row>
    <row r="203" spans="2:15" ht="15.6" thickTop="1" thickBot="1" x14ac:dyDescent="0.35">
      <c r="B203" s="382"/>
      <c r="C203" s="383"/>
      <c r="D203" s="180" t="s">
        <v>391</v>
      </c>
      <c r="E203" s="75">
        <v>45457</v>
      </c>
      <c r="G203" s="382"/>
      <c r="H203" s="383"/>
      <c r="I203" s="180" t="s">
        <v>391</v>
      </c>
      <c r="J203" s="75">
        <v>45487</v>
      </c>
      <c r="L203" s="382"/>
      <c r="M203" s="383"/>
      <c r="N203" s="180" t="s">
        <v>391</v>
      </c>
      <c r="O203" s="75">
        <v>45518</v>
      </c>
    </row>
    <row r="204" spans="2:15" ht="15.6" thickTop="1" thickBot="1" x14ac:dyDescent="0.35">
      <c r="B204" s="60" t="s">
        <v>91</v>
      </c>
      <c r="C204" s="2"/>
      <c r="D204" s="2"/>
      <c r="E204" s="117">
        <v>2860</v>
      </c>
      <c r="G204" s="60" t="s">
        <v>91</v>
      </c>
      <c r="H204" s="2"/>
      <c r="I204" s="2"/>
      <c r="J204" s="117">
        <v>2990</v>
      </c>
      <c r="L204" s="60" t="s">
        <v>91</v>
      </c>
      <c r="M204" s="2"/>
      <c r="N204" s="2"/>
      <c r="O204" s="117">
        <v>3120</v>
      </c>
    </row>
    <row r="205" spans="2:15" ht="15.6" thickTop="1" thickBot="1" x14ac:dyDescent="0.35">
      <c r="B205" s="61" t="s">
        <v>168</v>
      </c>
      <c r="C205" s="62"/>
      <c r="D205" s="62"/>
      <c r="E205" s="123"/>
      <c r="G205" s="61" t="s">
        <v>168</v>
      </c>
      <c r="H205" s="62"/>
      <c r="I205" s="62"/>
      <c r="J205" s="123"/>
      <c r="L205" s="61" t="s">
        <v>168</v>
      </c>
      <c r="M205" s="62"/>
      <c r="N205" s="62"/>
      <c r="O205" s="123"/>
    </row>
    <row r="206" spans="2:15" ht="15" thickTop="1" x14ac:dyDescent="0.3">
      <c r="B206" s="121" t="s">
        <v>224</v>
      </c>
      <c r="C206" s="2"/>
      <c r="D206" s="2"/>
      <c r="E206" s="116">
        <v>11310</v>
      </c>
      <c r="G206" s="121" t="s">
        <v>224</v>
      </c>
      <c r="H206" s="2"/>
      <c r="I206" s="2"/>
      <c r="J206" s="116">
        <v>12310</v>
      </c>
      <c r="L206" s="121" t="s">
        <v>224</v>
      </c>
      <c r="M206" s="2"/>
      <c r="N206" s="2"/>
      <c r="O206" s="116">
        <v>13310</v>
      </c>
    </row>
    <row r="207" spans="2:15" x14ac:dyDescent="0.3">
      <c r="B207" s="122" t="s">
        <v>225</v>
      </c>
      <c r="C207" s="2"/>
      <c r="D207" s="2"/>
      <c r="E207" s="68">
        <v>200</v>
      </c>
      <c r="G207" s="122" t="s">
        <v>225</v>
      </c>
      <c r="H207" s="2"/>
      <c r="I207" s="2"/>
      <c r="J207" s="68">
        <v>200</v>
      </c>
      <c r="L207" s="122" t="s">
        <v>225</v>
      </c>
      <c r="M207" s="2"/>
      <c r="N207" s="2"/>
      <c r="O207" s="68">
        <v>200</v>
      </c>
    </row>
    <row r="208" spans="2:15" x14ac:dyDescent="0.3">
      <c r="B208" s="60" t="s">
        <v>102</v>
      </c>
      <c r="C208" s="2"/>
      <c r="D208" s="2"/>
      <c r="E208" s="69">
        <v>1000</v>
      </c>
      <c r="G208" s="60" t="s">
        <v>102</v>
      </c>
      <c r="H208" s="2"/>
      <c r="I208" s="2"/>
      <c r="J208" s="69">
        <v>1000</v>
      </c>
      <c r="L208" s="60" t="s">
        <v>102</v>
      </c>
      <c r="M208" s="2"/>
      <c r="N208" s="2"/>
      <c r="O208" s="69">
        <v>1000</v>
      </c>
    </row>
    <row r="209" spans="2:15" x14ac:dyDescent="0.3">
      <c r="B209" s="122" t="s">
        <v>226</v>
      </c>
      <c r="C209" s="2"/>
      <c r="D209" s="2"/>
      <c r="E209" s="124">
        <v>1100</v>
      </c>
      <c r="G209" s="122" t="s">
        <v>226</v>
      </c>
      <c r="H209" s="2"/>
      <c r="I209" s="2"/>
      <c r="J209" s="124">
        <v>1188</v>
      </c>
      <c r="L209" s="122" t="s">
        <v>226</v>
      </c>
      <c r="M209" s="2"/>
      <c r="N209" s="2"/>
      <c r="O209" s="124">
        <v>1358</v>
      </c>
    </row>
    <row r="210" spans="2:15" ht="15" thickBot="1" x14ac:dyDescent="0.35">
      <c r="B210" s="60" t="s">
        <v>104</v>
      </c>
      <c r="C210" s="2"/>
      <c r="D210" s="2"/>
      <c r="E210" s="69">
        <v>116</v>
      </c>
      <c r="G210" s="60" t="s">
        <v>104</v>
      </c>
      <c r="H210" s="2"/>
      <c r="I210" s="2"/>
      <c r="J210" s="69">
        <v>88</v>
      </c>
      <c r="L210" s="60" t="s">
        <v>104</v>
      </c>
      <c r="M210" s="2"/>
      <c r="N210" s="2"/>
      <c r="O210" s="69">
        <v>170</v>
      </c>
    </row>
    <row r="211" spans="2:15" ht="15.6" thickTop="1" thickBot="1" x14ac:dyDescent="0.35">
      <c r="B211" s="125" t="s">
        <v>39</v>
      </c>
      <c r="C211" s="62"/>
      <c r="D211" s="62"/>
      <c r="E211" s="123"/>
      <c r="G211" s="125" t="s">
        <v>39</v>
      </c>
      <c r="H211" s="62"/>
      <c r="I211" s="62"/>
      <c r="J211" s="123"/>
      <c r="L211" s="125" t="s">
        <v>39</v>
      </c>
      <c r="M211" s="62"/>
      <c r="N211" s="62"/>
      <c r="O211" s="123"/>
    </row>
    <row r="212" spans="2:15" ht="15" thickTop="1" x14ac:dyDescent="0.3">
      <c r="B212" s="60" t="s">
        <v>100</v>
      </c>
      <c r="C212" s="2"/>
      <c r="D212" s="2"/>
      <c r="E212" s="68">
        <v>8335.0000000000018</v>
      </c>
      <c r="G212" s="60" t="s">
        <v>100</v>
      </c>
      <c r="H212" s="2"/>
      <c r="I212" s="2"/>
      <c r="J212" s="68">
        <v>9035.7400000000016</v>
      </c>
      <c r="L212" s="60" t="s">
        <v>100</v>
      </c>
      <c r="M212" s="2"/>
      <c r="N212" s="2"/>
      <c r="O212" s="68">
        <v>9901.4500000000007</v>
      </c>
    </row>
    <row r="213" spans="2:15" x14ac:dyDescent="0.3">
      <c r="B213" s="60" t="s">
        <v>103</v>
      </c>
      <c r="C213" s="2"/>
      <c r="D213" s="2"/>
      <c r="E213" s="69">
        <v>472.14</v>
      </c>
      <c r="G213" s="60" t="s">
        <v>103</v>
      </c>
      <c r="H213" s="2"/>
      <c r="I213" s="2"/>
      <c r="J213" s="69">
        <v>500.74</v>
      </c>
      <c r="L213" s="60" t="s">
        <v>103</v>
      </c>
      <c r="M213" s="2"/>
      <c r="N213" s="2"/>
      <c r="O213" s="69">
        <v>865.71</v>
      </c>
    </row>
    <row r="214" spans="2:15" ht="15" thickBot="1" x14ac:dyDescent="0.35">
      <c r="B214" s="73" t="s">
        <v>95</v>
      </c>
      <c r="C214" s="72"/>
      <c r="D214" s="63"/>
      <c r="E214" s="71">
        <v>2974.9999999999982</v>
      </c>
      <c r="G214" s="73" t="s">
        <v>95</v>
      </c>
      <c r="H214" s="72"/>
      <c r="I214" s="63"/>
      <c r="J214" s="71">
        <v>3274.2599999999984</v>
      </c>
      <c r="L214" s="73" t="s">
        <v>95</v>
      </c>
      <c r="M214" s="72"/>
      <c r="N214" s="63"/>
      <c r="O214" s="71">
        <v>3408.5499999999993</v>
      </c>
    </row>
    <row r="215" spans="2:15" ht="15" thickTop="1" x14ac:dyDescent="0.3">
      <c r="B215" s="60" t="s">
        <v>101</v>
      </c>
      <c r="C215" s="2"/>
      <c r="D215" s="2"/>
      <c r="E215" s="68">
        <v>647</v>
      </c>
      <c r="G215" s="60" t="s">
        <v>101</v>
      </c>
      <c r="H215" s="2"/>
      <c r="I215" s="2"/>
      <c r="J215" s="68">
        <v>731</v>
      </c>
      <c r="L215" s="60" t="s">
        <v>101</v>
      </c>
      <c r="M215" s="2"/>
      <c r="N215" s="2"/>
      <c r="O215" s="68">
        <v>826</v>
      </c>
    </row>
    <row r="216" spans="2:15" x14ac:dyDescent="0.3">
      <c r="B216" s="60" t="s">
        <v>105</v>
      </c>
      <c r="C216" s="2"/>
      <c r="D216" s="2"/>
      <c r="E216" s="69">
        <v>68</v>
      </c>
      <c r="G216" s="60" t="s">
        <v>105</v>
      </c>
      <c r="H216" s="2"/>
      <c r="I216" s="2"/>
      <c r="J216" s="69">
        <v>76</v>
      </c>
      <c r="L216" s="60" t="s">
        <v>105</v>
      </c>
      <c r="M216" s="2"/>
      <c r="N216" s="2"/>
      <c r="O216" s="69">
        <v>95</v>
      </c>
    </row>
    <row r="217" spans="2:15" ht="15" thickBot="1" x14ac:dyDescent="0.35">
      <c r="B217" s="73" t="s">
        <v>97</v>
      </c>
      <c r="C217" s="63"/>
      <c r="D217" s="63"/>
      <c r="E217" s="71">
        <v>453</v>
      </c>
      <c r="G217" s="73" t="s">
        <v>97</v>
      </c>
      <c r="H217" s="63"/>
      <c r="I217" s="63"/>
      <c r="J217" s="71">
        <v>457</v>
      </c>
      <c r="L217" s="73" t="s">
        <v>97</v>
      </c>
      <c r="M217" s="63"/>
      <c r="N217" s="63"/>
      <c r="O217" s="71">
        <v>532</v>
      </c>
    </row>
    <row r="218" spans="2:15" ht="15.6" thickTop="1" thickBot="1" x14ac:dyDescent="0.35">
      <c r="B218" s="61" t="s">
        <v>227</v>
      </c>
      <c r="C218" s="126"/>
      <c r="D218" s="62"/>
      <c r="E218" s="130"/>
      <c r="G218" s="61" t="s">
        <v>227</v>
      </c>
      <c r="H218" s="126"/>
      <c r="I218" s="62"/>
      <c r="J218" s="130"/>
      <c r="L218" s="61" t="s">
        <v>227</v>
      </c>
      <c r="M218" s="126"/>
      <c r="N218" s="62"/>
      <c r="O218" s="130"/>
    </row>
    <row r="219" spans="2:15" ht="15" thickTop="1" x14ac:dyDescent="0.3">
      <c r="B219" s="60" t="s">
        <v>294</v>
      </c>
      <c r="C219" s="118"/>
      <c r="D219" s="2"/>
      <c r="E219" s="70">
        <v>23.5</v>
      </c>
      <c r="G219" s="60" t="s">
        <v>294</v>
      </c>
      <c r="H219" s="118"/>
      <c r="I219" s="2"/>
      <c r="J219" s="70">
        <v>23.5</v>
      </c>
      <c r="L219" s="60" t="s">
        <v>294</v>
      </c>
      <c r="M219" s="118"/>
      <c r="N219" s="2"/>
      <c r="O219" s="70">
        <v>23.5</v>
      </c>
    </row>
    <row r="220" spans="2:15" x14ac:dyDescent="0.3">
      <c r="B220" s="60" t="s">
        <v>353</v>
      </c>
      <c r="C220" s="127"/>
      <c r="D220" s="128"/>
      <c r="E220" s="68">
        <v>400</v>
      </c>
      <c r="G220" s="60" t="s">
        <v>353</v>
      </c>
      <c r="H220" s="127"/>
      <c r="I220" s="128"/>
      <c r="J220" s="68">
        <v>400</v>
      </c>
      <c r="L220" s="60" t="s">
        <v>353</v>
      </c>
      <c r="M220" s="127"/>
      <c r="N220" s="128"/>
      <c r="O220" s="68">
        <v>400</v>
      </c>
    </row>
    <row r="221" spans="2:15" x14ac:dyDescent="0.3">
      <c r="B221" s="60" t="s">
        <v>247</v>
      </c>
      <c r="C221" s="127"/>
      <c r="D221" s="128"/>
      <c r="E221" s="68">
        <v>16</v>
      </c>
      <c r="G221" s="60" t="s">
        <v>247</v>
      </c>
      <c r="H221" s="127"/>
      <c r="I221" s="128"/>
      <c r="J221" s="68">
        <v>24</v>
      </c>
      <c r="L221" s="60" t="s">
        <v>247</v>
      </c>
      <c r="M221" s="127"/>
      <c r="N221" s="128"/>
      <c r="O221" s="68">
        <v>24</v>
      </c>
    </row>
    <row r="222" spans="2:15" x14ac:dyDescent="0.3">
      <c r="B222" s="60" t="s">
        <v>93</v>
      </c>
      <c r="C222" s="2"/>
      <c r="D222" s="2"/>
      <c r="E222" s="67">
        <v>2860</v>
      </c>
      <c r="G222" s="60" t="s">
        <v>93</v>
      </c>
      <c r="H222" s="2"/>
      <c r="I222" s="2"/>
      <c r="J222" s="67">
        <v>2990</v>
      </c>
      <c r="L222" s="60" t="s">
        <v>93</v>
      </c>
      <c r="M222" s="2"/>
      <c r="N222" s="2"/>
      <c r="O222" s="67">
        <v>3120</v>
      </c>
    </row>
    <row r="223" spans="2:15" x14ac:dyDescent="0.3">
      <c r="B223" s="60" t="s">
        <v>99</v>
      </c>
      <c r="C223" s="2"/>
      <c r="D223" s="2"/>
      <c r="E223" s="66">
        <v>220</v>
      </c>
      <c r="G223" s="60" t="s">
        <v>99</v>
      </c>
      <c r="H223" s="2"/>
      <c r="I223" s="2"/>
      <c r="J223" s="66">
        <v>230</v>
      </c>
      <c r="L223" s="60" t="s">
        <v>99</v>
      </c>
      <c r="M223" s="2"/>
      <c r="N223" s="2"/>
      <c r="O223" s="66">
        <v>240</v>
      </c>
    </row>
    <row r="224" spans="2:15" x14ac:dyDescent="0.3">
      <c r="B224" s="60" t="s">
        <v>354</v>
      </c>
      <c r="C224" s="2"/>
      <c r="D224" s="2"/>
      <c r="E224" s="67">
        <v>707.5</v>
      </c>
      <c r="G224" s="60" t="s">
        <v>354</v>
      </c>
      <c r="H224" s="2"/>
      <c r="I224" s="2"/>
      <c r="J224" s="67">
        <v>787.5</v>
      </c>
      <c r="L224" s="60" t="s">
        <v>354</v>
      </c>
      <c r="M224" s="2"/>
      <c r="N224" s="2"/>
      <c r="O224" s="67">
        <v>957.5</v>
      </c>
    </row>
    <row r="225" spans="2:15" ht="15" thickBot="1" x14ac:dyDescent="0.35">
      <c r="B225" s="60" t="s">
        <v>96</v>
      </c>
      <c r="C225" s="2"/>
      <c r="D225" s="129"/>
      <c r="E225" s="179">
        <v>139.5</v>
      </c>
      <c r="G225" s="60" t="s">
        <v>96</v>
      </c>
      <c r="H225" s="2"/>
      <c r="I225" s="129"/>
      <c r="J225" s="179">
        <v>46.24</v>
      </c>
      <c r="L225" s="60" t="s">
        <v>96</v>
      </c>
      <c r="M225" s="2"/>
      <c r="N225" s="129"/>
      <c r="O225" s="179">
        <v>136.94999999999999</v>
      </c>
    </row>
    <row r="226" spans="2:15" ht="15.6" thickTop="1" thickBot="1" x14ac:dyDescent="0.35">
      <c r="B226" s="64" t="s">
        <v>94</v>
      </c>
      <c r="C226" s="65"/>
      <c r="D226" s="131"/>
      <c r="E226" s="132">
        <v>3567.5</v>
      </c>
      <c r="G226" s="64" t="s">
        <v>94</v>
      </c>
      <c r="H226" s="65"/>
      <c r="I226" s="131"/>
      <c r="J226" s="132">
        <v>3777.5</v>
      </c>
      <c r="L226" s="64" t="s">
        <v>94</v>
      </c>
      <c r="M226" s="65"/>
      <c r="N226" s="131"/>
      <c r="O226" s="132">
        <v>4077.5</v>
      </c>
    </row>
    <row r="227" spans="2:15" ht="15.6" thickTop="1" thickBot="1" x14ac:dyDescent="0.35">
      <c r="B227" s="64" t="s">
        <v>98</v>
      </c>
      <c r="C227" s="65"/>
      <c r="D227" s="131"/>
      <c r="E227" s="143">
        <v>3567.4999999999982</v>
      </c>
      <c r="G227" s="64" t="s">
        <v>98</v>
      </c>
      <c r="H227" s="65"/>
      <c r="I227" s="131"/>
      <c r="J227" s="143">
        <v>3777.4999999999982</v>
      </c>
      <c r="L227" s="64" t="s">
        <v>98</v>
      </c>
      <c r="M227" s="65"/>
      <c r="N227" s="131"/>
      <c r="O227" s="143">
        <v>4077.4999999999991</v>
      </c>
    </row>
    <row r="228" spans="2:15" ht="15.6" thickTop="1" thickBot="1" x14ac:dyDescent="0.35">
      <c r="E228" s="202"/>
      <c r="J228" s="202"/>
      <c r="O228" s="202"/>
    </row>
    <row r="229" spans="2:15" ht="15.6" thickTop="1" thickBot="1" x14ac:dyDescent="0.35">
      <c r="B229" s="378" t="s">
        <v>92</v>
      </c>
      <c r="C229" s="379"/>
      <c r="D229" s="180" t="s">
        <v>392</v>
      </c>
      <c r="E229" s="75">
        <v>45519</v>
      </c>
      <c r="G229" s="378" t="s">
        <v>92</v>
      </c>
      <c r="H229" s="379"/>
      <c r="I229" s="180" t="s">
        <v>392</v>
      </c>
      <c r="J229" s="75">
        <v>45550</v>
      </c>
      <c r="L229" s="378" t="s">
        <v>92</v>
      </c>
      <c r="M229" s="379"/>
      <c r="N229" s="180" t="s">
        <v>392</v>
      </c>
      <c r="O229" s="75">
        <v>45580</v>
      </c>
    </row>
    <row r="230" spans="2:15" ht="15.6" thickTop="1" thickBot="1" x14ac:dyDescent="0.35">
      <c r="B230" s="380"/>
      <c r="C230" s="381"/>
      <c r="D230" s="180" t="s">
        <v>393</v>
      </c>
      <c r="E230" s="75">
        <v>44788</v>
      </c>
      <c r="G230" s="380"/>
      <c r="H230" s="381"/>
      <c r="I230" s="180" t="s">
        <v>393</v>
      </c>
      <c r="J230" s="75">
        <v>44788</v>
      </c>
      <c r="L230" s="380"/>
      <c r="M230" s="381"/>
      <c r="N230" s="180" t="s">
        <v>393</v>
      </c>
      <c r="O230" s="75">
        <v>44788</v>
      </c>
    </row>
    <row r="231" spans="2:15" ht="15.6" thickTop="1" thickBot="1" x14ac:dyDescent="0.35">
      <c r="B231" s="382"/>
      <c r="C231" s="383"/>
      <c r="D231" s="180" t="s">
        <v>391</v>
      </c>
      <c r="E231" s="75">
        <v>45549</v>
      </c>
      <c r="G231" s="382"/>
      <c r="H231" s="383"/>
      <c r="I231" s="180" t="s">
        <v>391</v>
      </c>
      <c r="J231" s="75">
        <v>45579</v>
      </c>
      <c r="L231" s="382"/>
      <c r="M231" s="383"/>
      <c r="N231" s="180" t="s">
        <v>391</v>
      </c>
      <c r="O231" s="75">
        <v>45610</v>
      </c>
    </row>
    <row r="232" spans="2:15" ht="15.6" thickTop="1" thickBot="1" x14ac:dyDescent="0.35">
      <c r="B232" s="60" t="s">
        <v>91</v>
      </c>
      <c r="C232" s="2"/>
      <c r="D232" s="2"/>
      <c r="E232" s="117">
        <v>3250</v>
      </c>
      <c r="G232" s="60" t="s">
        <v>91</v>
      </c>
      <c r="H232" s="2"/>
      <c r="I232" s="2"/>
      <c r="J232" s="117">
        <v>3380</v>
      </c>
      <c r="L232" s="60" t="s">
        <v>91</v>
      </c>
      <c r="M232" s="2"/>
      <c r="N232" s="2"/>
      <c r="O232" s="117">
        <v>3510</v>
      </c>
    </row>
    <row r="233" spans="2:15" ht="15.6" thickTop="1" thickBot="1" x14ac:dyDescent="0.35">
      <c r="B233" s="61" t="s">
        <v>168</v>
      </c>
      <c r="C233" s="62"/>
      <c r="D233" s="62"/>
      <c r="E233" s="123"/>
      <c r="G233" s="61" t="s">
        <v>168</v>
      </c>
      <c r="H233" s="62"/>
      <c r="I233" s="62"/>
      <c r="J233" s="123"/>
      <c r="L233" s="61" t="s">
        <v>168</v>
      </c>
      <c r="M233" s="62"/>
      <c r="N233" s="62"/>
      <c r="O233" s="123"/>
    </row>
    <row r="234" spans="2:15" ht="15" thickTop="1" x14ac:dyDescent="0.3">
      <c r="B234" s="121" t="s">
        <v>224</v>
      </c>
      <c r="C234" s="2"/>
      <c r="D234" s="2"/>
      <c r="E234" s="116">
        <v>14210</v>
      </c>
      <c r="G234" s="121" t="s">
        <v>224</v>
      </c>
      <c r="H234" s="2"/>
      <c r="I234" s="2"/>
      <c r="J234" s="116">
        <v>14610</v>
      </c>
      <c r="L234" s="121" t="s">
        <v>224</v>
      </c>
      <c r="M234" s="2"/>
      <c r="N234" s="2"/>
      <c r="O234" s="116">
        <v>15610</v>
      </c>
    </row>
    <row r="235" spans="2:15" x14ac:dyDescent="0.3">
      <c r="B235" s="122" t="s">
        <v>225</v>
      </c>
      <c r="C235" s="2"/>
      <c r="D235" s="2"/>
      <c r="E235" s="68">
        <v>200</v>
      </c>
      <c r="G235" s="122" t="s">
        <v>225</v>
      </c>
      <c r="H235" s="2"/>
      <c r="I235" s="2"/>
      <c r="J235" s="68">
        <v>460</v>
      </c>
      <c r="L235" s="122" t="s">
        <v>225</v>
      </c>
      <c r="M235" s="2"/>
      <c r="N235" s="2"/>
      <c r="O235" s="68">
        <v>460</v>
      </c>
    </row>
    <row r="236" spans="2:15" x14ac:dyDescent="0.3">
      <c r="B236" s="60" t="s">
        <v>102</v>
      </c>
      <c r="C236" s="2"/>
      <c r="D236" s="2"/>
      <c r="E236" s="69">
        <v>900</v>
      </c>
      <c r="G236" s="60" t="s">
        <v>102</v>
      </c>
      <c r="H236" s="2"/>
      <c r="I236" s="2"/>
      <c r="J236" s="69">
        <v>660</v>
      </c>
      <c r="L236" s="60" t="s">
        <v>102</v>
      </c>
      <c r="M236" s="2"/>
      <c r="N236" s="2"/>
      <c r="O236" s="69">
        <v>1000</v>
      </c>
    </row>
    <row r="237" spans="2:15" x14ac:dyDescent="0.3">
      <c r="B237" s="122" t="s">
        <v>226</v>
      </c>
      <c r="C237" s="2"/>
      <c r="D237" s="2"/>
      <c r="E237" s="124">
        <v>1466</v>
      </c>
      <c r="G237" s="122" t="s">
        <v>226</v>
      </c>
      <c r="H237" s="2"/>
      <c r="I237" s="2"/>
      <c r="J237" s="124">
        <v>1498</v>
      </c>
      <c r="L237" s="122" t="s">
        <v>226</v>
      </c>
      <c r="M237" s="2"/>
      <c r="N237" s="2"/>
      <c r="O237" s="124">
        <v>1578</v>
      </c>
    </row>
    <row r="238" spans="2:15" ht="15" thickBot="1" x14ac:dyDescent="0.35">
      <c r="B238" s="60" t="s">
        <v>104</v>
      </c>
      <c r="C238" s="2"/>
      <c r="D238" s="2"/>
      <c r="E238" s="69">
        <v>108</v>
      </c>
      <c r="G238" s="60" t="s">
        <v>104</v>
      </c>
      <c r="H238" s="2"/>
      <c r="I238" s="2"/>
      <c r="J238" s="69">
        <v>32</v>
      </c>
      <c r="L238" s="60" t="s">
        <v>104</v>
      </c>
      <c r="M238" s="2"/>
      <c r="N238" s="2"/>
      <c r="O238" s="69">
        <v>80</v>
      </c>
    </row>
    <row r="239" spans="2:15" ht="15.6" thickTop="1" thickBot="1" x14ac:dyDescent="0.35">
      <c r="B239" s="125" t="s">
        <v>39</v>
      </c>
      <c r="C239" s="62"/>
      <c r="D239" s="62"/>
      <c r="E239" s="123"/>
      <c r="G239" s="125" t="s">
        <v>39</v>
      </c>
      <c r="H239" s="62"/>
      <c r="I239" s="62"/>
      <c r="J239" s="123"/>
      <c r="L239" s="125" t="s">
        <v>39</v>
      </c>
      <c r="M239" s="62"/>
      <c r="N239" s="62"/>
      <c r="O239" s="123"/>
    </row>
    <row r="240" spans="2:15" ht="15" thickTop="1" x14ac:dyDescent="0.3">
      <c r="B240" s="60" t="s">
        <v>100</v>
      </c>
      <c r="C240" s="2"/>
      <c r="D240" s="2"/>
      <c r="E240" s="68">
        <v>10638.830000000002</v>
      </c>
      <c r="G240" s="60" t="s">
        <v>100</v>
      </c>
      <c r="H240" s="2"/>
      <c r="I240" s="2"/>
      <c r="J240" s="68">
        <v>11506.210000000001</v>
      </c>
      <c r="L240" s="60" t="s">
        <v>100</v>
      </c>
      <c r="M240" s="2"/>
      <c r="N240" s="2"/>
      <c r="O240" s="68">
        <v>12413.59</v>
      </c>
    </row>
    <row r="241" spans="2:15" x14ac:dyDescent="0.3">
      <c r="B241" s="60" t="s">
        <v>103</v>
      </c>
      <c r="C241" s="2"/>
      <c r="D241" s="2"/>
      <c r="E241" s="69">
        <v>737.38</v>
      </c>
      <c r="G241" s="60" t="s">
        <v>103</v>
      </c>
      <c r="H241" s="2"/>
      <c r="I241" s="2"/>
      <c r="J241" s="69">
        <v>867.38</v>
      </c>
      <c r="L241" s="60" t="s">
        <v>103</v>
      </c>
      <c r="M241" s="2"/>
      <c r="N241" s="2"/>
      <c r="O241" s="69">
        <v>934.08</v>
      </c>
    </row>
    <row r="242" spans="2:15" ht="15" thickBot="1" x14ac:dyDescent="0.35">
      <c r="B242" s="73" t="s">
        <v>95</v>
      </c>
      <c r="C242" s="72"/>
      <c r="D242" s="63"/>
      <c r="E242" s="71">
        <v>3571.1699999999983</v>
      </c>
      <c r="G242" s="73" t="s">
        <v>95</v>
      </c>
      <c r="H242" s="72"/>
      <c r="I242" s="63"/>
      <c r="J242" s="71">
        <v>3103.7899999999991</v>
      </c>
      <c r="L242" s="73" t="s">
        <v>95</v>
      </c>
      <c r="M242" s="72"/>
      <c r="N242" s="63"/>
      <c r="O242" s="71">
        <v>3196.41</v>
      </c>
    </row>
    <row r="243" spans="2:15" ht="15" thickTop="1" x14ac:dyDescent="0.3">
      <c r="B243" s="60" t="s">
        <v>101</v>
      </c>
      <c r="C243" s="2"/>
      <c r="D243" s="2"/>
      <c r="E243" s="68">
        <v>920</v>
      </c>
      <c r="G243" s="60" t="s">
        <v>101</v>
      </c>
      <c r="H243" s="2"/>
      <c r="I243" s="2"/>
      <c r="J243" s="68">
        <v>1030</v>
      </c>
      <c r="L243" s="60" t="s">
        <v>101</v>
      </c>
      <c r="M243" s="2"/>
      <c r="N243" s="2"/>
      <c r="O243" s="68">
        <v>1148</v>
      </c>
    </row>
    <row r="244" spans="2:15" x14ac:dyDescent="0.3">
      <c r="B244" s="60" t="s">
        <v>105</v>
      </c>
      <c r="C244" s="2"/>
      <c r="D244" s="2"/>
      <c r="E244" s="69">
        <v>94</v>
      </c>
      <c r="G244" s="60" t="s">
        <v>105</v>
      </c>
      <c r="H244" s="2"/>
      <c r="I244" s="2"/>
      <c r="J244" s="69">
        <v>110</v>
      </c>
      <c r="L244" s="60" t="s">
        <v>105</v>
      </c>
      <c r="M244" s="2"/>
      <c r="N244" s="2"/>
      <c r="O244" s="69">
        <v>104</v>
      </c>
    </row>
    <row r="245" spans="2:15" ht="15" thickBot="1" x14ac:dyDescent="0.35">
      <c r="B245" s="73" t="s">
        <v>97</v>
      </c>
      <c r="C245" s="63"/>
      <c r="D245" s="63"/>
      <c r="E245" s="71">
        <v>546</v>
      </c>
      <c r="G245" s="73" t="s">
        <v>97</v>
      </c>
      <c r="H245" s="63"/>
      <c r="I245" s="63"/>
      <c r="J245" s="71">
        <v>468</v>
      </c>
      <c r="L245" s="73" t="s">
        <v>97</v>
      </c>
      <c r="M245" s="63"/>
      <c r="N245" s="63"/>
      <c r="O245" s="71">
        <v>430</v>
      </c>
    </row>
    <row r="246" spans="2:15" ht="15.6" thickTop="1" thickBot="1" x14ac:dyDescent="0.35">
      <c r="B246" s="61" t="s">
        <v>227</v>
      </c>
      <c r="C246" s="126"/>
      <c r="D246" s="62"/>
      <c r="E246" s="130"/>
      <c r="G246" s="61" t="s">
        <v>227</v>
      </c>
      <c r="H246" s="126"/>
      <c r="I246" s="62"/>
      <c r="J246" s="130"/>
      <c r="L246" s="61" t="s">
        <v>227</v>
      </c>
      <c r="M246" s="126"/>
      <c r="N246" s="62"/>
      <c r="O246" s="130"/>
    </row>
    <row r="247" spans="2:15" ht="15" thickTop="1" x14ac:dyDescent="0.3">
      <c r="B247" s="60" t="s">
        <v>294</v>
      </c>
      <c r="C247" s="118"/>
      <c r="D247" s="2"/>
      <c r="E247" s="70">
        <v>23.5</v>
      </c>
      <c r="G247" s="60" t="s">
        <v>294</v>
      </c>
      <c r="H247" s="118"/>
      <c r="I247" s="2"/>
      <c r="J247" s="70">
        <v>23.5</v>
      </c>
      <c r="L247" s="60" t="s">
        <v>294</v>
      </c>
      <c r="M247" s="118"/>
      <c r="N247" s="2"/>
      <c r="O247" s="70">
        <v>50.2</v>
      </c>
    </row>
    <row r="248" spans="2:15" x14ac:dyDescent="0.3">
      <c r="B248" s="60" t="s">
        <v>353</v>
      </c>
      <c r="C248" s="127"/>
      <c r="D248" s="128"/>
      <c r="E248" s="68">
        <v>400</v>
      </c>
      <c r="G248" s="60" t="s">
        <v>353</v>
      </c>
      <c r="H248" s="127"/>
      <c r="I248" s="128"/>
      <c r="J248" s="68">
        <v>660</v>
      </c>
      <c r="L248" s="60" t="s">
        <v>353</v>
      </c>
      <c r="M248" s="127"/>
      <c r="N248" s="128"/>
      <c r="O248" s="68">
        <v>860</v>
      </c>
    </row>
    <row r="249" spans="2:15" x14ac:dyDescent="0.3">
      <c r="B249" s="60" t="s">
        <v>247</v>
      </c>
      <c r="C249" s="127"/>
      <c r="D249" s="128"/>
      <c r="E249" s="68">
        <v>24</v>
      </c>
      <c r="G249" s="60" t="s">
        <v>247</v>
      </c>
      <c r="H249" s="127"/>
      <c r="I249" s="128"/>
      <c r="J249" s="68">
        <v>24</v>
      </c>
      <c r="L249" s="60" t="s">
        <v>247</v>
      </c>
      <c r="M249" s="127"/>
      <c r="N249" s="128"/>
      <c r="O249" s="68">
        <v>38</v>
      </c>
    </row>
    <row r="250" spans="2:15" x14ac:dyDescent="0.3">
      <c r="B250" s="60" t="s">
        <v>93</v>
      </c>
      <c r="C250" s="2"/>
      <c r="D250" s="2"/>
      <c r="E250" s="67">
        <v>3250</v>
      </c>
      <c r="G250" s="60" t="s">
        <v>93</v>
      </c>
      <c r="H250" s="2"/>
      <c r="I250" s="2"/>
      <c r="J250" s="67">
        <v>3380</v>
      </c>
      <c r="L250" s="60" t="s">
        <v>93</v>
      </c>
      <c r="M250" s="2"/>
      <c r="N250" s="2"/>
      <c r="O250" s="67">
        <v>3510</v>
      </c>
    </row>
    <row r="251" spans="2:15" x14ac:dyDescent="0.3">
      <c r="B251" s="60" t="s">
        <v>99</v>
      </c>
      <c r="C251" s="2"/>
      <c r="D251" s="2"/>
      <c r="E251" s="66">
        <v>250</v>
      </c>
      <c r="G251" s="60" t="s">
        <v>99</v>
      </c>
      <c r="H251" s="2"/>
      <c r="I251" s="2"/>
      <c r="J251" s="66">
        <v>260</v>
      </c>
      <c r="L251" s="60" t="s">
        <v>99</v>
      </c>
      <c r="M251" s="2"/>
      <c r="N251" s="2"/>
      <c r="O251" s="66">
        <v>270</v>
      </c>
    </row>
    <row r="252" spans="2:15" x14ac:dyDescent="0.3">
      <c r="B252" s="60" t="s">
        <v>354</v>
      </c>
      <c r="C252" s="2"/>
      <c r="D252" s="2"/>
      <c r="E252" s="67">
        <v>1065.5</v>
      </c>
      <c r="G252" s="60" t="s">
        <v>354</v>
      </c>
      <c r="H252" s="2"/>
      <c r="I252" s="2"/>
      <c r="J252" s="67">
        <v>837.5</v>
      </c>
      <c r="L252" s="60" t="s">
        <v>354</v>
      </c>
      <c r="M252" s="2"/>
      <c r="N252" s="2"/>
      <c r="O252" s="67">
        <v>730.2</v>
      </c>
    </row>
    <row r="253" spans="2:15" ht="15" thickBot="1" x14ac:dyDescent="0.35">
      <c r="B253" s="60" t="s">
        <v>96</v>
      </c>
      <c r="C253" s="2"/>
      <c r="D253" s="129"/>
      <c r="E253" s="179">
        <v>198.33</v>
      </c>
      <c r="G253" s="60" t="s">
        <v>96</v>
      </c>
      <c r="H253" s="2"/>
      <c r="I253" s="129"/>
      <c r="J253" s="179">
        <v>645.71</v>
      </c>
      <c r="L253" s="60" t="s">
        <v>96</v>
      </c>
      <c r="M253" s="2"/>
      <c r="N253" s="129"/>
      <c r="O253" s="179">
        <v>613.79</v>
      </c>
    </row>
    <row r="254" spans="2:15" ht="15.6" thickTop="1" thickBot="1" x14ac:dyDescent="0.35">
      <c r="B254" s="64" t="s">
        <v>94</v>
      </c>
      <c r="C254" s="65"/>
      <c r="D254" s="131"/>
      <c r="E254" s="132">
        <v>4315.5</v>
      </c>
      <c r="G254" s="64" t="s">
        <v>94</v>
      </c>
      <c r="H254" s="65"/>
      <c r="I254" s="131"/>
      <c r="J254" s="132">
        <v>4217.5</v>
      </c>
      <c r="L254" s="64" t="s">
        <v>94</v>
      </c>
      <c r="M254" s="65"/>
      <c r="N254" s="131"/>
      <c r="O254" s="132">
        <v>4240.2</v>
      </c>
    </row>
    <row r="255" spans="2:15" ht="15.6" thickTop="1" thickBot="1" x14ac:dyDescent="0.35">
      <c r="B255" s="64" t="s">
        <v>98</v>
      </c>
      <c r="C255" s="65"/>
      <c r="D255" s="131"/>
      <c r="E255" s="143">
        <v>4315.4999999999982</v>
      </c>
      <c r="G255" s="64" t="s">
        <v>98</v>
      </c>
      <c r="H255" s="65"/>
      <c r="I255" s="131"/>
      <c r="J255" s="143">
        <v>4217.4999999999991</v>
      </c>
      <c r="L255" s="64" t="s">
        <v>98</v>
      </c>
      <c r="M255" s="65"/>
      <c r="N255" s="131"/>
      <c r="O255" s="143">
        <v>4240.2</v>
      </c>
    </row>
    <row r="256" spans="2:15" ht="15.6" thickTop="1" thickBot="1" x14ac:dyDescent="0.35">
      <c r="E256" s="202"/>
      <c r="J256" s="202"/>
      <c r="O256" s="202"/>
    </row>
    <row r="257" spans="2:15" ht="15.6" thickTop="1" thickBot="1" x14ac:dyDescent="0.35">
      <c r="B257" s="378" t="s">
        <v>92</v>
      </c>
      <c r="C257" s="379"/>
      <c r="D257" s="180" t="s">
        <v>392</v>
      </c>
      <c r="E257" s="75">
        <v>45611</v>
      </c>
      <c r="G257" s="378" t="s">
        <v>92</v>
      </c>
      <c r="H257" s="379"/>
      <c r="I257" s="180" t="s">
        <v>392</v>
      </c>
      <c r="J257" s="75">
        <v>45641</v>
      </c>
      <c r="L257" s="378" t="s">
        <v>92</v>
      </c>
      <c r="M257" s="379"/>
      <c r="N257" s="180" t="s">
        <v>392</v>
      </c>
      <c r="O257" s="75">
        <v>45672</v>
      </c>
    </row>
    <row r="258" spans="2:15" ht="15.6" thickTop="1" thickBot="1" x14ac:dyDescent="0.35">
      <c r="B258" s="380"/>
      <c r="C258" s="381"/>
      <c r="D258" s="180" t="s">
        <v>393</v>
      </c>
      <c r="E258" s="75">
        <v>44788</v>
      </c>
      <c r="G258" s="380"/>
      <c r="H258" s="381"/>
      <c r="I258" s="180" t="s">
        <v>393</v>
      </c>
      <c r="J258" s="75">
        <v>44788</v>
      </c>
      <c r="L258" s="380"/>
      <c r="M258" s="381"/>
      <c r="N258" s="180" t="s">
        <v>393</v>
      </c>
      <c r="O258" s="75">
        <v>44788</v>
      </c>
    </row>
    <row r="259" spans="2:15" ht="15.6" thickTop="1" thickBot="1" x14ac:dyDescent="0.35">
      <c r="B259" s="382"/>
      <c r="C259" s="383"/>
      <c r="D259" s="180" t="s">
        <v>391</v>
      </c>
      <c r="E259" s="75">
        <v>45640</v>
      </c>
      <c r="G259" s="382"/>
      <c r="H259" s="383"/>
      <c r="I259" s="180" t="s">
        <v>391</v>
      </c>
      <c r="J259" s="75">
        <v>45671</v>
      </c>
      <c r="L259" s="382"/>
      <c r="M259" s="383"/>
      <c r="N259" s="180" t="s">
        <v>391</v>
      </c>
      <c r="O259" s="75">
        <v>45702</v>
      </c>
    </row>
    <row r="260" spans="2:15" ht="15.6" thickTop="1" thickBot="1" x14ac:dyDescent="0.35">
      <c r="B260" s="60" t="s">
        <v>91</v>
      </c>
      <c r="C260" s="2"/>
      <c r="D260" s="2"/>
      <c r="E260" s="117">
        <v>3640</v>
      </c>
      <c r="G260" s="60" t="s">
        <v>91</v>
      </c>
      <c r="H260" s="2"/>
      <c r="I260" s="2"/>
      <c r="J260" s="117">
        <v>3770</v>
      </c>
      <c r="L260" s="60" t="s">
        <v>91</v>
      </c>
      <c r="M260" s="2"/>
      <c r="N260" s="2"/>
      <c r="O260" s="117">
        <v>3900</v>
      </c>
    </row>
    <row r="261" spans="2:15" ht="15.6" thickTop="1" thickBot="1" x14ac:dyDescent="0.35">
      <c r="B261" s="61" t="s">
        <v>168</v>
      </c>
      <c r="C261" s="62"/>
      <c r="D261" s="62"/>
      <c r="E261" s="123"/>
      <c r="G261" s="61" t="s">
        <v>168</v>
      </c>
      <c r="H261" s="62"/>
      <c r="I261" s="62"/>
      <c r="J261" s="123"/>
      <c r="L261" s="61" t="s">
        <v>168</v>
      </c>
      <c r="M261" s="62"/>
      <c r="N261" s="62"/>
      <c r="O261" s="123"/>
    </row>
    <row r="262" spans="2:15" ht="15" thickTop="1" x14ac:dyDescent="0.3">
      <c r="B262" s="121" t="s">
        <v>224</v>
      </c>
      <c r="C262" s="2"/>
      <c r="D262" s="2"/>
      <c r="E262" s="116">
        <v>17310</v>
      </c>
      <c r="G262" s="121" t="s">
        <v>224</v>
      </c>
      <c r="H262" s="2"/>
      <c r="I262" s="2"/>
      <c r="J262" s="116">
        <v>18890</v>
      </c>
      <c r="L262" s="121" t="s">
        <v>224</v>
      </c>
      <c r="M262" s="2"/>
      <c r="N262" s="2"/>
      <c r="O262" s="116">
        <v>20440</v>
      </c>
    </row>
    <row r="263" spans="2:15" x14ac:dyDescent="0.3">
      <c r="B263" s="122" t="s">
        <v>225</v>
      </c>
      <c r="C263" s="2"/>
      <c r="D263" s="2"/>
      <c r="E263" s="68">
        <v>460</v>
      </c>
      <c r="G263" s="122" t="s">
        <v>225</v>
      </c>
      <c r="H263" s="2"/>
      <c r="I263" s="2"/>
      <c r="J263" s="68">
        <v>460</v>
      </c>
      <c r="L263" s="122" t="s">
        <v>225</v>
      </c>
      <c r="M263" s="2"/>
      <c r="N263" s="2"/>
      <c r="O263" s="68">
        <v>460</v>
      </c>
    </row>
    <row r="264" spans="2:15" x14ac:dyDescent="0.3">
      <c r="B264" s="60" t="s">
        <v>102</v>
      </c>
      <c r="C264" s="2"/>
      <c r="D264" s="2"/>
      <c r="E264" s="69">
        <v>1700</v>
      </c>
      <c r="G264" s="60" t="s">
        <v>102</v>
      </c>
      <c r="H264" s="2"/>
      <c r="I264" s="2"/>
      <c r="J264" s="69">
        <v>1580</v>
      </c>
      <c r="L264" s="60" t="s">
        <v>102</v>
      </c>
      <c r="M264" s="2"/>
      <c r="N264" s="2"/>
      <c r="O264" s="69">
        <v>1550</v>
      </c>
    </row>
    <row r="265" spans="2:15" x14ac:dyDescent="0.3">
      <c r="B265" s="122" t="s">
        <v>226</v>
      </c>
      <c r="C265" s="2"/>
      <c r="D265" s="2"/>
      <c r="E265" s="124">
        <v>1828</v>
      </c>
      <c r="G265" s="122" t="s">
        <v>226</v>
      </c>
      <c r="H265" s="2"/>
      <c r="I265" s="2"/>
      <c r="J265" s="124">
        <v>2079.6</v>
      </c>
      <c r="L265" s="122" t="s">
        <v>226</v>
      </c>
      <c r="M265" s="2"/>
      <c r="N265" s="2"/>
      <c r="O265" s="124">
        <v>2281.6</v>
      </c>
    </row>
    <row r="266" spans="2:15" ht="15" thickBot="1" x14ac:dyDescent="0.35">
      <c r="B266" s="60" t="s">
        <v>104</v>
      </c>
      <c r="C266" s="2"/>
      <c r="D266" s="2"/>
      <c r="E266" s="69">
        <v>250</v>
      </c>
      <c r="G266" s="60" t="s">
        <v>104</v>
      </c>
      <c r="H266" s="2"/>
      <c r="I266" s="2"/>
      <c r="J266" s="69">
        <v>251.6</v>
      </c>
      <c r="L266" s="60" t="s">
        <v>104</v>
      </c>
      <c r="M266" s="2"/>
      <c r="N266" s="2"/>
      <c r="O266" s="69">
        <v>202</v>
      </c>
    </row>
    <row r="267" spans="2:15" ht="15.6" thickTop="1" thickBot="1" x14ac:dyDescent="0.35">
      <c r="B267" s="125" t="s">
        <v>39</v>
      </c>
      <c r="C267" s="62"/>
      <c r="D267" s="62"/>
      <c r="E267" s="123"/>
      <c r="G267" s="125" t="s">
        <v>39</v>
      </c>
      <c r="H267" s="62"/>
      <c r="I267" s="62"/>
      <c r="J267" s="123"/>
      <c r="L267" s="125" t="s">
        <v>39</v>
      </c>
      <c r="M267" s="62"/>
      <c r="N267" s="62"/>
      <c r="O267" s="123"/>
    </row>
    <row r="268" spans="2:15" ht="15" thickTop="1" x14ac:dyDescent="0.3">
      <c r="B268" s="60" t="s">
        <v>100</v>
      </c>
      <c r="C268" s="2"/>
      <c r="D268" s="2"/>
      <c r="E268" s="68">
        <v>13376.68</v>
      </c>
      <c r="G268" s="60" t="s">
        <v>100</v>
      </c>
      <c r="H268" s="2"/>
      <c r="I268" s="2"/>
      <c r="J268" s="68">
        <v>14575.02</v>
      </c>
      <c r="L268" s="60" t="s">
        <v>100</v>
      </c>
      <c r="M268" s="2"/>
      <c r="N268" s="2"/>
      <c r="O268" s="68">
        <v>15978.359999999999</v>
      </c>
    </row>
    <row r="269" spans="2:15" x14ac:dyDescent="0.3">
      <c r="B269" s="60" t="s">
        <v>103</v>
      </c>
      <c r="C269" s="2"/>
      <c r="D269" s="2"/>
      <c r="E269" s="69">
        <v>984.18000000000018</v>
      </c>
      <c r="G269" s="60" t="s">
        <v>103</v>
      </c>
      <c r="H269" s="2"/>
      <c r="I269" s="2"/>
      <c r="J269" s="69">
        <v>1025.0400000000002</v>
      </c>
      <c r="L269" s="60" t="s">
        <v>103</v>
      </c>
      <c r="M269" s="2"/>
      <c r="N269" s="2"/>
      <c r="O269" s="69">
        <v>1016.24</v>
      </c>
    </row>
    <row r="270" spans="2:15" ht="15" thickBot="1" x14ac:dyDescent="0.35">
      <c r="B270" s="73" t="s">
        <v>95</v>
      </c>
      <c r="C270" s="72"/>
      <c r="D270" s="63"/>
      <c r="E270" s="71">
        <v>3933.3199999999997</v>
      </c>
      <c r="G270" s="73" t="s">
        <v>95</v>
      </c>
      <c r="H270" s="72"/>
      <c r="I270" s="63"/>
      <c r="J270" s="71">
        <v>4314.9799999999996</v>
      </c>
      <c r="L270" s="73" t="s">
        <v>95</v>
      </c>
      <c r="M270" s="72"/>
      <c r="N270" s="63"/>
      <c r="O270" s="71">
        <v>4461.6400000000012</v>
      </c>
    </row>
    <row r="271" spans="2:15" ht="15" thickTop="1" x14ac:dyDescent="0.3">
      <c r="B271" s="60" t="s">
        <v>101</v>
      </c>
      <c r="C271" s="2"/>
      <c r="D271" s="2"/>
      <c r="E271" s="68">
        <v>1270</v>
      </c>
      <c r="G271" s="60" t="s">
        <v>101</v>
      </c>
      <c r="H271" s="2"/>
      <c r="I271" s="2"/>
      <c r="J271" s="68">
        <v>1410</v>
      </c>
      <c r="L271" s="60" t="s">
        <v>101</v>
      </c>
      <c r="M271" s="2"/>
      <c r="N271" s="2"/>
      <c r="O271" s="68">
        <v>1577.6</v>
      </c>
    </row>
    <row r="272" spans="2:15" x14ac:dyDescent="0.3">
      <c r="B272" s="60" t="s">
        <v>105</v>
      </c>
      <c r="C272" s="2"/>
      <c r="D272" s="2"/>
      <c r="E272" s="69">
        <v>110</v>
      </c>
      <c r="G272" s="60" t="s">
        <v>105</v>
      </c>
      <c r="H272" s="2"/>
      <c r="I272" s="2"/>
      <c r="J272" s="69">
        <v>122</v>
      </c>
      <c r="L272" s="60" t="s">
        <v>105</v>
      </c>
      <c r="M272" s="2"/>
      <c r="N272" s="2"/>
      <c r="O272" s="69">
        <v>129.6</v>
      </c>
    </row>
    <row r="273" spans="2:15" ht="15" thickBot="1" x14ac:dyDescent="0.35">
      <c r="B273" s="73" t="s">
        <v>97</v>
      </c>
      <c r="C273" s="63"/>
      <c r="D273" s="63"/>
      <c r="E273" s="71">
        <v>558</v>
      </c>
      <c r="G273" s="73" t="s">
        <v>97</v>
      </c>
      <c r="H273" s="63"/>
      <c r="I273" s="63"/>
      <c r="J273" s="71">
        <v>669.59999999999991</v>
      </c>
      <c r="L273" s="73" t="s">
        <v>97</v>
      </c>
      <c r="M273" s="63"/>
      <c r="N273" s="63"/>
      <c r="O273" s="71">
        <v>704</v>
      </c>
    </row>
    <row r="274" spans="2:15" ht="15.6" thickTop="1" thickBot="1" x14ac:dyDescent="0.35">
      <c r="B274" s="61" t="s">
        <v>227</v>
      </c>
      <c r="C274" s="126"/>
      <c r="D274" s="62"/>
      <c r="E274" s="130"/>
      <c r="G274" s="61" t="s">
        <v>227</v>
      </c>
      <c r="H274" s="126"/>
      <c r="I274" s="62"/>
      <c r="J274" s="130"/>
      <c r="L274" s="61" t="s">
        <v>227</v>
      </c>
      <c r="M274" s="126"/>
      <c r="N274" s="62"/>
      <c r="O274" s="130"/>
    </row>
    <row r="275" spans="2:15" ht="15" thickTop="1" x14ac:dyDescent="0.3">
      <c r="B275" s="60" t="s">
        <v>294</v>
      </c>
      <c r="C275" s="118"/>
      <c r="D275" s="2"/>
      <c r="E275" s="70">
        <v>156.99999999999997</v>
      </c>
      <c r="G275" s="60" t="s">
        <v>294</v>
      </c>
      <c r="H275" s="118"/>
      <c r="I275" s="2"/>
      <c r="J275" s="70">
        <v>183.69999999999996</v>
      </c>
      <c r="L275" s="60" t="s">
        <v>294</v>
      </c>
      <c r="M275" s="118"/>
      <c r="N275" s="2"/>
      <c r="O275" s="70">
        <v>183.69999999999996</v>
      </c>
    </row>
    <row r="276" spans="2:15" x14ac:dyDescent="0.3">
      <c r="B276" s="60" t="s">
        <v>353</v>
      </c>
      <c r="C276" s="127"/>
      <c r="D276" s="128"/>
      <c r="E276" s="68">
        <v>860</v>
      </c>
      <c r="G276" s="60" t="s">
        <v>353</v>
      </c>
      <c r="H276" s="127"/>
      <c r="I276" s="128"/>
      <c r="J276" s="68">
        <v>860</v>
      </c>
      <c r="L276" s="60" t="s">
        <v>353</v>
      </c>
      <c r="M276" s="127"/>
      <c r="N276" s="128"/>
      <c r="O276" s="68">
        <v>860</v>
      </c>
    </row>
    <row r="277" spans="2:15" x14ac:dyDescent="0.3">
      <c r="B277" s="60" t="s">
        <v>247</v>
      </c>
      <c r="C277" s="127"/>
      <c r="D277" s="128"/>
      <c r="E277" s="68">
        <v>50</v>
      </c>
      <c r="G277" s="60" t="s">
        <v>247</v>
      </c>
      <c r="H277" s="127"/>
      <c r="I277" s="128"/>
      <c r="J277" s="68">
        <v>68</v>
      </c>
      <c r="L277" s="60" t="s">
        <v>247</v>
      </c>
      <c r="M277" s="127"/>
      <c r="N277" s="128"/>
      <c r="O277" s="68">
        <v>106</v>
      </c>
    </row>
    <row r="278" spans="2:15" x14ac:dyDescent="0.3">
      <c r="B278" s="60" t="s">
        <v>93</v>
      </c>
      <c r="C278" s="2"/>
      <c r="D278" s="2"/>
      <c r="E278" s="67">
        <v>3640</v>
      </c>
      <c r="G278" s="60" t="s">
        <v>93</v>
      </c>
      <c r="H278" s="2"/>
      <c r="I278" s="2"/>
      <c r="J278" s="67">
        <v>3770</v>
      </c>
      <c r="L278" s="60" t="s">
        <v>93</v>
      </c>
      <c r="M278" s="2"/>
      <c r="N278" s="2"/>
      <c r="O278" s="67">
        <v>3900</v>
      </c>
    </row>
    <row r="279" spans="2:15" x14ac:dyDescent="0.3">
      <c r="B279" s="60" t="s">
        <v>99</v>
      </c>
      <c r="C279" s="2"/>
      <c r="D279" s="2"/>
      <c r="E279" s="66">
        <v>280</v>
      </c>
      <c r="G279" s="60" t="s">
        <v>99</v>
      </c>
      <c r="H279" s="2"/>
      <c r="I279" s="2"/>
      <c r="J279" s="66">
        <v>290</v>
      </c>
      <c r="L279" s="60" t="s">
        <v>99</v>
      </c>
      <c r="M279" s="2"/>
      <c r="N279" s="2"/>
      <c r="O279" s="66">
        <v>300</v>
      </c>
    </row>
    <row r="280" spans="2:15" x14ac:dyDescent="0.3">
      <c r="B280" s="60" t="s">
        <v>354</v>
      </c>
      <c r="C280" s="2"/>
      <c r="D280" s="2"/>
      <c r="E280" s="67">
        <v>1075</v>
      </c>
      <c r="G280" s="60" t="s">
        <v>354</v>
      </c>
      <c r="H280" s="2"/>
      <c r="I280" s="2"/>
      <c r="J280" s="67">
        <v>1335.3</v>
      </c>
      <c r="L280" s="60" t="s">
        <v>354</v>
      </c>
      <c r="M280" s="2"/>
      <c r="N280" s="2"/>
      <c r="O280" s="67">
        <v>1499.3</v>
      </c>
    </row>
    <row r="281" spans="2:15" ht="15" thickBot="1" x14ac:dyDescent="0.35">
      <c r="B281" s="60" t="s">
        <v>96</v>
      </c>
      <c r="C281" s="2"/>
      <c r="D281" s="129"/>
      <c r="E281" s="179">
        <v>223.68</v>
      </c>
      <c r="G281" s="60" t="s">
        <v>96</v>
      </c>
      <c r="H281" s="2"/>
      <c r="I281" s="129"/>
      <c r="J281" s="179">
        <v>120.72</v>
      </c>
      <c r="L281" s="60" t="s">
        <v>96</v>
      </c>
      <c r="M281" s="2"/>
      <c r="N281" s="129"/>
      <c r="O281" s="179">
        <v>233.66</v>
      </c>
    </row>
    <row r="282" spans="2:15" ht="15.6" thickTop="1" thickBot="1" x14ac:dyDescent="0.35">
      <c r="B282" s="64" t="s">
        <v>94</v>
      </c>
      <c r="C282" s="65"/>
      <c r="D282" s="131"/>
      <c r="E282" s="132">
        <v>4715</v>
      </c>
      <c r="G282" s="64" t="s">
        <v>94</v>
      </c>
      <c r="H282" s="65"/>
      <c r="I282" s="131"/>
      <c r="J282" s="132">
        <v>5105.3</v>
      </c>
      <c r="L282" s="64" t="s">
        <v>94</v>
      </c>
      <c r="M282" s="65"/>
      <c r="N282" s="131"/>
      <c r="O282" s="132">
        <v>5399.3</v>
      </c>
    </row>
    <row r="283" spans="2:15" ht="15.6" thickTop="1" thickBot="1" x14ac:dyDescent="0.35">
      <c r="B283" s="64" t="s">
        <v>98</v>
      </c>
      <c r="C283" s="65"/>
      <c r="D283" s="131"/>
      <c r="E283" s="143">
        <v>4715</v>
      </c>
      <c r="G283" s="64" t="s">
        <v>98</v>
      </c>
      <c r="H283" s="65"/>
      <c r="I283" s="131"/>
      <c r="J283" s="143">
        <v>5105.3</v>
      </c>
      <c r="L283" s="64" t="s">
        <v>98</v>
      </c>
      <c r="M283" s="65"/>
      <c r="N283" s="131"/>
      <c r="O283" s="143">
        <v>5399.3000000000011</v>
      </c>
    </row>
    <row r="284" spans="2:15" ht="15.6" thickTop="1" thickBot="1" x14ac:dyDescent="0.35">
      <c r="E284" s="202"/>
      <c r="J284" s="202"/>
      <c r="O284" s="202"/>
    </row>
    <row r="285" spans="2:15" ht="15.6" thickTop="1" thickBot="1" x14ac:dyDescent="0.35">
      <c r="B285" s="378" t="s">
        <v>92</v>
      </c>
      <c r="C285" s="379"/>
      <c r="D285" s="180" t="s">
        <v>392</v>
      </c>
      <c r="E285" s="75">
        <v>45703</v>
      </c>
      <c r="G285" s="378" t="s">
        <v>92</v>
      </c>
      <c r="H285" s="379"/>
      <c r="I285" s="180" t="s">
        <v>392</v>
      </c>
      <c r="J285" s="75">
        <v>45731</v>
      </c>
      <c r="L285" s="378" t="s">
        <v>92</v>
      </c>
      <c r="M285" s="379"/>
      <c r="N285" s="180" t="s">
        <v>392</v>
      </c>
      <c r="O285" s="75">
        <v>45762</v>
      </c>
    </row>
    <row r="286" spans="2:15" ht="15.6" thickTop="1" thickBot="1" x14ac:dyDescent="0.35">
      <c r="B286" s="380"/>
      <c r="C286" s="381"/>
      <c r="D286" s="180" t="s">
        <v>393</v>
      </c>
      <c r="E286" s="75">
        <v>44788</v>
      </c>
      <c r="G286" s="380"/>
      <c r="H286" s="381"/>
      <c r="I286" s="180" t="s">
        <v>393</v>
      </c>
      <c r="J286" s="75">
        <v>44788</v>
      </c>
      <c r="L286" s="380"/>
      <c r="M286" s="381"/>
      <c r="N286" s="180" t="s">
        <v>393</v>
      </c>
      <c r="O286" s="75">
        <v>44788</v>
      </c>
    </row>
    <row r="287" spans="2:15" ht="15.6" thickTop="1" thickBot="1" x14ac:dyDescent="0.35">
      <c r="B287" s="382"/>
      <c r="C287" s="383"/>
      <c r="D287" s="180" t="s">
        <v>391</v>
      </c>
      <c r="E287" s="75">
        <v>45730</v>
      </c>
      <c r="G287" s="382"/>
      <c r="H287" s="383"/>
      <c r="I287" s="180" t="s">
        <v>391</v>
      </c>
      <c r="J287" s="75">
        <v>45761</v>
      </c>
      <c r="L287" s="382"/>
      <c r="M287" s="383"/>
      <c r="N287" s="180" t="s">
        <v>391</v>
      </c>
      <c r="O287" s="75">
        <v>45791</v>
      </c>
    </row>
    <row r="288" spans="2:15" ht="15.6" thickTop="1" thickBot="1" x14ac:dyDescent="0.35">
      <c r="B288" s="60" t="s">
        <v>91</v>
      </c>
      <c r="C288" s="2"/>
      <c r="D288" s="2"/>
      <c r="E288" s="117">
        <v>4030</v>
      </c>
      <c r="G288" s="60" t="s">
        <v>91</v>
      </c>
      <c r="H288" s="2"/>
      <c r="I288" s="2"/>
      <c r="J288" s="117">
        <v>4160</v>
      </c>
      <c r="L288" s="60" t="s">
        <v>91</v>
      </c>
      <c r="M288" s="2"/>
      <c r="N288" s="2"/>
      <c r="O288" s="117">
        <v>4810</v>
      </c>
    </row>
    <row r="289" spans="2:15" ht="15.6" thickTop="1" thickBot="1" x14ac:dyDescent="0.35">
      <c r="B289" s="61" t="s">
        <v>168</v>
      </c>
      <c r="C289" s="62"/>
      <c r="D289" s="62"/>
      <c r="E289" s="123"/>
      <c r="G289" s="61" t="s">
        <v>168</v>
      </c>
      <c r="H289" s="62"/>
      <c r="I289" s="62"/>
      <c r="J289" s="123"/>
      <c r="L289" s="61" t="s">
        <v>168</v>
      </c>
      <c r="M289" s="62"/>
      <c r="N289" s="62"/>
      <c r="O289" s="123"/>
    </row>
    <row r="290" spans="2:15" ht="15" thickTop="1" x14ac:dyDescent="0.3">
      <c r="B290" s="121" t="s">
        <v>224</v>
      </c>
      <c r="C290" s="2"/>
      <c r="D290" s="2"/>
      <c r="E290" s="116">
        <v>21640</v>
      </c>
      <c r="G290" s="121" t="s">
        <v>224</v>
      </c>
      <c r="H290" s="2"/>
      <c r="I290" s="2"/>
      <c r="J290" s="116">
        <v>23540</v>
      </c>
      <c r="L290" s="121" t="s">
        <v>224</v>
      </c>
      <c r="M290" s="2"/>
      <c r="N290" s="2"/>
      <c r="O290" s="116">
        <v>24840</v>
      </c>
    </row>
    <row r="291" spans="2:15" x14ac:dyDescent="0.3">
      <c r="B291" s="122" t="s">
        <v>225</v>
      </c>
      <c r="C291" s="2"/>
      <c r="D291" s="2"/>
      <c r="E291" s="68">
        <v>460</v>
      </c>
      <c r="G291" s="122" t="s">
        <v>225</v>
      </c>
      <c r="H291" s="2"/>
      <c r="I291" s="2"/>
      <c r="J291" s="68">
        <v>460</v>
      </c>
      <c r="L291" s="122" t="s">
        <v>225</v>
      </c>
      <c r="M291" s="2"/>
      <c r="N291" s="2"/>
      <c r="O291" s="68">
        <v>460</v>
      </c>
    </row>
    <row r="292" spans="2:15" x14ac:dyDescent="0.3">
      <c r="B292" s="60" t="s">
        <v>102</v>
      </c>
      <c r="C292" s="2"/>
      <c r="D292" s="2"/>
      <c r="E292" s="69">
        <v>1200</v>
      </c>
      <c r="G292" s="60" t="s">
        <v>102</v>
      </c>
      <c r="H292" s="2"/>
      <c r="I292" s="2"/>
      <c r="J292" s="69">
        <v>1900</v>
      </c>
      <c r="L292" s="60" t="s">
        <v>102</v>
      </c>
      <c r="M292" s="2"/>
      <c r="N292" s="2"/>
      <c r="O292" s="69">
        <v>1300</v>
      </c>
    </row>
    <row r="293" spans="2:15" x14ac:dyDescent="0.3">
      <c r="B293" s="122" t="s">
        <v>226</v>
      </c>
      <c r="C293" s="2"/>
      <c r="D293" s="2"/>
      <c r="E293" s="124">
        <v>2357.6</v>
      </c>
      <c r="G293" s="122" t="s">
        <v>226</v>
      </c>
      <c r="H293" s="2"/>
      <c r="I293" s="2"/>
      <c r="J293" s="124">
        <v>2423.6</v>
      </c>
      <c r="L293" s="122" t="s">
        <v>226</v>
      </c>
      <c r="M293" s="2"/>
      <c r="N293" s="2"/>
      <c r="O293" s="124">
        <v>2529.6</v>
      </c>
    </row>
    <row r="294" spans="2:15" ht="15" thickBot="1" x14ac:dyDescent="0.35">
      <c r="B294" s="60" t="s">
        <v>104</v>
      </c>
      <c r="C294" s="2"/>
      <c r="D294" s="2"/>
      <c r="E294" s="69">
        <v>76</v>
      </c>
      <c r="G294" s="60" t="s">
        <v>104</v>
      </c>
      <c r="H294" s="2"/>
      <c r="I294" s="2"/>
      <c r="J294" s="69">
        <v>66</v>
      </c>
      <c r="L294" s="60" t="s">
        <v>104</v>
      </c>
      <c r="M294" s="2"/>
      <c r="N294" s="2"/>
      <c r="O294" s="69">
        <v>106</v>
      </c>
    </row>
    <row r="295" spans="2:15" ht="15.6" thickTop="1" thickBot="1" x14ac:dyDescent="0.35">
      <c r="B295" s="125" t="s">
        <v>39</v>
      </c>
      <c r="C295" s="62"/>
      <c r="D295" s="62"/>
      <c r="E295" s="123"/>
      <c r="G295" s="125" t="s">
        <v>39</v>
      </c>
      <c r="H295" s="62"/>
      <c r="I295" s="62"/>
      <c r="J295" s="123"/>
      <c r="L295" s="125" t="s">
        <v>39</v>
      </c>
      <c r="M295" s="62"/>
      <c r="N295" s="62"/>
      <c r="O295" s="123"/>
    </row>
    <row r="296" spans="2:15" ht="15" thickTop="1" x14ac:dyDescent="0.3">
      <c r="B296" s="60" t="s">
        <v>100</v>
      </c>
      <c r="C296" s="2"/>
      <c r="D296" s="2"/>
      <c r="E296" s="68">
        <v>17026.7</v>
      </c>
      <c r="G296" s="60" t="s">
        <v>100</v>
      </c>
      <c r="H296" s="2"/>
      <c r="I296" s="2"/>
      <c r="J296" s="68">
        <v>18333.37</v>
      </c>
      <c r="L296" s="60" t="s">
        <v>100</v>
      </c>
      <c r="M296" s="2"/>
      <c r="N296" s="2"/>
      <c r="O296" s="68">
        <v>20415.04</v>
      </c>
    </row>
    <row r="297" spans="2:15" x14ac:dyDescent="0.3">
      <c r="B297" s="60" t="s">
        <v>103</v>
      </c>
      <c r="C297" s="2"/>
      <c r="D297" s="2"/>
      <c r="E297" s="69">
        <v>1048.3400000000001</v>
      </c>
      <c r="G297" s="60" t="s">
        <v>103</v>
      </c>
      <c r="H297" s="2"/>
      <c r="I297" s="2"/>
      <c r="J297" s="69">
        <v>1306.67</v>
      </c>
      <c r="L297" s="60" t="s">
        <v>103</v>
      </c>
      <c r="M297" s="2"/>
      <c r="N297" s="2"/>
      <c r="O297" s="69">
        <v>1941.67</v>
      </c>
    </row>
    <row r="298" spans="2:15" ht="15" thickBot="1" x14ac:dyDescent="0.35">
      <c r="B298" s="73" t="s">
        <v>95</v>
      </c>
      <c r="C298" s="72"/>
      <c r="D298" s="63"/>
      <c r="E298" s="71">
        <v>4613.2999999999993</v>
      </c>
      <c r="G298" s="73" t="s">
        <v>95</v>
      </c>
      <c r="H298" s="72"/>
      <c r="I298" s="63"/>
      <c r="J298" s="71">
        <v>5206.630000000001</v>
      </c>
      <c r="L298" s="73" t="s">
        <v>95</v>
      </c>
      <c r="M298" s="72"/>
      <c r="N298" s="63"/>
      <c r="O298" s="71">
        <v>4424.9599999999991</v>
      </c>
    </row>
    <row r="299" spans="2:15" ht="15" thickTop="1" x14ac:dyDescent="0.3">
      <c r="B299" s="60" t="s">
        <v>101</v>
      </c>
      <c r="C299" s="2"/>
      <c r="D299" s="2"/>
      <c r="E299" s="68">
        <v>1710.6</v>
      </c>
      <c r="G299" s="60" t="s">
        <v>101</v>
      </c>
      <c r="H299" s="2"/>
      <c r="I299" s="2"/>
      <c r="J299" s="68">
        <v>1841.6</v>
      </c>
      <c r="L299" s="60" t="s">
        <v>101</v>
      </c>
      <c r="M299" s="2"/>
      <c r="N299" s="2"/>
      <c r="O299" s="68">
        <v>1979.6</v>
      </c>
    </row>
    <row r="300" spans="2:15" x14ac:dyDescent="0.3">
      <c r="B300" s="60" t="s">
        <v>105</v>
      </c>
      <c r="C300" s="2"/>
      <c r="D300" s="2"/>
      <c r="E300" s="69">
        <v>134</v>
      </c>
      <c r="G300" s="60" t="s">
        <v>105</v>
      </c>
      <c r="H300" s="2"/>
      <c r="I300" s="2"/>
      <c r="J300" s="69">
        <v>131</v>
      </c>
      <c r="L300" s="60" t="s">
        <v>105</v>
      </c>
      <c r="M300" s="2"/>
      <c r="N300" s="2"/>
      <c r="O300" s="69">
        <v>128</v>
      </c>
    </row>
    <row r="301" spans="2:15" ht="15" thickBot="1" x14ac:dyDescent="0.35">
      <c r="B301" s="73" t="s">
        <v>97</v>
      </c>
      <c r="C301" s="63"/>
      <c r="D301" s="63"/>
      <c r="E301" s="71">
        <v>647</v>
      </c>
      <c r="G301" s="73" t="s">
        <v>97</v>
      </c>
      <c r="H301" s="63"/>
      <c r="I301" s="63"/>
      <c r="J301" s="71">
        <v>582</v>
      </c>
      <c r="L301" s="73" t="s">
        <v>97</v>
      </c>
      <c r="M301" s="63"/>
      <c r="N301" s="63"/>
      <c r="O301" s="71">
        <v>550</v>
      </c>
    </row>
    <row r="302" spans="2:15" ht="15.6" thickTop="1" thickBot="1" x14ac:dyDescent="0.35">
      <c r="B302" s="61" t="s">
        <v>227</v>
      </c>
      <c r="C302" s="126"/>
      <c r="D302" s="62"/>
      <c r="E302" s="130"/>
      <c r="G302" s="61" t="s">
        <v>227</v>
      </c>
      <c r="H302" s="126"/>
      <c r="I302" s="62"/>
      <c r="J302" s="130"/>
      <c r="L302" s="61" t="s">
        <v>227</v>
      </c>
      <c r="M302" s="126"/>
      <c r="N302" s="62"/>
      <c r="O302" s="130"/>
    </row>
    <row r="303" spans="2:15" ht="15" thickTop="1" x14ac:dyDescent="0.3">
      <c r="B303" s="60" t="s">
        <v>294</v>
      </c>
      <c r="C303" s="118"/>
      <c r="D303" s="2"/>
      <c r="E303" s="70">
        <v>184.69999999999996</v>
      </c>
      <c r="G303" s="60" t="s">
        <v>294</v>
      </c>
      <c r="H303" s="118"/>
      <c r="I303" s="2"/>
      <c r="J303" s="70">
        <v>184.69999999999996</v>
      </c>
      <c r="L303" s="60" t="s">
        <v>294</v>
      </c>
      <c r="M303" s="118"/>
      <c r="N303" s="2"/>
      <c r="O303" s="70">
        <v>184.69999999999996</v>
      </c>
    </row>
    <row r="304" spans="2:15" x14ac:dyDescent="0.3">
      <c r="B304" s="60" t="s">
        <v>353</v>
      </c>
      <c r="C304" s="127"/>
      <c r="D304" s="128"/>
      <c r="E304" s="68">
        <v>860</v>
      </c>
      <c r="G304" s="60" t="s">
        <v>353</v>
      </c>
      <c r="H304" s="127"/>
      <c r="I304" s="128"/>
      <c r="J304" s="68">
        <v>860</v>
      </c>
      <c r="L304" s="60" t="s">
        <v>353</v>
      </c>
      <c r="M304" s="127"/>
      <c r="N304" s="128"/>
      <c r="O304" s="68">
        <v>860</v>
      </c>
    </row>
    <row r="305" spans="2:15" x14ac:dyDescent="0.3">
      <c r="B305" s="60" t="s">
        <v>247</v>
      </c>
      <c r="C305" s="127"/>
      <c r="D305" s="128"/>
      <c r="E305" s="68">
        <v>106</v>
      </c>
      <c r="G305" s="60" t="s">
        <v>247</v>
      </c>
      <c r="H305" s="127"/>
      <c r="I305" s="128"/>
      <c r="J305" s="68">
        <v>106</v>
      </c>
      <c r="L305" s="60" t="s">
        <v>247</v>
      </c>
      <c r="M305" s="127"/>
      <c r="N305" s="128"/>
      <c r="O305" s="68">
        <v>116</v>
      </c>
    </row>
    <row r="306" spans="2:15" x14ac:dyDescent="0.3">
      <c r="B306" s="60" t="s">
        <v>93</v>
      </c>
      <c r="C306" s="2"/>
      <c r="D306" s="2"/>
      <c r="E306" s="67">
        <v>4030</v>
      </c>
      <c r="G306" s="60" t="s">
        <v>93</v>
      </c>
      <c r="H306" s="2"/>
      <c r="I306" s="2"/>
      <c r="J306" s="67">
        <v>4160</v>
      </c>
      <c r="L306" s="60" t="s">
        <v>93</v>
      </c>
      <c r="M306" s="2"/>
      <c r="N306" s="2"/>
      <c r="O306" s="67">
        <v>4810</v>
      </c>
    </row>
    <row r="307" spans="2:15" x14ac:dyDescent="0.3">
      <c r="B307" s="60" t="s">
        <v>99</v>
      </c>
      <c r="C307" s="2"/>
      <c r="D307" s="2"/>
      <c r="E307" s="66">
        <v>310</v>
      </c>
      <c r="G307" s="60" t="s">
        <v>99</v>
      </c>
      <c r="H307" s="2"/>
      <c r="I307" s="2"/>
      <c r="J307" s="66">
        <v>320</v>
      </c>
      <c r="L307" s="60" t="s">
        <v>99</v>
      </c>
      <c r="M307" s="2"/>
      <c r="N307" s="2"/>
      <c r="O307" s="66">
        <v>300.625</v>
      </c>
    </row>
    <row r="308" spans="2:15" x14ac:dyDescent="0.3">
      <c r="B308" s="60" t="s">
        <v>354</v>
      </c>
      <c r="C308" s="2"/>
      <c r="D308" s="2"/>
      <c r="E308" s="67">
        <v>1576.3</v>
      </c>
      <c r="G308" s="60" t="s">
        <v>354</v>
      </c>
      <c r="H308" s="2"/>
      <c r="I308" s="2"/>
      <c r="J308" s="67">
        <v>1642.3</v>
      </c>
      <c r="L308" s="60" t="s">
        <v>354</v>
      </c>
      <c r="M308" s="2"/>
      <c r="N308" s="2"/>
      <c r="O308" s="67">
        <v>1738.3</v>
      </c>
    </row>
    <row r="309" spans="2:15" ht="15" thickBot="1" x14ac:dyDescent="0.35">
      <c r="B309" s="60" t="s">
        <v>96</v>
      </c>
      <c r="C309" s="2"/>
      <c r="D309" s="129"/>
      <c r="E309" s="179">
        <v>346</v>
      </c>
      <c r="G309" s="60" t="s">
        <v>96</v>
      </c>
      <c r="H309" s="2"/>
      <c r="I309" s="129"/>
      <c r="J309" s="179">
        <v>13.67</v>
      </c>
      <c r="L309" s="60" t="s">
        <v>96</v>
      </c>
      <c r="M309" s="2"/>
      <c r="N309" s="129"/>
      <c r="O309" s="179">
        <v>1573.34</v>
      </c>
    </row>
    <row r="310" spans="2:15" ht="15.6" thickTop="1" thickBot="1" x14ac:dyDescent="0.35">
      <c r="B310" s="64" t="s">
        <v>94</v>
      </c>
      <c r="C310" s="65"/>
      <c r="D310" s="131"/>
      <c r="E310" s="132">
        <v>5606.3</v>
      </c>
      <c r="G310" s="64" t="s">
        <v>94</v>
      </c>
      <c r="H310" s="65"/>
      <c r="I310" s="131"/>
      <c r="J310" s="132">
        <v>5802.3</v>
      </c>
      <c r="L310" s="64" t="s">
        <v>94</v>
      </c>
      <c r="M310" s="65"/>
      <c r="N310" s="131"/>
      <c r="O310" s="132">
        <v>6548.3</v>
      </c>
    </row>
    <row r="311" spans="2:15" ht="15.6" thickTop="1" thickBot="1" x14ac:dyDescent="0.35">
      <c r="B311" s="64" t="s">
        <v>98</v>
      </c>
      <c r="C311" s="65"/>
      <c r="D311" s="131"/>
      <c r="E311" s="143">
        <v>5606.2999999999993</v>
      </c>
      <c r="G311" s="64" t="s">
        <v>98</v>
      </c>
      <c r="H311" s="65"/>
      <c r="I311" s="131"/>
      <c r="J311" s="143">
        <v>5802.3000000000011</v>
      </c>
      <c r="L311" s="64" t="s">
        <v>98</v>
      </c>
      <c r="M311" s="65"/>
      <c r="N311" s="131"/>
      <c r="O311" s="143">
        <v>6548.2999999999993</v>
      </c>
    </row>
    <row r="312" spans="2:15" ht="15.6" thickTop="1" thickBot="1" x14ac:dyDescent="0.35">
      <c r="E312" s="202"/>
      <c r="J312" s="202"/>
      <c r="O312" s="202"/>
    </row>
    <row r="313" spans="2:15" ht="15.6" thickTop="1" thickBot="1" x14ac:dyDescent="0.35">
      <c r="B313" s="378" t="s">
        <v>92</v>
      </c>
      <c r="C313" s="379"/>
      <c r="D313" s="180" t="s">
        <v>392</v>
      </c>
      <c r="E313" s="75">
        <v>45792</v>
      </c>
      <c r="G313" s="378" t="s">
        <v>92</v>
      </c>
      <c r="H313" s="379"/>
      <c r="I313" s="180" t="s">
        <v>392</v>
      </c>
      <c r="J313" s="75">
        <v>45823</v>
      </c>
      <c r="L313" s="378" t="s">
        <v>92</v>
      </c>
      <c r="M313" s="379"/>
      <c r="N313" s="180" t="s">
        <v>392</v>
      </c>
      <c r="O313" s="75">
        <v>45853</v>
      </c>
    </row>
    <row r="314" spans="2:15" ht="15.6" thickTop="1" thickBot="1" x14ac:dyDescent="0.35">
      <c r="B314" s="380"/>
      <c r="C314" s="381"/>
      <c r="D314" s="180" t="s">
        <v>393</v>
      </c>
      <c r="E314" s="75">
        <v>44788</v>
      </c>
      <c r="G314" s="380"/>
      <c r="H314" s="381"/>
      <c r="I314" s="180" t="s">
        <v>393</v>
      </c>
      <c r="J314" s="75">
        <v>44788</v>
      </c>
      <c r="L314" s="380"/>
      <c r="M314" s="381"/>
      <c r="N314" s="180" t="s">
        <v>393</v>
      </c>
      <c r="O314" s="75">
        <v>44788</v>
      </c>
    </row>
    <row r="315" spans="2:15" ht="15.6" thickTop="1" thickBot="1" x14ac:dyDescent="0.35">
      <c r="B315" s="382"/>
      <c r="C315" s="383"/>
      <c r="D315" s="180" t="s">
        <v>391</v>
      </c>
      <c r="E315" s="75">
        <v>45822</v>
      </c>
      <c r="G315" s="382"/>
      <c r="H315" s="383"/>
      <c r="I315" s="180" t="s">
        <v>391</v>
      </c>
      <c r="J315" s="75">
        <v>45852</v>
      </c>
      <c r="L315" s="382"/>
      <c r="M315" s="383"/>
      <c r="N315" s="180" t="s">
        <v>391</v>
      </c>
      <c r="O315" s="75">
        <v>45883</v>
      </c>
    </row>
    <row r="316" spans="2:15" ht="15.6" thickTop="1" thickBot="1" x14ac:dyDescent="0.35">
      <c r="B316" s="60" t="s">
        <v>91</v>
      </c>
      <c r="C316" s="2"/>
      <c r="D316" s="2"/>
      <c r="E316" s="117">
        <v>5290</v>
      </c>
      <c r="G316" s="60" t="s">
        <v>91</v>
      </c>
      <c r="H316" s="2"/>
      <c r="I316" s="2"/>
      <c r="J316" s="117">
        <v>5450</v>
      </c>
      <c r="L316" s="60" t="s">
        <v>91</v>
      </c>
      <c r="M316" s="2"/>
      <c r="N316" s="2"/>
      <c r="O316" s="117">
        <v>5760</v>
      </c>
    </row>
    <row r="317" spans="2:15" ht="15.6" thickTop="1" thickBot="1" x14ac:dyDescent="0.35">
      <c r="B317" s="61" t="s">
        <v>168</v>
      </c>
      <c r="C317" s="62"/>
      <c r="D317" s="62"/>
      <c r="E317" s="123"/>
      <c r="G317" s="61" t="s">
        <v>168</v>
      </c>
      <c r="H317" s="62"/>
      <c r="I317" s="62"/>
      <c r="J317" s="123"/>
      <c r="L317" s="61" t="s">
        <v>168</v>
      </c>
      <c r="M317" s="62"/>
      <c r="N317" s="62"/>
      <c r="O317" s="123"/>
    </row>
    <row r="318" spans="2:15" ht="15" thickTop="1" x14ac:dyDescent="0.3">
      <c r="B318" s="121" t="s">
        <v>224</v>
      </c>
      <c r="C318" s="2"/>
      <c r="D318" s="2"/>
      <c r="E318" s="116">
        <v>28380</v>
      </c>
      <c r="G318" s="121" t="s">
        <v>224</v>
      </c>
      <c r="H318" s="2"/>
      <c r="I318" s="2"/>
      <c r="J318" s="116">
        <v>28380</v>
      </c>
      <c r="L318" s="121" t="s">
        <v>224</v>
      </c>
      <c r="M318" s="2"/>
      <c r="N318" s="2"/>
      <c r="O318" s="116">
        <v>28680</v>
      </c>
    </row>
    <row r="319" spans="2:15" x14ac:dyDescent="0.3">
      <c r="B319" s="122" t="s">
        <v>225</v>
      </c>
      <c r="C319" s="2"/>
      <c r="D319" s="2"/>
      <c r="E319" s="68">
        <v>460</v>
      </c>
      <c r="G319" s="122" t="s">
        <v>225</v>
      </c>
      <c r="H319" s="2"/>
      <c r="I319" s="2"/>
      <c r="J319" s="68">
        <v>460</v>
      </c>
      <c r="L319" s="122" t="s">
        <v>225</v>
      </c>
      <c r="M319" s="2"/>
      <c r="N319" s="2"/>
      <c r="O319" s="68">
        <v>460</v>
      </c>
    </row>
    <row r="320" spans="2:15" x14ac:dyDescent="0.3">
      <c r="B320" s="60" t="s">
        <v>102</v>
      </c>
      <c r="C320" s="2"/>
      <c r="D320" s="2"/>
      <c r="E320" s="69">
        <v>3540</v>
      </c>
      <c r="G320" s="60" t="s">
        <v>102</v>
      </c>
      <c r="H320" s="2"/>
      <c r="I320" s="2"/>
      <c r="J320" s="69">
        <v>0</v>
      </c>
      <c r="L320" s="60" t="s">
        <v>102</v>
      </c>
      <c r="M320" s="2"/>
      <c r="N320" s="2"/>
      <c r="O320" s="69">
        <v>300</v>
      </c>
    </row>
    <row r="321" spans="2:15" x14ac:dyDescent="0.3">
      <c r="B321" s="122" t="s">
        <v>226</v>
      </c>
      <c r="C321" s="2"/>
      <c r="D321" s="2"/>
      <c r="E321" s="124">
        <v>3316.4</v>
      </c>
      <c r="G321" s="122" t="s">
        <v>226</v>
      </c>
      <c r="H321" s="2"/>
      <c r="I321" s="2"/>
      <c r="J321" s="124">
        <v>3316.4</v>
      </c>
      <c r="L321" s="122" t="s">
        <v>226</v>
      </c>
      <c r="M321" s="2"/>
      <c r="N321" s="2"/>
      <c r="O321" s="124">
        <v>3322.4</v>
      </c>
    </row>
    <row r="322" spans="2:15" ht="15" thickBot="1" x14ac:dyDescent="0.35">
      <c r="B322" s="60" t="s">
        <v>104</v>
      </c>
      <c r="C322" s="2"/>
      <c r="D322" s="2"/>
      <c r="E322" s="69">
        <v>786.8</v>
      </c>
      <c r="G322" s="60" t="s">
        <v>104</v>
      </c>
      <c r="H322" s="2"/>
      <c r="I322" s="2"/>
      <c r="J322" s="69">
        <v>0</v>
      </c>
      <c r="L322" s="60" t="s">
        <v>104</v>
      </c>
      <c r="M322" s="2"/>
      <c r="N322" s="2"/>
      <c r="O322" s="69">
        <v>6</v>
      </c>
    </row>
    <row r="323" spans="2:15" ht="15.6" thickTop="1" thickBot="1" x14ac:dyDescent="0.35">
      <c r="B323" s="125" t="s">
        <v>39</v>
      </c>
      <c r="C323" s="62"/>
      <c r="D323" s="62"/>
      <c r="E323" s="123"/>
      <c r="G323" s="125" t="s">
        <v>39</v>
      </c>
      <c r="H323" s="62"/>
      <c r="I323" s="62"/>
      <c r="J323" s="123"/>
      <c r="L323" s="125" t="s">
        <v>39</v>
      </c>
      <c r="M323" s="62"/>
      <c r="N323" s="62"/>
      <c r="O323" s="123"/>
    </row>
    <row r="324" spans="2:15" ht="15" thickTop="1" x14ac:dyDescent="0.3">
      <c r="B324" s="60" t="s">
        <v>100</v>
      </c>
      <c r="C324" s="2"/>
      <c r="D324" s="2"/>
      <c r="E324" s="68">
        <v>21830.04</v>
      </c>
      <c r="G324" s="60" t="s">
        <v>100</v>
      </c>
      <c r="H324" s="2"/>
      <c r="I324" s="2"/>
      <c r="J324" s="68">
        <v>23251.71</v>
      </c>
      <c r="L324" s="60" t="s">
        <v>100</v>
      </c>
      <c r="M324" s="2"/>
      <c r="N324" s="2"/>
      <c r="O324" s="68">
        <v>24733.389999999996</v>
      </c>
    </row>
    <row r="325" spans="2:15" x14ac:dyDescent="0.3">
      <c r="B325" s="60" t="s">
        <v>103</v>
      </c>
      <c r="C325" s="2"/>
      <c r="D325" s="2"/>
      <c r="E325" s="69">
        <v>1215</v>
      </c>
      <c r="G325" s="60" t="s">
        <v>103</v>
      </c>
      <c r="H325" s="2"/>
      <c r="I325" s="2"/>
      <c r="J325" s="69">
        <v>1421.67</v>
      </c>
      <c r="L325" s="60" t="s">
        <v>103</v>
      </c>
      <c r="M325" s="2"/>
      <c r="N325" s="2"/>
      <c r="O325" s="69">
        <v>1481.68</v>
      </c>
    </row>
    <row r="326" spans="2:15" ht="15" thickBot="1" x14ac:dyDescent="0.35">
      <c r="B326" s="73" t="s">
        <v>95</v>
      </c>
      <c r="C326" s="72"/>
      <c r="D326" s="63"/>
      <c r="E326" s="71">
        <v>6549.9599999999991</v>
      </c>
      <c r="G326" s="73" t="s">
        <v>95</v>
      </c>
      <c r="H326" s="72"/>
      <c r="I326" s="63"/>
      <c r="J326" s="71">
        <v>5128.2900000000009</v>
      </c>
      <c r="L326" s="73" t="s">
        <v>95</v>
      </c>
      <c r="M326" s="72"/>
      <c r="N326" s="63"/>
      <c r="O326" s="71">
        <v>3946.6100000000042</v>
      </c>
    </row>
    <row r="327" spans="2:15" ht="15" thickTop="1" x14ac:dyDescent="0.3">
      <c r="B327" s="60" t="s">
        <v>101</v>
      </c>
      <c r="C327" s="2"/>
      <c r="D327" s="2"/>
      <c r="E327" s="68">
        <v>2137.6</v>
      </c>
      <c r="G327" s="60" t="s">
        <v>101</v>
      </c>
      <c r="H327" s="2"/>
      <c r="I327" s="2"/>
      <c r="J327" s="68">
        <v>2326.3999999999996</v>
      </c>
      <c r="L327" s="60" t="s">
        <v>101</v>
      </c>
      <c r="M327" s="2"/>
      <c r="N327" s="2"/>
      <c r="O327" s="68">
        <v>2516.3999999999996</v>
      </c>
    </row>
    <row r="328" spans="2:15" x14ac:dyDescent="0.3">
      <c r="B328" s="60" t="s">
        <v>105</v>
      </c>
      <c r="C328" s="2"/>
      <c r="D328" s="2"/>
      <c r="E328" s="69">
        <v>138</v>
      </c>
      <c r="G328" s="60" t="s">
        <v>105</v>
      </c>
      <c r="H328" s="2"/>
      <c r="I328" s="2"/>
      <c r="J328" s="69">
        <v>188.8</v>
      </c>
      <c r="L328" s="60" t="s">
        <v>105</v>
      </c>
      <c r="M328" s="2"/>
      <c r="N328" s="2"/>
      <c r="O328" s="69">
        <v>190</v>
      </c>
    </row>
    <row r="329" spans="2:15" ht="15" thickBot="1" x14ac:dyDescent="0.35">
      <c r="B329" s="73" t="s">
        <v>97</v>
      </c>
      <c r="C329" s="63"/>
      <c r="D329" s="63"/>
      <c r="E329" s="71">
        <v>1178.8000000000002</v>
      </c>
      <c r="G329" s="73" t="s">
        <v>97</v>
      </c>
      <c r="H329" s="63"/>
      <c r="I329" s="63"/>
      <c r="J329" s="71">
        <v>990.00000000000045</v>
      </c>
      <c r="L329" s="73" t="s">
        <v>97</v>
      </c>
      <c r="M329" s="63"/>
      <c r="N329" s="63"/>
      <c r="O329" s="71">
        <v>806.00000000000045</v>
      </c>
    </row>
    <row r="330" spans="2:15" ht="15.6" thickTop="1" thickBot="1" x14ac:dyDescent="0.35">
      <c r="B330" s="61" t="s">
        <v>227</v>
      </c>
      <c r="C330" s="126"/>
      <c r="D330" s="62"/>
      <c r="E330" s="130"/>
      <c r="G330" s="61" t="s">
        <v>227</v>
      </c>
      <c r="H330" s="126"/>
      <c r="I330" s="62"/>
      <c r="J330" s="130"/>
      <c r="L330" s="61" t="s">
        <v>227</v>
      </c>
      <c r="M330" s="126"/>
      <c r="N330" s="62"/>
      <c r="O330" s="130"/>
    </row>
    <row r="331" spans="2:15" ht="15" thickTop="1" x14ac:dyDescent="0.3">
      <c r="B331" s="60" t="s">
        <v>294</v>
      </c>
      <c r="C331" s="118"/>
      <c r="D331" s="2"/>
      <c r="E331" s="70">
        <v>184.69999999999996</v>
      </c>
      <c r="G331" s="60" t="s">
        <v>294</v>
      </c>
      <c r="H331" s="118"/>
      <c r="I331" s="2"/>
      <c r="J331" s="70">
        <v>184.69999999999996</v>
      </c>
      <c r="L331" s="60" t="s">
        <v>294</v>
      </c>
      <c r="M331" s="118"/>
      <c r="N331" s="2"/>
      <c r="O331" s="70">
        <v>184.69999999999996</v>
      </c>
    </row>
    <row r="332" spans="2:15" x14ac:dyDescent="0.3">
      <c r="B332" s="60" t="s">
        <v>353</v>
      </c>
      <c r="C332" s="127"/>
      <c r="D332" s="128"/>
      <c r="E332" s="68">
        <v>860</v>
      </c>
      <c r="G332" s="60" t="s">
        <v>353</v>
      </c>
      <c r="H332" s="127"/>
      <c r="I332" s="128"/>
      <c r="J332" s="68">
        <v>860</v>
      </c>
      <c r="L332" s="60" t="s">
        <v>353</v>
      </c>
      <c r="M332" s="127"/>
      <c r="N332" s="128"/>
      <c r="O332" s="68">
        <v>860</v>
      </c>
    </row>
    <row r="333" spans="2:15" x14ac:dyDescent="0.3">
      <c r="B333" s="60" t="s">
        <v>247</v>
      </c>
      <c r="C333" s="127"/>
      <c r="D333" s="128"/>
      <c r="E333" s="68">
        <v>136</v>
      </c>
      <c r="G333" s="60" t="s">
        <v>247</v>
      </c>
      <c r="H333" s="127"/>
      <c r="I333" s="128"/>
      <c r="J333" s="68">
        <v>136</v>
      </c>
      <c r="L333" s="60" t="s">
        <v>247</v>
      </c>
      <c r="M333" s="127"/>
      <c r="N333" s="128"/>
      <c r="O333" s="68">
        <v>136</v>
      </c>
    </row>
    <row r="334" spans="2:15" x14ac:dyDescent="0.3">
      <c r="B334" s="60" t="s">
        <v>93</v>
      </c>
      <c r="C334" s="2"/>
      <c r="D334" s="2"/>
      <c r="E334" s="67">
        <v>5290</v>
      </c>
      <c r="G334" s="60" t="s">
        <v>93</v>
      </c>
      <c r="H334" s="2"/>
      <c r="I334" s="2"/>
      <c r="J334" s="67">
        <v>5450</v>
      </c>
      <c r="L334" s="60" t="s">
        <v>93</v>
      </c>
      <c r="M334" s="2"/>
      <c r="N334" s="2"/>
      <c r="O334" s="67">
        <v>5760</v>
      </c>
    </row>
    <row r="335" spans="2:15" x14ac:dyDescent="0.3">
      <c r="B335" s="60" t="s">
        <v>99</v>
      </c>
      <c r="C335" s="2"/>
      <c r="D335" s="2"/>
      <c r="E335" s="66">
        <v>330.625</v>
      </c>
      <c r="G335" s="60" t="s">
        <v>99</v>
      </c>
      <c r="H335" s="2"/>
      <c r="I335" s="2"/>
      <c r="J335" s="66">
        <v>340.625</v>
      </c>
      <c r="L335" s="60" t="s">
        <v>99</v>
      </c>
      <c r="M335" s="2"/>
      <c r="N335" s="2"/>
      <c r="O335" s="66">
        <v>360</v>
      </c>
    </row>
    <row r="336" spans="2:15" x14ac:dyDescent="0.3">
      <c r="B336" s="60" t="s">
        <v>354</v>
      </c>
      <c r="C336" s="2"/>
      <c r="D336" s="2"/>
      <c r="E336" s="67">
        <v>2505.1</v>
      </c>
      <c r="G336" s="60" t="s">
        <v>354</v>
      </c>
      <c r="H336" s="2"/>
      <c r="I336" s="2"/>
      <c r="J336" s="67">
        <v>2505.1</v>
      </c>
      <c r="L336" s="60" t="s">
        <v>354</v>
      </c>
      <c r="M336" s="2"/>
      <c r="N336" s="2"/>
      <c r="O336" s="67">
        <v>2511.1</v>
      </c>
    </row>
    <row r="337" spans="2:15" ht="15" thickBot="1" x14ac:dyDescent="0.35">
      <c r="B337" s="60" t="s">
        <v>96</v>
      </c>
      <c r="C337" s="2"/>
      <c r="D337" s="129"/>
      <c r="E337" s="179">
        <v>66.34</v>
      </c>
      <c r="G337" s="60" t="s">
        <v>96</v>
      </c>
      <c r="H337" s="2"/>
      <c r="I337" s="129"/>
      <c r="J337" s="179">
        <v>1836.81</v>
      </c>
      <c r="L337" s="60" t="s">
        <v>96</v>
      </c>
      <c r="M337" s="2"/>
      <c r="N337" s="129"/>
      <c r="O337" s="179">
        <v>3518.49</v>
      </c>
    </row>
    <row r="338" spans="2:15" ht="15.6" thickTop="1" thickBot="1" x14ac:dyDescent="0.35">
      <c r="B338" s="64" t="s">
        <v>94</v>
      </c>
      <c r="C338" s="65"/>
      <c r="D338" s="131"/>
      <c r="E338" s="132">
        <v>7795.1</v>
      </c>
      <c r="G338" s="64" t="s">
        <v>94</v>
      </c>
      <c r="H338" s="65"/>
      <c r="I338" s="131"/>
      <c r="J338" s="132">
        <v>7955.1</v>
      </c>
      <c r="L338" s="64" t="s">
        <v>94</v>
      </c>
      <c r="M338" s="65"/>
      <c r="N338" s="131"/>
      <c r="O338" s="132">
        <v>8271.1</v>
      </c>
    </row>
    <row r="339" spans="2:15" ht="15.6" thickTop="1" thickBot="1" x14ac:dyDescent="0.35">
      <c r="B339" s="64" t="s">
        <v>98</v>
      </c>
      <c r="C339" s="65"/>
      <c r="D339" s="131"/>
      <c r="E339" s="143">
        <v>7795.0999999999995</v>
      </c>
      <c r="G339" s="64" t="s">
        <v>98</v>
      </c>
      <c r="H339" s="64"/>
      <c r="I339" s="131"/>
      <c r="J339" s="143">
        <v>7955.1</v>
      </c>
      <c r="L339" s="64" t="s">
        <v>98</v>
      </c>
      <c r="M339" s="65"/>
      <c r="N339" s="131"/>
      <c r="O339" s="143">
        <v>8271.100000000004</v>
      </c>
    </row>
    <row r="340" spans="2:15" ht="15.6" thickTop="1" thickBot="1" x14ac:dyDescent="0.35">
      <c r="E340" s="202"/>
      <c r="J340" s="202"/>
      <c r="O340" s="202"/>
    </row>
    <row r="341" spans="2:15" ht="15.6" thickTop="1" thickBot="1" x14ac:dyDescent="0.35">
      <c r="B341" s="378" t="s">
        <v>92</v>
      </c>
      <c r="C341" s="379"/>
      <c r="D341" s="180" t="s">
        <v>392</v>
      </c>
      <c r="E341" s="75">
        <v>45884</v>
      </c>
      <c r="G341" s="378" t="s">
        <v>92</v>
      </c>
      <c r="H341" s="379"/>
      <c r="I341" s="180" t="s">
        <v>392</v>
      </c>
      <c r="J341" s="75">
        <v>45915</v>
      </c>
      <c r="L341" s="378" t="s">
        <v>92</v>
      </c>
      <c r="M341" s="379"/>
      <c r="N341" s="180" t="s">
        <v>392</v>
      </c>
      <c r="O341" s="75">
        <v>45945</v>
      </c>
    </row>
    <row r="342" spans="2:15" ht="15.6" thickTop="1" thickBot="1" x14ac:dyDescent="0.35">
      <c r="B342" s="380"/>
      <c r="C342" s="381"/>
      <c r="D342" s="180" t="s">
        <v>393</v>
      </c>
      <c r="E342" s="75">
        <v>44788</v>
      </c>
      <c r="G342" s="380"/>
      <c r="H342" s="381"/>
      <c r="I342" s="180" t="s">
        <v>393</v>
      </c>
      <c r="J342" s="75">
        <v>44788</v>
      </c>
      <c r="L342" s="380"/>
      <c r="M342" s="381"/>
      <c r="N342" s="180" t="s">
        <v>393</v>
      </c>
      <c r="O342" s="75">
        <v>44788</v>
      </c>
    </row>
    <row r="343" spans="2:15" ht="15.6" thickTop="1" thickBot="1" x14ac:dyDescent="0.35">
      <c r="B343" s="382"/>
      <c r="C343" s="383"/>
      <c r="D343" s="180" t="s">
        <v>391</v>
      </c>
      <c r="E343" s="75">
        <v>45914</v>
      </c>
      <c r="G343" s="382"/>
      <c r="H343" s="383"/>
      <c r="I343" s="180" t="s">
        <v>391</v>
      </c>
      <c r="J343" s="75">
        <v>45944</v>
      </c>
      <c r="L343" s="382"/>
      <c r="M343" s="383"/>
      <c r="N343" s="180" t="s">
        <v>391</v>
      </c>
      <c r="O343" s="75">
        <v>45975</v>
      </c>
    </row>
    <row r="344" spans="2:15" ht="15.6" thickTop="1" thickBot="1" x14ac:dyDescent="0.35">
      <c r="B344" s="60" t="s">
        <v>91</v>
      </c>
      <c r="C344" s="2"/>
      <c r="D344" s="2"/>
      <c r="E344" s="117">
        <v>5920</v>
      </c>
      <c r="G344" s="60" t="s">
        <v>91</v>
      </c>
      <c r="H344" s="2"/>
      <c r="I344" s="2"/>
      <c r="J344" s="117">
        <v>6080</v>
      </c>
      <c r="L344" s="60" t="s">
        <v>91</v>
      </c>
      <c r="M344" s="2"/>
      <c r="N344" s="2"/>
      <c r="O344" s="117">
        <v>6240</v>
      </c>
    </row>
    <row r="345" spans="2:15" ht="15.6" thickTop="1" thickBot="1" x14ac:dyDescent="0.35">
      <c r="B345" s="61" t="s">
        <v>168</v>
      </c>
      <c r="C345" s="62"/>
      <c r="D345" s="62"/>
      <c r="E345" s="123"/>
      <c r="G345" s="61" t="s">
        <v>168</v>
      </c>
      <c r="H345" s="62"/>
      <c r="I345" s="62"/>
      <c r="J345" s="123"/>
      <c r="L345" s="61" t="s">
        <v>168</v>
      </c>
      <c r="M345" s="62"/>
      <c r="N345" s="62"/>
      <c r="O345" s="123"/>
    </row>
    <row r="346" spans="2:15" ht="15" thickTop="1" x14ac:dyDescent="0.3">
      <c r="B346" s="121" t="s">
        <v>224</v>
      </c>
      <c r="C346" s="2"/>
      <c r="D346" s="2"/>
      <c r="E346" s="116">
        <v>32280</v>
      </c>
      <c r="G346" s="121" t="s">
        <v>224</v>
      </c>
      <c r="H346" s="2"/>
      <c r="I346" s="2"/>
      <c r="J346" s="116">
        <v>34230</v>
      </c>
      <c r="L346" s="121" t="s">
        <v>224</v>
      </c>
      <c r="M346" s="2"/>
      <c r="N346" s="2"/>
      <c r="O346" s="116">
        <v>35180</v>
      </c>
    </row>
    <row r="347" spans="2:15" x14ac:dyDescent="0.3">
      <c r="B347" s="122" t="s">
        <v>225</v>
      </c>
      <c r="C347" s="2"/>
      <c r="D347" s="2"/>
      <c r="E347" s="68">
        <v>460</v>
      </c>
      <c r="G347" s="122" t="s">
        <v>225</v>
      </c>
      <c r="H347" s="2"/>
      <c r="I347" s="2"/>
      <c r="J347" s="68">
        <v>460</v>
      </c>
      <c r="L347" s="122" t="s">
        <v>225</v>
      </c>
      <c r="M347" s="2"/>
      <c r="N347" s="2"/>
      <c r="O347" s="68">
        <v>460</v>
      </c>
    </row>
    <row r="348" spans="2:15" x14ac:dyDescent="0.3">
      <c r="B348" s="60" t="s">
        <v>102</v>
      </c>
      <c r="C348" s="2"/>
      <c r="D348" s="2"/>
      <c r="E348" s="69">
        <v>3600</v>
      </c>
      <c r="G348" s="60" t="s">
        <v>102</v>
      </c>
      <c r="H348" s="2"/>
      <c r="I348" s="2"/>
      <c r="J348" s="69">
        <v>1000</v>
      </c>
      <c r="L348" s="60" t="s">
        <v>102</v>
      </c>
      <c r="M348" s="2"/>
      <c r="N348" s="2"/>
      <c r="O348" s="69">
        <v>750</v>
      </c>
    </row>
    <row r="349" spans="2:15" x14ac:dyDescent="0.3">
      <c r="B349" s="122" t="s">
        <v>226</v>
      </c>
      <c r="C349" s="2"/>
      <c r="D349" s="2"/>
      <c r="E349" s="124">
        <v>3976.4</v>
      </c>
      <c r="G349" s="122" t="s">
        <v>226</v>
      </c>
      <c r="H349" s="2"/>
      <c r="I349" s="2"/>
      <c r="J349" s="124">
        <v>4086.6000000000004</v>
      </c>
      <c r="L349" s="122" t="s">
        <v>226</v>
      </c>
      <c r="M349" s="2"/>
      <c r="N349" s="2"/>
      <c r="O349" s="124">
        <v>4155.6000000000004</v>
      </c>
    </row>
    <row r="350" spans="2:15" ht="15" thickBot="1" x14ac:dyDescent="0.35">
      <c r="B350" s="60" t="s">
        <v>104</v>
      </c>
      <c r="C350" s="2"/>
      <c r="D350" s="2"/>
      <c r="E350" s="69">
        <v>654</v>
      </c>
      <c r="G350" s="60" t="s">
        <v>104</v>
      </c>
      <c r="H350" s="2"/>
      <c r="I350" s="2"/>
      <c r="J350" s="69">
        <v>76</v>
      </c>
      <c r="L350" s="60" t="s">
        <v>104</v>
      </c>
      <c r="M350" s="2"/>
      <c r="N350" s="2"/>
      <c r="O350" s="69">
        <v>57</v>
      </c>
    </row>
    <row r="351" spans="2:15" ht="15.6" thickTop="1" thickBot="1" x14ac:dyDescent="0.35">
      <c r="B351" s="125" t="s">
        <v>39</v>
      </c>
      <c r="C351" s="62"/>
      <c r="D351" s="62"/>
      <c r="E351" s="123"/>
      <c r="G351" s="125" t="s">
        <v>39</v>
      </c>
      <c r="H351" s="62"/>
      <c r="I351" s="62"/>
      <c r="J351" s="123"/>
      <c r="L351" s="125" t="s">
        <v>39</v>
      </c>
      <c r="M351" s="62"/>
      <c r="N351" s="62"/>
      <c r="O351" s="123"/>
    </row>
    <row r="352" spans="2:15" ht="15" thickTop="1" x14ac:dyDescent="0.3">
      <c r="B352" s="60" t="s">
        <v>100</v>
      </c>
      <c r="C352" s="2"/>
      <c r="D352" s="2"/>
      <c r="E352" s="68">
        <v>25940.059999999987</v>
      </c>
      <c r="G352" s="60" t="s">
        <v>100</v>
      </c>
      <c r="H352" s="2"/>
      <c r="I352" s="2"/>
      <c r="J352" s="232">
        <v>27570.729999999985</v>
      </c>
      <c r="L352" s="60" t="s">
        <v>100</v>
      </c>
      <c r="M352" s="2"/>
      <c r="N352" s="2"/>
      <c r="O352" s="232">
        <v>29033.399999999983</v>
      </c>
    </row>
    <row r="353" spans="2:15" x14ac:dyDescent="0.3">
      <c r="B353" s="60" t="s">
        <v>103</v>
      </c>
      <c r="C353" s="2"/>
      <c r="D353" s="2"/>
      <c r="E353" s="69">
        <v>1206.67</v>
      </c>
      <c r="G353" s="60" t="s">
        <v>103</v>
      </c>
      <c r="H353" s="2"/>
      <c r="I353" s="2"/>
      <c r="J353" s="69">
        <v>1095.67</v>
      </c>
      <c r="L353" s="60" t="s">
        <v>103</v>
      </c>
      <c r="M353" s="2"/>
      <c r="N353" s="2"/>
      <c r="O353" s="69">
        <v>1463.67</v>
      </c>
    </row>
    <row r="354" spans="2:15" ht="15" thickBot="1" x14ac:dyDescent="0.35">
      <c r="B354" s="73" t="s">
        <v>95</v>
      </c>
      <c r="C354" s="72"/>
      <c r="D354" s="63"/>
      <c r="E354" s="71">
        <v>6339.9400000000132</v>
      </c>
      <c r="G354" s="73" t="s">
        <v>95</v>
      </c>
      <c r="H354" s="72"/>
      <c r="I354" s="63"/>
      <c r="J354" s="71">
        <v>6659.270000000015</v>
      </c>
      <c r="L354" s="73" t="s">
        <v>95</v>
      </c>
      <c r="M354" s="72"/>
      <c r="N354" s="63"/>
      <c r="O354" s="71">
        <v>6146.6000000000167</v>
      </c>
    </row>
    <row r="355" spans="2:15" ht="15" thickTop="1" x14ac:dyDescent="0.3">
      <c r="B355" s="60" t="s">
        <v>101</v>
      </c>
      <c r="C355" s="2"/>
      <c r="D355" s="2"/>
      <c r="E355" s="68">
        <v>2728.3999999999996</v>
      </c>
      <c r="G355" s="60" t="s">
        <v>101</v>
      </c>
      <c r="H355" s="2"/>
      <c r="I355" s="2"/>
      <c r="J355" s="232">
        <v>2899.3999999999996</v>
      </c>
      <c r="L355" s="60" t="s">
        <v>101</v>
      </c>
      <c r="M355" s="2"/>
      <c r="N355" s="2"/>
      <c r="O355" s="232">
        <v>3077.5999999999995</v>
      </c>
    </row>
    <row r="356" spans="2:15" x14ac:dyDescent="0.3">
      <c r="B356" s="60" t="s">
        <v>105</v>
      </c>
      <c r="C356" s="2"/>
      <c r="D356" s="2"/>
      <c r="E356" s="69">
        <v>162</v>
      </c>
      <c r="G356" s="60" t="s">
        <v>105</v>
      </c>
      <c r="H356" s="2"/>
      <c r="I356" s="2"/>
      <c r="J356" s="69">
        <v>156.19999999999999</v>
      </c>
      <c r="L356" s="60" t="s">
        <v>105</v>
      </c>
      <c r="M356" s="2"/>
      <c r="N356" s="2"/>
      <c r="O356" s="69">
        <v>174.2</v>
      </c>
    </row>
    <row r="357" spans="2:15" ht="15" thickBot="1" x14ac:dyDescent="0.35">
      <c r="B357" s="73" t="s">
        <v>97</v>
      </c>
      <c r="C357" s="63"/>
      <c r="D357" s="63"/>
      <c r="E357" s="71">
        <v>1248.0000000000005</v>
      </c>
      <c r="G357" s="73" t="s">
        <v>97</v>
      </c>
      <c r="H357" s="63"/>
      <c r="I357" s="63"/>
      <c r="J357" s="71">
        <v>1187.2000000000007</v>
      </c>
      <c r="L357" s="73" t="s">
        <v>97</v>
      </c>
      <c r="M357" s="63"/>
      <c r="N357" s="63"/>
      <c r="O357" s="71">
        <v>1078.0000000000009</v>
      </c>
    </row>
    <row r="358" spans="2:15" ht="15.6" thickTop="1" thickBot="1" x14ac:dyDescent="0.35">
      <c r="B358" s="61" t="s">
        <v>227</v>
      </c>
      <c r="C358" s="126"/>
      <c r="D358" s="62"/>
      <c r="E358" s="130"/>
      <c r="G358" s="61" t="s">
        <v>227</v>
      </c>
      <c r="H358" s="126"/>
      <c r="I358" s="62"/>
      <c r="J358" s="230"/>
      <c r="L358" s="61" t="s">
        <v>227</v>
      </c>
      <c r="M358" s="126"/>
      <c r="N358" s="62"/>
      <c r="O358" s="230"/>
    </row>
    <row r="359" spans="2:15" ht="15" thickTop="1" x14ac:dyDescent="0.3">
      <c r="B359" s="60" t="s">
        <v>294</v>
      </c>
      <c r="C359" s="118"/>
      <c r="D359" s="2"/>
      <c r="E359" s="70">
        <v>194.69999999999996</v>
      </c>
      <c r="G359" s="60" t="s">
        <v>294</v>
      </c>
      <c r="H359" s="118"/>
      <c r="I359" s="2"/>
      <c r="J359" s="70">
        <v>199.69999999999996</v>
      </c>
      <c r="L359" s="60" t="s">
        <v>294</v>
      </c>
      <c r="M359" s="118"/>
      <c r="N359" s="2"/>
      <c r="O359" s="70">
        <v>200.69999999999996</v>
      </c>
    </row>
    <row r="360" spans="2:15" x14ac:dyDescent="0.3">
      <c r="B360" s="60" t="s">
        <v>353</v>
      </c>
      <c r="C360" s="127"/>
      <c r="D360" s="128"/>
      <c r="E360" s="68">
        <v>860</v>
      </c>
      <c r="G360" s="60" t="s">
        <v>415</v>
      </c>
      <c r="H360" s="127"/>
      <c r="I360" s="128"/>
      <c r="J360" s="68">
        <v>860</v>
      </c>
      <c r="L360" s="60" t="s">
        <v>415</v>
      </c>
      <c r="M360" s="127"/>
      <c r="N360" s="128"/>
      <c r="O360" s="68">
        <v>877.92000000000007</v>
      </c>
    </row>
    <row r="361" spans="2:15" x14ac:dyDescent="0.3">
      <c r="B361" s="60" t="s">
        <v>247</v>
      </c>
      <c r="C361" s="127"/>
      <c r="D361" s="128"/>
      <c r="E361" s="68">
        <v>196</v>
      </c>
      <c r="G361" s="60" t="s">
        <v>247</v>
      </c>
      <c r="H361" s="127"/>
      <c r="I361" s="128"/>
      <c r="J361" s="68">
        <v>206</v>
      </c>
      <c r="L361" s="60" t="s">
        <v>247</v>
      </c>
      <c r="M361" s="127"/>
      <c r="N361" s="128"/>
      <c r="O361" s="68">
        <v>210</v>
      </c>
    </row>
    <row r="362" spans="2:15" x14ac:dyDescent="0.3">
      <c r="B362" s="60" t="s">
        <v>93</v>
      </c>
      <c r="C362" s="2"/>
      <c r="D362" s="2"/>
      <c r="E362" s="67">
        <v>5920</v>
      </c>
      <c r="G362" s="60" t="s">
        <v>93</v>
      </c>
      <c r="H362" s="2"/>
      <c r="I362" s="2"/>
      <c r="J362" s="67">
        <v>6080</v>
      </c>
      <c r="L362" s="60" t="s">
        <v>93</v>
      </c>
      <c r="M362" s="2"/>
      <c r="N362" s="2"/>
      <c r="O362" s="67">
        <v>6240</v>
      </c>
    </row>
    <row r="363" spans="2:15" x14ac:dyDescent="0.3">
      <c r="B363" s="60" t="s">
        <v>99</v>
      </c>
      <c r="C363" s="2"/>
      <c r="D363" s="2"/>
      <c r="E363" s="66">
        <v>370</v>
      </c>
      <c r="G363" s="60" t="s">
        <v>99</v>
      </c>
      <c r="H363" s="2"/>
      <c r="I363" s="2"/>
      <c r="J363" s="66">
        <v>380</v>
      </c>
      <c r="L363" s="60" t="s">
        <v>99</v>
      </c>
      <c r="M363" s="2"/>
      <c r="N363" s="2"/>
      <c r="O363" s="66">
        <v>390</v>
      </c>
    </row>
    <row r="364" spans="2:15" x14ac:dyDescent="0.3">
      <c r="B364" s="60" t="s">
        <v>354</v>
      </c>
      <c r="C364" s="2"/>
      <c r="D364" s="2"/>
      <c r="E364" s="67">
        <v>3115.1</v>
      </c>
      <c r="G364" s="60" t="s">
        <v>354</v>
      </c>
      <c r="H364" s="2"/>
      <c r="I364" s="2"/>
      <c r="J364" s="67">
        <v>3220.3</v>
      </c>
      <c r="L364" s="60" t="s">
        <v>354</v>
      </c>
      <c r="M364" s="2"/>
      <c r="N364" s="2"/>
      <c r="O364" s="67">
        <v>3268.38</v>
      </c>
    </row>
    <row r="365" spans="2:15" ht="15" thickBot="1" x14ac:dyDescent="0.35">
      <c r="B365" s="60" t="s">
        <v>96</v>
      </c>
      <c r="C365" s="2"/>
      <c r="D365" s="129"/>
      <c r="E365" s="179">
        <v>1041.96</v>
      </c>
      <c r="G365" s="60" t="s">
        <v>96</v>
      </c>
      <c r="H365" s="2"/>
      <c r="I365" s="129"/>
      <c r="J365" s="179">
        <v>1453.83</v>
      </c>
      <c r="L365" s="60" t="s">
        <v>96</v>
      </c>
      <c r="M365" s="2"/>
      <c r="N365" s="129"/>
      <c r="O365" s="179">
        <v>2283.7800000000002</v>
      </c>
    </row>
    <row r="366" spans="2:15" ht="15.6" thickTop="1" thickBot="1" x14ac:dyDescent="0.35">
      <c r="B366" s="64" t="s">
        <v>94</v>
      </c>
      <c r="C366" s="65"/>
      <c r="D366" s="131"/>
      <c r="E366" s="132">
        <v>9035.1</v>
      </c>
      <c r="G366" s="64" t="s">
        <v>94</v>
      </c>
      <c r="H366" s="65"/>
      <c r="I366" s="131"/>
      <c r="J366" s="132">
        <v>9300.2999999999993</v>
      </c>
      <c r="L366" s="64" t="s">
        <v>94</v>
      </c>
      <c r="M366" s="65"/>
      <c r="N366" s="131"/>
      <c r="O366" s="132">
        <v>9508.380000000001</v>
      </c>
    </row>
    <row r="367" spans="2:15" ht="15.6" thickTop="1" thickBot="1" x14ac:dyDescent="0.35">
      <c r="B367" s="64" t="s">
        <v>98</v>
      </c>
      <c r="C367" s="65"/>
      <c r="D367" s="131"/>
      <c r="E367" s="143">
        <v>9035.1000000000131</v>
      </c>
      <c r="G367" s="64" t="s">
        <v>98</v>
      </c>
      <c r="H367" s="65"/>
      <c r="I367" s="131"/>
      <c r="J367" s="143">
        <v>9300.3000000000156</v>
      </c>
      <c r="L367" s="64" t="s">
        <v>98</v>
      </c>
      <c r="M367" s="65"/>
      <c r="N367" s="131"/>
      <c r="O367" s="143">
        <v>9508.3800000000174</v>
      </c>
    </row>
    <row r="368" spans="2:15" ht="15.6" thickTop="1" thickBot="1" x14ac:dyDescent="0.35"/>
    <row r="369" spans="2:15" ht="15.6" thickTop="1" thickBot="1" x14ac:dyDescent="0.35">
      <c r="B369" s="378" t="s">
        <v>92</v>
      </c>
      <c r="C369" s="379"/>
      <c r="D369" s="180" t="s">
        <v>392</v>
      </c>
      <c r="E369" s="75">
        <v>45976</v>
      </c>
      <c r="G369" s="378" t="s">
        <v>92</v>
      </c>
      <c r="H369" s="379"/>
      <c r="I369" s="180" t="s">
        <v>392</v>
      </c>
      <c r="J369" s="75">
        <v>46006</v>
      </c>
      <c r="L369" s="378" t="s">
        <v>92</v>
      </c>
      <c r="M369" s="379"/>
      <c r="N369" s="180" t="s">
        <v>392</v>
      </c>
      <c r="O369" s="75">
        <v>46037</v>
      </c>
    </row>
    <row r="370" spans="2:15" ht="15.6" thickTop="1" thickBot="1" x14ac:dyDescent="0.35">
      <c r="B370" s="380"/>
      <c r="C370" s="381"/>
      <c r="D370" s="180" t="s">
        <v>393</v>
      </c>
      <c r="E370" s="75">
        <v>44788</v>
      </c>
      <c r="G370" s="380"/>
      <c r="H370" s="381"/>
      <c r="I370" s="180" t="s">
        <v>393</v>
      </c>
      <c r="J370" s="75">
        <v>44788</v>
      </c>
      <c r="L370" s="380"/>
      <c r="M370" s="381"/>
      <c r="N370" s="180" t="s">
        <v>393</v>
      </c>
      <c r="O370" s="75">
        <v>44788</v>
      </c>
    </row>
    <row r="371" spans="2:15" ht="15.6" thickTop="1" thickBot="1" x14ac:dyDescent="0.35">
      <c r="B371" s="382"/>
      <c r="C371" s="383"/>
      <c r="D371" s="180" t="s">
        <v>391</v>
      </c>
      <c r="E371" s="75">
        <v>46005</v>
      </c>
      <c r="G371" s="382"/>
      <c r="H371" s="383"/>
      <c r="I371" s="180" t="s">
        <v>391</v>
      </c>
      <c r="J371" s="75">
        <v>46036</v>
      </c>
      <c r="L371" s="382"/>
      <c r="M371" s="383"/>
      <c r="N371" s="180" t="s">
        <v>391</v>
      </c>
      <c r="O371" s="75">
        <v>46067</v>
      </c>
    </row>
    <row r="372" spans="2:15" ht="15.6" thickTop="1" thickBot="1" x14ac:dyDescent="0.35">
      <c r="B372" s="60" t="s">
        <v>91</v>
      </c>
      <c r="C372" s="2"/>
      <c r="D372" s="2"/>
      <c r="E372" s="117">
        <v>6400</v>
      </c>
      <c r="G372" s="60" t="s">
        <v>91</v>
      </c>
      <c r="H372" s="2"/>
      <c r="I372" s="2"/>
      <c r="J372" s="117">
        <v>6560</v>
      </c>
      <c r="L372" s="60" t="s">
        <v>91</v>
      </c>
      <c r="M372" s="2"/>
      <c r="N372" s="2"/>
      <c r="O372" s="117">
        <v>6880</v>
      </c>
    </row>
    <row r="373" spans="2:15" ht="15.6" thickTop="1" thickBot="1" x14ac:dyDescent="0.35">
      <c r="B373" s="61" t="s">
        <v>168</v>
      </c>
      <c r="C373" s="62"/>
      <c r="D373" s="62"/>
      <c r="E373" s="123"/>
      <c r="G373" s="61" t="s">
        <v>168</v>
      </c>
      <c r="H373" s="62"/>
      <c r="I373" s="62"/>
      <c r="J373" s="123"/>
      <c r="L373" s="61" t="s">
        <v>168</v>
      </c>
      <c r="M373" s="62"/>
      <c r="N373" s="62"/>
      <c r="O373" s="123"/>
    </row>
    <row r="374" spans="2:15" ht="15" thickTop="1" x14ac:dyDescent="0.3">
      <c r="B374" s="121" t="s">
        <v>224</v>
      </c>
      <c r="C374" s="2"/>
      <c r="D374" s="2"/>
      <c r="E374" s="116">
        <v>36380</v>
      </c>
      <c r="G374" s="121" t="s">
        <v>224</v>
      </c>
      <c r="H374" s="2"/>
      <c r="I374" s="2"/>
      <c r="J374" s="116">
        <v>40180</v>
      </c>
      <c r="L374" s="121" t="s">
        <v>224</v>
      </c>
      <c r="M374" s="2"/>
      <c r="N374" s="2"/>
      <c r="O374" s="116">
        <v>41860</v>
      </c>
    </row>
    <row r="375" spans="2:15" x14ac:dyDescent="0.3">
      <c r="B375" s="122" t="s">
        <v>225</v>
      </c>
      <c r="C375" s="2"/>
      <c r="D375" s="2"/>
      <c r="E375" s="68">
        <v>460</v>
      </c>
      <c r="G375" s="122" t="s">
        <v>225</v>
      </c>
      <c r="H375" s="2"/>
      <c r="I375" s="2"/>
      <c r="J375" s="68">
        <v>460</v>
      </c>
      <c r="L375" s="122" t="s">
        <v>225</v>
      </c>
      <c r="M375" s="2"/>
      <c r="N375" s="2"/>
      <c r="O375" s="68">
        <v>460</v>
      </c>
    </row>
    <row r="376" spans="2:15" x14ac:dyDescent="0.3">
      <c r="B376" s="60" t="s">
        <v>102</v>
      </c>
      <c r="C376" s="2"/>
      <c r="D376" s="2"/>
      <c r="E376" s="69">
        <v>1200</v>
      </c>
      <c r="G376" s="60" t="s">
        <v>102</v>
      </c>
      <c r="H376" s="2"/>
      <c r="I376" s="2"/>
      <c r="J376" s="69">
        <v>3800</v>
      </c>
      <c r="L376" s="60" t="s">
        <v>102</v>
      </c>
      <c r="M376" s="2"/>
      <c r="N376" s="2"/>
      <c r="O376" s="69">
        <v>1680</v>
      </c>
    </row>
    <row r="377" spans="2:15" x14ac:dyDescent="0.3">
      <c r="B377" s="122" t="s">
        <v>226</v>
      </c>
      <c r="C377" s="2"/>
      <c r="D377" s="2"/>
      <c r="E377" s="124">
        <v>4379.6000000000004</v>
      </c>
      <c r="G377" s="122" t="s">
        <v>226</v>
      </c>
      <c r="H377" s="2"/>
      <c r="I377" s="2"/>
      <c r="J377" s="124">
        <v>5301.6</v>
      </c>
      <c r="L377" s="122" t="s">
        <v>226</v>
      </c>
      <c r="M377" s="2"/>
      <c r="N377" s="2"/>
      <c r="O377" s="124">
        <v>5604.8</v>
      </c>
    </row>
    <row r="378" spans="2:15" ht="15" thickBot="1" x14ac:dyDescent="0.35">
      <c r="B378" s="60" t="s">
        <v>104</v>
      </c>
      <c r="C378" s="2"/>
      <c r="D378" s="2"/>
      <c r="E378" s="69">
        <v>224</v>
      </c>
      <c r="G378" s="60" t="s">
        <v>104</v>
      </c>
      <c r="H378" s="2"/>
      <c r="I378" s="2"/>
      <c r="J378" s="69">
        <v>922</v>
      </c>
      <c r="L378" s="60" t="s">
        <v>104</v>
      </c>
      <c r="M378" s="2"/>
      <c r="N378" s="2"/>
      <c r="O378" s="69">
        <v>303.2</v>
      </c>
    </row>
    <row r="379" spans="2:15" ht="15.6" thickTop="1" thickBot="1" x14ac:dyDescent="0.35">
      <c r="B379" s="125" t="s">
        <v>39</v>
      </c>
      <c r="C379" s="62"/>
      <c r="D379" s="62"/>
      <c r="E379" s="123"/>
      <c r="G379" s="125" t="s">
        <v>39</v>
      </c>
      <c r="H379" s="62"/>
      <c r="I379" s="62"/>
      <c r="J379" s="123"/>
      <c r="L379" s="125" t="s">
        <v>39</v>
      </c>
      <c r="M379" s="62"/>
      <c r="N379" s="62"/>
      <c r="O379" s="123"/>
    </row>
    <row r="380" spans="2:15" ht="15" thickTop="1" x14ac:dyDescent="0.3">
      <c r="B380" s="60" t="s">
        <v>100</v>
      </c>
      <c r="C380" s="2"/>
      <c r="D380" s="2"/>
      <c r="E380" s="232">
        <v>30810.069999999982</v>
      </c>
      <c r="G380" s="60" t="s">
        <v>100</v>
      </c>
      <c r="H380" s="2"/>
      <c r="I380" s="2"/>
      <c r="J380" s="232">
        <v>31970.069999999982</v>
      </c>
      <c r="L380" s="60" t="s">
        <v>100</v>
      </c>
      <c r="M380" s="2"/>
      <c r="N380" s="2"/>
      <c r="O380" s="232">
        <v>33591.179999999978</v>
      </c>
    </row>
    <row r="381" spans="2:15" x14ac:dyDescent="0.3">
      <c r="B381" s="60" t="s">
        <v>103</v>
      </c>
      <c r="C381" s="2"/>
      <c r="D381" s="2"/>
      <c r="E381" s="69">
        <v>1776.67</v>
      </c>
      <c r="G381" s="60" t="s">
        <v>103</v>
      </c>
      <c r="H381" s="2"/>
      <c r="I381" s="2"/>
      <c r="J381" s="69">
        <v>1170</v>
      </c>
      <c r="L381" s="60" t="s">
        <v>103</v>
      </c>
      <c r="M381" s="2"/>
      <c r="N381" s="2"/>
      <c r="O381" s="69">
        <v>1621.1100000000001</v>
      </c>
    </row>
    <row r="382" spans="2:15" ht="15" thickBot="1" x14ac:dyDescent="0.35">
      <c r="B382" s="73" t="s">
        <v>95</v>
      </c>
      <c r="C382" s="72"/>
      <c r="D382" s="63"/>
      <c r="E382" s="71">
        <v>5569.9300000000185</v>
      </c>
      <c r="G382" s="73" t="s">
        <v>95</v>
      </c>
      <c r="H382" s="72"/>
      <c r="I382" s="63"/>
      <c r="J382" s="71">
        <v>8209.9300000000185</v>
      </c>
      <c r="L382" s="73" t="s">
        <v>95</v>
      </c>
      <c r="M382" s="72"/>
      <c r="N382" s="63"/>
      <c r="O382" s="71">
        <v>8268.8200000000215</v>
      </c>
    </row>
    <row r="383" spans="2:15" ht="15" thickTop="1" x14ac:dyDescent="0.3">
      <c r="B383" s="60" t="s">
        <v>101</v>
      </c>
      <c r="C383" s="2"/>
      <c r="D383" s="2"/>
      <c r="E383" s="232">
        <v>3288.5999999999995</v>
      </c>
      <c r="G383" s="60" t="s">
        <v>101</v>
      </c>
      <c r="H383" s="2"/>
      <c r="I383" s="2"/>
      <c r="J383" s="232">
        <v>3474.5999999999995</v>
      </c>
      <c r="L383" s="60" t="s">
        <v>101</v>
      </c>
      <c r="M383" s="2"/>
      <c r="N383" s="2"/>
      <c r="O383" s="232">
        <v>3797.5999999999995</v>
      </c>
    </row>
    <row r="384" spans="2:15" x14ac:dyDescent="0.3">
      <c r="B384" s="60" t="s">
        <v>105</v>
      </c>
      <c r="C384" s="2"/>
      <c r="D384" s="2"/>
      <c r="E384" s="69">
        <v>211</v>
      </c>
      <c r="G384" s="60" t="s">
        <v>105</v>
      </c>
      <c r="H384" s="2"/>
      <c r="I384" s="2"/>
      <c r="J384" s="69">
        <v>170</v>
      </c>
      <c r="L384" s="60" t="s">
        <v>105</v>
      </c>
      <c r="M384" s="2"/>
      <c r="N384" s="2"/>
      <c r="O384" s="69">
        <v>237</v>
      </c>
    </row>
    <row r="385" spans="2:15" ht="15" thickBot="1" x14ac:dyDescent="0.35">
      <c r="B385" s="73" t="s">
        <v>97</v>
      </c>
      <c r="C385" s="63"/>
      <c r="D385" s="63"/>
      <c r="E385" s="71">
        <v>1091.0000000000009</v>
      </c>
      <c r="G385" s="73" t="s">
        <v>97</v>
      </c>
      <c r="H385" s="63"/>
      <c r="I385" s="63"/>
      <c r="J385" s="71">
        <v>1827.0000000000009</v>
      </c>
      <c r="L385" s="73" t="s">
        <v>97</v>
      </c>
      <c r="M385" s="63"/>
      <c r="N385" s="63"/>
      <c r="O385" s="71">
        <v>1807.2000000000007</v>
      </c>
    </row>
    <row r="386" spans="2:15" ht="15.6" thickTop="1" thickBot="1" x14ac:dyDescent="0.35">
      <c r="B386" s="61" t="s">
        <v>227</v>
      </c>
      <c r="C386" s="126"/>
      <c r="D386" s="62"/>
      <c r="E386" s="230"/>
      <c r="G386" s="61" t="s">
        <v>227</v>
      </c>
      <c r="H386" s="126"/>
      <c r="I386" s="62"/>
      <c r="J386" s="230"/>
      <c r="L386" s="61" t="s">
        <v>227</v>
      </c>
      <c r="M386" s="126"/>
      <c r="N386" s="62"/>
      <c r="O386" s="230"/>
    </row>
    <row r="387" spans="2:15" ht="15" thickTop="1" x14ac:dyDescent="0.3">
      <c r="B387" s="60" t="s">
        <v>294</v>
      </c>
      <c r="C387" s="118"/>
      <c r="D387" s="2"/>
      <c r="E387" s="70">
        <v>200.69999999999996</v>
      </c>
      <c r="G387" s="60" t="s">
        <v>294</v>
      </c>
      <c r="H387" s="118"/>
      <c r="I387" s="2"/>
      <c r="J387" s="70">
        <v>210.69999999999996</v>
      </c>
      <c r="L387" s="60" t="s">
        <v>294</v>
      </c>
      <c r="M387" s="118"/>
      <c r="N387" s="2"/>
      <c r="O387" s="70">
        <v>220.69999999999996</v>
      </c>
    </row>
    <row r="388" spans="2:15" x14ac:dyDescent="0.3">
      <c r="B388" s="60" t="s">
        <v>415</v>
      </c>
      <c r="C388" s="127"/>
      <c r="D388" s="128"/>
      <c r="E388" s="68">
        <v>1728.31</v>
      </c>
      <c r="G388" s="60" t="s">
        <v>415</v>
      </c>
      <c r="H388" s="127"/>
      <c r="I388" s="128"/>
      <c r="J388" s="68">
        <v>1728.31</v>
      </c>
      <c r="L388" s="60" t="s">
        <v>415</v>
      </c>
      <c r="M388" s="127"/>
      <c r="N388" s="128"/>
      <c r="O388" s="68">
        <v>1755.01</v>
      </c>
    </row>
    <row r="389" spans="2:15" x14ac:dyDescent="0.3">
      <c r="B389" s="60" t="s">
        <v>247</v>
      </c>
      <c r="C389" s="127"/>
      <c r="D389" s="128"/>
      <c r="E389" s="68">
        <v>210</v>
      </c>
      <c r="G389" s="60" t="s">
        <v>247</v>
      </c>
      <c r="H389" s="127"/>
      <c r="I389" s="128"/>
      <c r="J389" s="68">
        <v>226</v>
      </c>
      <c r="L389" s="60" t="s">
        <v>247</v>
      </c>
      <c r="M389" s="127"/>
      <c r="N389" s="128"/>
      <c r="O389" s="68">
        <v>322</v>
      </c>
    </row>
    <row r="390" spans="2:15" x14ac:dyDescent="0.3">
      <c r="B390" s="60" t="s">
        <v>93</v>
      </c>
      <c r="C390" s="2"/>
      <c r="D390" s="2"/>
      <c r="E390" s="67">
        <v>6400</v>
      </c>
      <c r="G390" s="60" t="s">
        <v>93</v>
      </c>
      <c r="H390" s="2"/>
      <c r="I390" s="2"/>
      <c r="J390" s="67">
        <v>6560</v>
      </c>
      <c r="L390" s="60" t="s">
        <v>93</v>
      </c>
      <c r="M390" s="2"/>
      <c r="N390" s="2"/>
      <c r="O390" s="67">
        <v>6880</v>
      </c>
    </row>
    <row r="391" spans="2:15" x14ac:dyDescent="0.3">
      <c r="B391" s="60" t="s">
        <v>99</v>
      </c>
      <c r="C391" s="2"/>
      <c r="D391" s="2"/>
      <c r="E391" s="66">
        <v>400</v>
      </c>
      <c r="G391" s="60" t="s">
        <v>99</v>
      </c>
      <c r="H391" s="2"/>
      <c r="I391" s="2"/>
      <c r="J391" s="66">
        <v>410</v>
      </c>
      <c r="L391" s="60" t="s">
        <v>99</v>
      </c>
      <c r="M391" s="2"/>
      <c r="N391" s="2"/>
      <c r="O391" s="66">
        <v>430</v>
      </c>
    </row>
    <row r="392" spans="2:15" x14ac:dyDescent="0.3">
      <c r="B392" s="60" t="s">
        <v>354</v>
      </c>
      <c r="C392" s="2"/>
      <c r="D392" s="2"/>
      <c r="E392" s="67">
        <v>2641.9900000000002</v>
      </c>
      <c r="G392" s="60" t="s">
        <v>354</v>
      </c>
      <c r="H392" s="2"/>
      <c r="I392" s="2"/>
      <c r="J392" s="67">
        <v>3557.9900000000002</v>
      </c>
      <c r="L392" s="60" t="s">
        <v>354</v>
      </c>
      <c r="M392" s="2"/>
      <c r="N392" s="2"/>
      <c r="O392" s="67">
        <v>3748.49</v>
      </c>
    </row>
    <row r="393" spans="2:15" ht="15" thickBot="1" x14ac:dyDescent="0.35">
      <c r="B393" s="60" t="s">
        <v>96</v>
      </c>
      <c r="C393" s="2"/>
      <c r="D393" s="129"/>
      <c r="E393" s="179">
        <v>2381.06</v>
      </c>
      <c r="G393" s="60" t="s">
        <v>96</v>
      </c>
      <c r="H393" s="2"/>
      <c r="I393" s="129"/>
      <c r="J393" s="179">
        <v>81.06</v>
      </c>
      <c r="L393" s="60" t="s">
        <v>96</v>
      </c>
      <c r="M393" s="2"/>
      <c r="N393" s="129"/>
      <c r="O393" s="179">
        <v>552.47</v>
      </c>
    </row>
    <row r="394" spans="2:15" ht="15.6" thickTop="1" thickBot="1" x14ac:dyDescent="0.35">
      <c r="B394" s="64" t="s">
        <v>94</v>
      </c>
      <c r="C394" s="65"/>
      <c r="D394" s="131"/>
      <c r="E394" s="132">
        <v>9041.99</v>
      </c>
      <c r="G394" s="64" t="s">
        <v>94</v>
      </c>
      <c r="H394" s="65"/>
      <c r="I394" s="131"/>
      <c r="J394" s="132">
        <v>10117.99</v>
      </c>
      <c r="L394" s="64" t="s">
        <v>94</v>
      </c>
      <c r="M394" s="65"/>
      <c r="N394" s="131"/>
      <c r="O394" s="132">
        <v>10628.49</v>
      </c>
    </row>
    <row r="395" spans="2:15" ht="15.6" thickTop="1" thickBot="1" x14ac:dyDescent="0.35">
      <c r="B395" s="64" t="s">
        <v>98</v>
      </c>
      <c r="C395" s="65"/>
      <c r="D395" s="131"/>
      <c r="E395" s="143">
        <v>9041.9900000000198</v>
      </c>
      <c r="G395" s="64" t="s">
        <v>98</v>
      </c>
      <c r="H395" s="65"/>
      <c r="I395" s="131"/>
      <c r="J395" s="143">
        <v>10117.990000000018</v>
      </c>
      <c r="L395" s="64" t="s">
        <v>98</v>
      </c>
      <c r="M395" s="65"/>
      <c r="N395" s="131"/>
      <c r="O395" s="143">
        <v>10628.490000000022</v>
      </c>
    </row>
    <row r="396" spans="2:15" ht="15.6" thickTop="1" thickBot="1" x14ac:dyDescent="0.35"/>
    <row r="397" spans="2:15" ht="15.6" thickTop="1" thickBot="1" x14ac:dyDescent="0.35">
      <c r="B397" s="378" t="s">
        <v>92</v>
      </c>
      <c r="C397" s="379"/>
      <c r="D397" s="180" t="s">
        <v>392</v>
      </c>
      <c r="E397" s="75">
        <v>46068</v>
      </c>
      <c r="G397" s="378" t="s">
        <v>92</v>
      </c>
      <c r="H397" s="379"/>
      <c r="I397" s="180" t="s">
        <v>392</v>
      </c>
      <c r="J397" s="75">
        <v>46096</v>
      </c>
    </row>
    <row r="398" spans="2:15" ht="15.6" thickTop="1" thickBot="1" x14ac:dyDescent="0.35">
      <c r="B398" s="380"/>
      <c r="C398" s="381"/>
      <c r="D398" s="180" t="s">
        <v>393</v>
      </c>
      <c r="E398" s="75">
        <v>44788</v>
      </c>
      <c r="G398" s="380"/>
      <c r="H398" s="381"/>
      <c r="I398" s="180" t="s">
        <v>393</v>
      </c>
      <c r="J398" s="75">
        <v>44788</v>
      </c>
    </row>
    <row r="399" spans="2:15" ht="15.6" thickTop="1" thickBot="1" x14ac:dyDescent="0.35">
      <c r="B399" s="382"/>
      <c r="C399" s="383"/>
      <c r="D399" s="180" t="s">
        <v>391</v>
      </c>
      <c r="E399" s="75">
        <v>46095</v>
      </c>
      <c r="G399" s="382"/>
      <c r="H399" s="383"/>
      <c r="I399" s="180" t="s">
        <v>391</v>
      </c>
      <c r="J399" s="75">
        <v>46126</v>
      </c>
    </row>
    <row r="400" spans="2:15" ht="15.6" thickTop="1" thickBot="1" x14ac:dyDescent="0.35">
      <c r="B400" s="60" t="s">
        <v>91</v>
      </c>
      <c r="C400" s="2"/>
      <c r="D400" s="2"/>
      <c r="E400" s="117">
        <v>7200</v>
      </c>
      <c r="G400" s="60" t="s">
        <v>91</v>
      </c>
      <c r="H400" s="2"/>
      <c r="I400" s="2"/>
      <c r="J400" s="117">
        <v>7520</v>
      </c>
    </row>
    <row r="401" spans="2:10" ht="15.6" thickTop="1" thickBot="1" x14ac:dyDescent="0.35">
      <c r="B401" s="61" t="s">
        <v>168</v>
      </c>
      <c r="C401" s="62"/>
      <c r="D401" s="62"/>
      <c r="E401" s="123"/>
      <c r="G401" s="61" t="s">
        <v>168</v>
      </c>
      <c r="H401" s="62"/>
      <c r="I401" s="62"/>
      <c r="J401" s="123"/>
    </row>
    <row r="402" spans="2:10" ht="15" thickTop="1" x14ac:dyDescent="0.3">
      <c r="B402" s="121" t="s">
        <v>224</v>
      </c>
      <c r="C402" s="2"/>
      <c r="D402" s="2"/>
      <c r="E402" s="116">
        <v>44710</v>
      </c>
      <c r="G402" s="121" t="s">
        <v>224</v>
      </c>
      <c r="H402" s="2"/>
      <c r="I402" s="2"/>
      <c r="J402" s="116">
        <v>44710</v>
      </c>
    </row>
    <row r="403" spans="2:10" x14ac:dyDescent="0.3">
      <c r="B403" s="122" t="s">
        <v>225</v>
      </c>
      <c r="C403" s="2"/>
      <c r="D403" s="2"/>
      <c r="E403" s="68">
        <v>460</v>
      </c>
      <c r="G403" s="122" t="s">
        <v>225</v>
      </c>
      <c r="H403" s="2"/>
      <c r="I403" s="2"/>
      <c r="J403" s="68">
        <v>460</v>
      </c>
    </row>
    <row r="404" spans="2:10" x14ac:dyDescent="0.3">
      <c r="B404" s="60" t="s">
        <v>102</v>
      </c>
      <c r="C404" s="2"/>
      <c r="D404" s="2"/>
      <c r="E404" s="69">
        <v>2850</v>
      </c>
      <c r="G404" s="60" t="s">
        <v>102</v>
      </c>
      <c r="H404" s="2"/>
      <c r="I404" s="2"/>
      <c r="J404" s="69">
        <v>0</v>
      </c>
    </row>
    <row r="405" spans="2:10" x14ac:dyDescent="0.3">
      <c r="B405" s="122" t="s">
        <v>226</v>
      </c>
      <c r="C405" s="2"/>
      <c r="D405" s="2"/>
      <c r="E405" s="124">
        <v>6113.8</v>
      </c>
      <c r="G405" s="122" t="s">
        <v>226</v>
      </c>
      <c r="H405" s="2"/>
      <c r="I405" s="2"/>
      <c r="J405" s="124">
        <v>6113.8</v>
      </c>
    </row>
    <row r="406" spans="2:10" ht="15" thickBot="1" x14ac:dyDescent="0.35">
      <c r="B406" s="60" t="s">
        <v>104</v>
      </c>
      <c r="C406" s="2"/>
      <c r="D406" s="2"/>
      <c r="E406" s="69">
        <v>509</v>
      </c>
      <c r="G406" s="60" t="s">
        <v>104</v>
      </c>
      <c r="H406" s="2"/>
      <c r="I406" s="2"/>
      <c r="J406" s="69">
        <v>0</v>
      </c>
    </row>
    <row r="407" spans="2:10" ht="15.6" thickTop="1" thickBot="1" x14ac:dyDescent="0.35">
      <c r="B407" s="125" t="s">
        <v>39</v>
      </c>
      <c r="C407" s="62"/>
      <c r="D407" s="62"/>
      <c r="E407" s="123"/>
      <c r="G407" s="125" t="s">
        <v>39</v>
      </c>
      <c r="H407" s="62"/>
      <c r="I407" s="62"/>
      <c r="J407" s="123"/>
    </row>
    <row r="408" spans="2:10" ht="15" thickTop="1" x14ac:dyDescent="0.3">
      <c r="B408" s="60" t="s">
        <v>100</v>
      </c>
      <c r="C408" s="2"/>
      <c r="D408" s="2"/>
      <c r="E408" s="232">
        <v>36932.25999999998</v>
      </c>
      <c r="G408" s="60" t="s">
        <v>100</v>
      </c>
      <c r="H408" s="2"/>
      <c r="I408" s="2"/>
      <c r="J408" s="232">
        <v>37761.699999999983</v>
      </c>
    </row>
    <row r="409" spans="2:10" x14ac:dyDescent="0.3">
      <c r="B409" s="60" t="s">
        <v>103</v>
      </c>
      <c r="C409" s="2"/>
      <c r="D409" s="2"/>
      <c r="E409" s="69">
        <v>3341.08</v>
      </c>
      <c r="G409" s="60" t="s">
        <v>103</v>
      </c>
      <c r="H409" s="2"/>
      <c r="I409" s="2"/>
      <c r="J409" s="69">
        <v>829.43999999999994</v>
      </c>
    </row>
    <row r="410" spans="2:10" ht="15" thickBot="1" x14ac:dyDescent="0.35">
      <c r="B410" s="73" t="s">
        <v>95</v>
      </c>
      <c r="C410" s="72"/>
      <c r="D410" s="63"/>
      <c r="E410" s="71">
        <v>7777.7400000000198</v>
      </c>
      <c r="G410" s="73" t="s">
        <v>95</v>
      </c>
      <c r="H410" s="72"/>
      <c r="I410" s="63"/>
      <c r="J410" s="71">
        <v>6948.3000000000175</v>
      </c>
    </row>
    <row r="411" spans="2:10" ht="15" thickTop="1" x14ac:dyDescent="0.3">
      <c r="B411" s="60" t="s">
        <v>101</v>
      </c>
      <c r="C411" s="2"/>
      <c r="D411" s="2"/>
      <c r="E411" s="232">
        <v>4349.7999999999993</v>
      </c>
      <c r="G411" s="60" t="s">
        <v>101</v>
      </c>
      <c r="H411" s="2"/>
      <c r="I411" s="2"/>
      <c r="J411" s="232">
        <v>4527.7999999999993</v>
      </c>
    </row>
    <row r="412" spans="2:10" x14ac:dyDescent="0.3">
      <c r="B412" s="60" t="s">
        <v>105</v>
      </c>
      <c r="C412" s="2"/>
      <c r="D412" s="2"/>
      <c r="E412" s="69">
        <v>440.20000000000005</v>
      </c>
      <c r="G412" s="60" t="s">
        <v>105</v>
      </c>
      <c r="H412" s="2"/>
      <c r="I412" s="2"/>
      <c r="J412" s="69">
        <v>202</v>
      </c>
    </row>
    <row r="413" spans="2:10" ht="15" thickBot="1" x14ac:dyDescent="0.35">
      <c r="B413" s="73" t="s">
        <v>97</v>
      </c>
      <c r="C413" s="63"/>
      <c r="D413" s="63"/>
      <c r="E413" s="71">
        <v>1764.0000000000009</v>
      </c>
      <c r="G413" s="73" t="s">
        <v>97</v>
      </c>
      <c r="H413" s="63"/>
      <c r="I413" s="63"/>
      <c r="J413" s="71">
        <v>1586.0000000000009</v>
      </c>
    </row>
    <row r="414" spans="2:10" ht="15.6" thickTop="1" thickBot="1" x14ac:dyDescent="0.35">
      <c r="B414" s="61" t="s">
        <v>227</v>
      </c>
      <c r="C414" s="126"/>
      <c r="D414" s="62"/>
      <c r="E414" s="230"/>
      <c r="G414" s="61" t="s">
        <v>227</v>
      </c>
      <c r="H414" s="126"/>
      <c r="I414" s="62"/>
      <c r="J414" s="230"/>
    </row>
    <row r="415" spans="2:10" ht="15" thickTop="1" x14ac:dyDescent="0.3">
      <c r="B415" s="60" t="s">
        <v>294</v>
      </c>
      <c r="C415" s="118"/>
      <c r="D415" s="2"/>
      <c r="E415" s="70">
        <v>220.69999999999996</v>
      </c>
      <c r="G415" s="60" t="s">
        <v>294</v>
      </c>
      <c r="H415" s="118"/>
      <c r="I415" s="2"/>
      <c r="J415" s="70">
        <v>244.69999999999996</v>
      </c>
    </row>
    <row r="416" spans="2:10" x14ac:dyDescent="0.3">
      <c r="B416" s="60" t="s">
        <v>415</v>
      </c>
      <c r="C416" s="127"/>
      <c r="D416" s="128"/>
      <c r="E416" s="68">
        <v>1755.01</v>
      </c>
      <c r="G416" s="60" t="s">
        <v>415</v>
      </c>
      <c r="H416" s="127"/>
      <c r="I416" s="128"/>
      <c r="J416" s="68">
        <v>1755.01</v>
      </c>
    </row>
    <row r="417" spans="2:10" x14ac:dyDescent="0.3">
      <c r="B417" s="60" t="s">
        <v>247</v>
      </c>
      <c r="C417" s="127"/>
      <c r="D417" s="128"/>
      <c r="E417" s="68">
        <v>434</v>
      </c>
      <c r="G417" s="60" t="s">
        <v>247</v>
      </c>
      <c r="H417" s="127"/>
      <c r="I417" s="128"/>
      <c r="J417" s="68">
        <v>434</v>
      </c>
    </row>
    <row r="418" spans="2:10" x14ac:dyDescent="0.3">
      <c r="B418" s="60" t="s">
        <v>93</v>
      </c>
      <c r="C418" s="2"/>
      <c r="D418" s="2"/>
      <c r="E418" s="67">
        <v>7200</v>
      </c>
      <c r="G418" s="60" t="s">
        <v>93</v>
      </c>
      <c r="H418" s="2"/>
      <c r="I418" s="2"/>
      <c r="J418" s="67">
        <v>7520</v>
      </c>
    </row>
    <row r="419" spans="2:10" x14ac:dyDescent="0.3">
      <c r="B419" s="60" t="s">
        <v>99</v>
      </c>
      <c r="C419" s="2"/>
      <c r="D419" s="2"/>
      <c r="E419" s="66">
        <v>450</v>
      </c>
      <c r="G419" s="60" t="s">
        <v>99</v>
      </c>
      <c r="H419" s="2"/>
      <c r="I419" s="2"/>
      <c r="J419" s="66">
        <v>470</v>
      </c>
    </row>
    <row r="420" spans="2:10" x14ac:dyDescent="0.3">
      <c r="B420" s="60" t="s">
        <v>354</v>
      </c>
      <c r="C420" s="2"/>
      <c r="D420" s="2"/>
      <c r="E420" s="67">
        <v>4145.49</v>
      </c>
      <c r="G420" s="60" t="s">
        <v>354</v>
      </c>
      <c r="H420" s="2"/>
      <c r="I420" s="2"/>
      <c r="J420" s="67">
        <v>4169.49</v>
      </c>
    </row>
    <row r="421" spans="2:10" ht="15" thickBot="1" x14ac:dyDescent="0.35">
      <c r="B421" s="60" t="s">
        <v>96</v>
      </c>
      <c r="C421" s="2"/>
      <c r="D421" s="129"/>
      <c r="E421" s="179">
        <v>1803.75</v>
      </c>
      <c r="G421" s="60" t="s">
        <v>96</v>
      </c>
      <c r="H421" s="2"/>
      <c r="I421" s="129"/>
      <c r="J421" s="179">
        <v>3155.19</v>
      </c>
    </row>
    <row r="422" spans="2:10" ht="15.6" thickTop="1" thickBot="1" x14ac:dyDescent="0.35">
      <c r="B422" s="64" t="s">
        <v>94</v>
      </c>
      <c r="C422" s="65"/>
      <c r="D422" s="131"/>
      <c r="E422" s="132">
        <v>11345.49</v>
      </c>
      <c r="G422" s="64" t="s">
        <v>94</v>
      </c>
      <c r="H422" s="65"/>
      <c r="I422" s="131"/>
      <c r="J422" s="132">
        <v>11689.49</v>
      </c>
    </row>
    <row r="423" spans="2:10" ht="15.6" thickTop="1" thickBot="1" x14ac:dyDescent="0.35">
      <c r="B423" s="64" t="s">
        <v>98</v>
      </c>
      <c r="C423" s="65"/>
      <c r="D423" s="131"/>
      <c r="E423" s="143">
        <v>11345.49000000002</v>
      </c>
      <c r="G423" s="64" t="s">
        <v>98</v>
      </c>
      <c r="H423" s="65"/>
      <c r="I423" s="131"/>
      <c r="J423" s="143">
        <v>11689.490000000018</v>
      </c>
    </row>
    <row r="424" spans="2:10" ht="15" thickTop="1" x14ac:dyDescent="0.3"/>
    <row r="426" spans="2:10" x14ac:dyDescent="0.3">
      <c r="J426" s="12"/>
    </row>
  </sheetData>
  <mergeCells count="45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L32:M34"/>
    <mergeCell ref="B60:C62"/>
    <mergeCell ref="G60:H62"/>
    <mergeCell ref="L60:M62"/>
    <mergeCell ref="B88:C90"/>
    <mergeCell ref="G88:H90"/>
    <mergeCell ref="L88:M90"/>
    <mergeCell ref="G397:H399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4" t="s">
        <v>295</v>
      </c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</row>
    <row r="3" spans="2:17" x14ac:dyDescent="0.3">
      <c r="B3" s="404"/>
      <c r="C3" s="404"/>
      <c r="D3" s="404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Q3" s="24"/>
    </row>
    <row r="4" spans="2:17" x14ac:dyDescent="0.3">
      <c r="B4" s="404"/>
      <c r="C4" s="404"/>
      <c r="D4" s="404"/>
      <c r="E4" s="404"/>
      <c r="F4" s="404"/>
      <c r="G4" s="404"/>
      <c r="H4" s="404"/>
      <c r="I4" s="404"/>
      <c r="J4" s="404"/>
      <c r="K4" s="404"/>
      <c r="L4" s="404"/>
      <c r="M4" s="404"/>
      <c r="N4" s="404"/>
      <c r="O4" s="404"/>
      <c r="Q4" s="24"/>
    </row>
    <row r="5" spans="2:17" ht="15" thickBot="1" x14ac:dyDescent="0.35">
      <c r="Q5" s="24"/>
    </row>
    <row r="6" spans="2:17" ht="15.6" thickTop="1" thickBot="1" x14ac:dyDescent="0.35">
      <c r="B6" s="378" t="s">
        <v>92</v>
      </c>
      <c r="C6" s="405"/>
      <c r="D6" s="379"/>
      <c r="E6" s="75">
        <v>44788</v>
      </c>
      <c r="G6" s="378" t="s">
        <v>92</v>
      </c>
      <c r="H6" s="405"/>
      <c r="I6" s="379"/>
      <c r="J6" s="75">
        <v>44788</v>
      </c>
      <c r="L6" s="378" t="s">
        <v>92</v>
      </c>
      <c r="M6" s="405"/>
      <c r="N6" s="379"/>
      <c r="O6" s="75">
        <v>44788</v>
      </c>
      <c r="Q6" s="24"/>
    </row>
    <row r="7" spans="2:17" ht="15.6" thickTop="1" thickBot="1" x14ac:dyDescent="0.35">
      <c r="B7" s="382"/>
      <c r="C7" s="406"/>
      <c r="D7" s="383"/>
      <c r="E7" s="75">
        <v>44788</v>
      </c>
      <c r="G7" s="382"/>
      <c r="H7" s="406"/>
      <c r="I7" s="383"/>
      <c r="J7" s="75">
        <v>44819</v>
      </c>
      <c r="L7" s="382"/>
      <c r="M7" s="406"/>
      <c r="N7" s="383"/>
      <c r="O7" s="75">
        <v>44849</v>
      </c>
      <c r="Q7" s="24"/>
    </row>
    <row r="8" spans="2:17" ht="15.6" thickTop="1" thickBot="1" x14ac:dyDescent="0.35">
      <c r="B8" s="60" t="s">
        <v>91</v>
      </c>
      <c r="C8" s="2"/>
      <c r="D8" s="2"/>
      <c r="E8" s="117">
        <v>130</v>
      </c>
      <c r="G8" s="60" t="s">
        <v>91</v>
      </c>
      <c r="H8" s="2"/>
      <c r="I8" s="2"/>
      <c r="J8" s="117">
        <v>260</v>
      </c>
      <c r="L8" s="60" t="s">
        <v>91</v>
      </c>
      <c r="M8" s="2"/>
      <c r="N8" s="2"/>
      <c r="O8" s="117">
        <v>390</v>
      </c>
      <c r="Q8" s="24"/>
    </row>
    <row r="9" spans="2:17" ht="15.6" thickTop="1" thickBot="1" x14ac:dyDescent="0.35">
      <c r="B9" s="61" t="s">
        <v>168</v>
      </c>
      <c r="C9" s="62"/>
      <c r="D9" s="62"/>
      <c r="E9" s="123"/>
      <c r="G9" s="61" t="s">
        <v>168</v>
      </c>
      <c r="H9" s="62"/>
      <c r="I9" s="62"/>
      <c r="J9" s="123"/>
      <c r="L9" s="61" t="s">
        <v>168</v>
      </c>
      <c r="M9" s="62"/>
      <c r="N9" s="62"/>
      <c r="O9" s="123"/>
      <c r="Q9" s="24"/>
    </row>
    <row r="10" spans="2:17" ht="15" thickTop="1" x14ac:dyDescent="0.3">
      <c r="B10" s="121" t="s">
        <v>224</v>
      </c>
      <c r="C10" s="2"/>
      <c r="D10" s="2"/>
      <c r="E10" s="116">
        <v>0</v>
      </c>
      <c r="G10" s="121" t="s">
        <v>224</v>
      </c>
      <c r="H10" s="2"/>
      <c r="I10" s="2"/>
      <c r="J10" s="116">
        <v>160</v>
      </c>
      <c r="L10" s="121" t="s">
        <v>224</v>
      </c>
      <c r="M10" s="2"/>
      <c r="N10" s="2"/>
      <c r="O10" s="116">
        <v>360</v>
      </c>
      <c r="Q10" s="24"/>
    </row>
    <row r="11" spans="2:17" x14ac:dyDescent="0.3">
      <c r="B11" s="122" t="s">
        <v>225</v>
      </c>
      <c r="C11" s="2"/>
      <c r="D11" s="2"/>
      <c r="E11" s="68">
        <v>0</v>
      </c>
      <c r="G11" s="122" t="s">
        <v>225</v>
      </c>
      <c r="H11" s="2"/>
      <c r="I11" s="2"/>
      <c r="J11" s="68">
        <v>100</v>
      </c>
      <c r="L11" s="122" t="s">
        <v>225</v>
      </c>
      <c r="M11" s="2"/>
      <c r="N11" s="2"/>
      <c r="O11" s="68">
        <v>100</v>
      </c>
    </row>
    <row r="12" spans="2:17" x14ac:dyDescent="0.3">
      <c r="B12" s="60" t="s">
        <v>102</v>
      </c>
      <c r="C12" s="2"/>
      <c r="D12" s="2"/>
      <c r="E12" s="69">
        <v>0</v>
      </c>
      <c r="G12" s="60" t="s">
        <v>102</v>
      </c>
      <c r="H12" s="2"/>
      <c r="I12" s="2"/>
      <c r="J12" s="69">
        <v>160</v>
      </c>
      <c r="L12" s="60" t="s">
        <v>102</v>
      </c>
      <c r="M12" s="2"/>
      <c r="N12" s="2"/>
      <c r="O12" s="69">
        <v>200</v>
      </c>
    </row>
    <row r="13" spans="2:17" x14ac:dyDescent="0.3">
      <c r="B13" s="122" t="s">
        <v>226</v>
      </c>
      <c r="C13" s="2"/>
      <c r="D13" s="2"/>
      <c r="E13" s="124">
        <v>0</v>
      </c>
      <c r="G13" s="122" t="s">
        <v>226</v>
      </c>
      <c r="H13" s="2"/>
      <c r="I13" s="2"/>
      <c r="J13" s="124">
        <v>6.4</v>
      </c>
      <c r="L13" s="122" t="s">
        <v>226</v>
      </c>
      <c r="M13" s="2"/>
      <c r="N13" s="2"/>
      <c r="O13" s="124">
        <v>10.4</v>
      </c>
    </row>
    <row r="14" spans="2:17" ht="15" thickBot="1" x14ac:dyDescent="0.35">
      <c r="B14" s="60" t="s">
        <v>104</v>
      </c>
      <c r="C14" s="2"/>
      <c r="D14" s="2"/>
      <c r="E14" s="69">
        <v>0</v>
      </c>
      <c r="G14" s="60" t="s">
        <v>104</v>
      </c>
      <c r="H14" s="2"/>
      <c r="I14" s="2"/>
      <c r="J14" s="69">
        <v>6.4</v>
      </c>
      <c r="L14" s="60" t="s">
        <v>104</v>
      </c>
      <c r="M14" s="2"/>
      <c r="N14" s="2"/>
      <c r="O14" s="69">
        <v>4</v>
      </c>
    </row>
    <row r="15" spans="2:17" ht="15.6" thickTop="1" thickBot="1" x14ac:dyDescent="0.35">
      <c r="B15" s="125" t="s">
        <v>39</v>
      </c>
      <c r="C15" s="62"/>
      <c r="D15" s="62"/>
      <c r="E15" s="123"/>
      <c r="G15" s="125" t="s">
        <v>39</v>
      </c>
      <c r="H15" s="62"/>
      <c r="I15" s="62"/>
      <c r="J15" s="123"/>
      <c r="L15" s="125" t="s">
        <v>39</v>
      </c>
      <c r="M15" s="62"/>
      <c r="N15" s="62"/>
      <c r="O15" s="123"/>
    </row>
    <row r="16" spans="2:17" ht="15" thickTop="1" x14ac:dyDescent="0.3">
      <c r="B16" s="60" t="s">
        <v>100</v>
      </c>
      <c r="C16" s="2"/>
      <c r="D16" s="2"/>
      <c r="E16" s="68">
        <v>0</v>
      </c>
      <c r="G16" s="60" t="s">
        <v>100</v>
      </c>
      <c r="H16" s="2"/>
      <c r="I16" s="2"/>
      <c r="J16" s="68">
        <v>0</v>
      </c>
      <c r="L16" s="60" t="s">
        <v>100</v>
      </c>
      <c r="M16" s="2"/>
      <c r="N16" s="2"/>
      <c r="O16" s="68">
        <v>160</v>
      </c>
    </row>
    <row r="17" spans="2:15" x14ac:dyDescent="0.3">
      <c r="B17" s="60" t="s">
        <v>103</v>
      </c>
      <c r="C17" s="2"/>
      <c r="D17" s="2"/>
      <c r="E17" s="69">
        <v>0</v>
      </c>
      <c r="G17" s="60" t="s">
        <v>103</v>
      </c>
      <c r="H17" s="2"/>
      <c r="I17" s="2"/>
      <c r="J17" s="69">
        <v>0</v>
      </c>
      <c r="L17" s="60" t="s">
        <v>103</v>
      </c>
      <c r="M17" s="2"/>
      <c r="N17" s="2"/>
      <c r="O17" s="69">
        <v>160</v>
      </c>
    </row>
    <row r="18" spans="2:15" ht="15" thickBot="1" x14ac:dyDescent="0.35">
      <c r="B18" s="73" t="s">
        <v>95</v>
      </c>
      <c r="C18" s="72"/>
      <c r="D18" s="63"/>
      <c r="E18" s="71">
        <v>0</v>
      </c>
      <c r="G18" s="73" t="s">
        <v>95</v>
      </c>
      <c r="H18" s="72"/>
      <c r="I18" s="63"/>
      <c r="J18" s="71">
        <v>160</v>
      </c>
      <c r="L18" s="73" t="s">
        <v>95</v>
      </c>
      <c r="M18" s="72"/>
      <c r="N18" s="63"/>
      <c r="O18" s="71">
        <v>200</v>
      </c>
    </row>
    <row r="19" spans="2:15" ht="15" thickTop="1" x14ac:dyDescent="0.3">
      <c r="B19" s="60" t="s">
        <v>101</v>
      </c>
      <c r="C19" s="2"/>
      <c r="D19" s="2"/>
      <c r="E19" s="68">
        <v>0</v>
      </c>
      <c r="G19" s="60" t="s">
        <v>101</v>
      </c>
      <c r="H19" s="2"/>
      <c r="I19" s="2"/>
      <c r="J19" s="68">
        <v>0</v>
      </c>
      <c r="L19" s="60" t="s">
        <v>101</v>
      </c>
      <c r="M19" s="2"/>
      <c r="N19" s="2"/>
      <c r="O19" s="68">
        <v>6.4</v>
      </c>
    </row>
    <row r="20" spans="2:15" x14ac:dyDescent="0.3">
      <c r="B20" s="60" t="s">
        <v>105</v>
      </c>
      <c r="C20" s="2"/>
      <c r="D20" s="2"/>
      <c r="E20" s="69">
        <v>0</v>
      </c>
      <c r="G20" s="60" t="s">
        <v>105</v>
      </c>
      <c r="H20" s="2"/>
      <c r="I20" s="2"/>
      <c r="J20" s="69">
        <v>0</v>
      </c>
      <c r="L20" s="60" t="s">
        <v>105</v>
      </c>
      <c r="M20" s="2"/>
      <c r="N20" s="2"/>
      <c r="O20" s="69">
        <v>6.4</v>
      </c>
    </row>
    <row r="21" spans="2:15" ht="15" thickBot="1" x14ac:dyDescent="0.35">
      <c r="B21" s="73" t="s">
        <v>97</v>
      </c>
      <c r="C21" s="63"/>
      <c r="D21" s="63"/>
      <c r="E21" s="71">
        <v>0</v>
      </c>
      <c r="G21" s="73" t="s">
        <v>97</v>
      </c>
      <c r="H21" s="63"/>
      <c r="I21" s="63"/>
      <c r="J21" s="71">
        <v>6.4</v>
      </c>
      <c r="L21" s="73" t="s">
        <v>97</v>
      </c>
      <c r="M21" s="63"/>
      <c r="N21" s="63"/>
      <c r="O21" s="71">
        <v>4</v>
      </c>
    </row>
    <row r="22" spans="2:15" ht="15.6" thickTop="1" thickBot="1" x14ac:dyDescent="0.35">
      <c r="B22" s="61" t="s">
        <v>227</v>
      </c>
      <c r="C22" s="126"/>
      <c r="D22" s="62"/>
      <c r="E22" s="130"/>
      <c r="G22" s="61" t="s">
        <v>227</v>
      </c>
      <c r="H22" s="126"/>
      <c r="I22" s="62"/>
      <c r="J22" s="130"/>
      <c r="L22" s="61" t="s">
        <v>227</v>
      </c>
      <c r="M22" s="126"/>
      <c r="N22" s="62"/>
      <c r="O22" s="130"/>
    </row>
    <row r="23" spans="2:15" ht="15" thickTop="1" x14ac:dyDescent="0.3">
      <c r="B23" s="60" t="s">
        <v>228</v>
      </c>
      <c r="C23" s="118"/>
      <c r="D23" s="2"/>
      <c r="E23" s="70">
        <v>0</v>
      </c>
      <c r="G23" s="60" t="s">
        <v>228</v>
      </c>
      <c r="H23" s="118"/>
      <c r="I23" s="2"/>
      <c r="J23" s="70">
        <v>0</v>
      </c>
      <c r="L23" s="60" t="s">
        <v>228</v>
      </c>
      <c r="M23" s="118"/>
      <c r="N23" s="2"/>
      <c r="O23" s="70">
        <v>0</v>
      </c>
    </row>
    <row r="24" spans="2:15" x14ac:dyDescent="0.3">
      <c r="B24" s="60" t="s">
        <v>248</v>
      </c>
      <c r="C24" s="127"/>
      <c r="D24" s="128"/>
      <c r="E24" s="68">
        <v>0</v>
      </c>
      <c r="G24" s="60" t="s">
        <v>248</v>
      </c>
      <c r="H24" s="127"/>
      <c r="I24" s="128"/>
      <c r="J24" s="68">
        <v>0</v>
      </c>
      <c r="L24" s="60" t="s">
        <v>248</v>
      </c>
      <c r="M24" s="127"/>
      <c r="N24" s="128"/>
      <c r="O24" s="68">
        <v>0</v>
      </c>
    </row>
    <row r="25" spans="2:15" x14ac:dyDescent="0.3">
      <c r="B25" s="60" t="s">
        <v>247</v>
      </c>
      <c r="C25" s="127"/>
      <c r="D25" s="128"/>
      <c r="E25" s="68">
        <v>0</v>
      </c>
      <c r="G25" s="60" t="s">
        <v>247</v>
      </c>
      <c r="H25" s="127"/>
      <c r="I25" s="128"/>
      <c r="J25" s="68">
        <v>0</v>
      </c>
      <c r="L25" s="60" t="s">
        <v>247</v>
      </c>
      <c r="M25" s="127"/>
      <c r="N25" s="128"/>
      <c r="O25" s="68">
        <v>0</v>
      </c>
    </row>
    <row r="26" spans="2:15" x14ac:dyDescent="0.3">
      <c r="B26" s="60" t="s">
        <v>93</v>
      </c>
      <c r="C26" s="2"/>
      <c r="D26" s="2"/>
      <c r="E26" s="67">
        <v>130</v>
      </c>
      <c r="G26" s="60" t="s">
        <v>93</v>
      </c>
      <c r="H26" s="2"/>
      <c r="I26" s="2"/>
      <c r="J26" s="67">
        <v>160</v>
      </c>
      <c r="L26" s="60" t="s">
        <v>93</v>
      </c>
      <c r="M26" s="2"/>
      <c r="N26" s="2"/>
      <c r="O26" s="67">
        <v>290</v>
      </c>
    </row>
    <row r="27" spans="2:15" x14ac:dyDescent="0.3">
      <c r="B27" s="60" t="s">
        <v>99</v>
      </c>
      <c r="C27" s="2"/>
      <c r="D27" s="2"/>
      <c r="E27" s="66">
        <v>10</v>
      </c>
      <c r="G27" s="60" t="s">
        <v>99</v>
      </c>
      <c r="H27" s="2"/>
      <c r="I27" s="2"/>
      <c r="J27" s="66">
        <v>12.307692307692308</v>
      </c>
      <c r="L27" s="60" t="s">
        <v>99</v>
      </c>
      <c r="M27" s="2"/>
      <c r="N27" s="2"/>
      <c r="O27" s="66">
        <v>22.307692307692307</v>
      </c>
    </row>
    <row r="28" spans="2:15" x14ac:dyDescent="0.3">
      <c r="B28" s="60" t="s">
        <v>235</v>
      </c>
      <c r="C28" s="2"/>
      <c r="D28" s="2"/>
      <c r="E28" s="67">
        <v>0</v>
      </c>
      <c r="G28" s="60" t="s">
        <v>235</v>
      </c>
      <c r="H28" s="2"/>
      <c r="I28" s="2"/>
      <c r="J28" s="67">
        <v>6.4</v>
      </c>
      <c r="L28" s="60" t="s">
        <v>235</v>
      </c>
      <c r="M28" s="2"/>
      <c r="N28" s="2"/>
      <c r="O28" s="67">
        <v>10.4</v>
      </c>
    </row>
    <row r="29" spans="2:15" ht="15" thickBot="1" x14ac:dyDescent="0.35">
      <c r="B29" s="60" t="s">
        <v>96</v>
      </c>
      <c r="C29" s="2"/>
      <c r="D29" s="129"/>
      <c r="E29" s="134">
        <v>0</v>
      </c>
      <c r="G29" s="60" t="s">
        <v>96</v>
      </c>
      <c r="H29" s="2"/>
      <c r="I29" s="129"/>
      <c r="J29" s="134">
        <v>0</v>
      </c>
      <c r="L29" s="60" t="s">
        <v>96</v>
      </c>
      <c r="M29" s="2"/>
      <c r="N29" s="129"/>
      <c r="O29" s="134">
        <v>0</v>
      </c>
    </row>
    <row r="30" spans="2:15" ht="15.6" thickTop="1" thickBot="1" x14ac:dyDescent="0.35">
      <c r="B30" s="64" t="s">
        <v>94</v>
      </c>
      <c r="C30" s="65"/>
      <c r="D30" s="131"/>
      <c r="E30" s="132">
        <v>130</v>
      </c>
      <c r="G30" s="64" t="s">
        <v>94</v>
      </c>
      <c r="H30" s="65"/>
      <c r="I30" s="131"/>
      <c r="J30" s="132">
        <v>166.4</v>
      </c>
      <c r="L30" s="64" t="s">
        <v>94</v>
      </c>
      <c r="M30" s="65"/>
      <c r="N30" s="131"/>
      <c r="O30" s="132">
        <v>300.39999999999998</v>
      </c>
    </row>
    <row r="31" spans="2:15" ht="15.6" thickTop="1" thickBot="1" x14ac:dyDescent="0.35">
      <c r="B31" s="64" t="s">
        <v>98</v>
      </c>
      <c r="C31" s="65"/>
      <c r="D31" s="131"/>
      <c r="E31" s="143">
        <v>0</v>
      </c>
      <c r="G31" s="64" t="s">
        <v>98</v>
      </c>
      <c r="H31" s="65"/>
      <c r="I31" s="131"/>
      <c r="J31" s="143">
        <v>166.4</v>
      </c>
      <c r="L31" s="64" t="s">
        <v>98</v>
      </c>
      <c r="M31" s="65"/>
      <c r="N31" s="131"/>
      <c r="O31" s="143">
        <v>204</v>
      </c>
    </row>
    <row r="32" spans="2:15" ht="15.6" thickTop="1" thickBot="1" x14ac:dyDescent="0.35"/>
    <row r="33" spans="2:15" ht="15.6" thickTop="1" thickBot="1" x14ac:dyDescent="0.35">
      <c r="B33" s="378" t="s">
        <v>92</v>
      </c>
      <c r="C33" s="405"/>
      <c r="D33" s="379"/>
      <c r="E33" s="75">
        <v>44788</v>
      </c>
      <c r="G33" s="378" t="s">
        <v>92</v>
      </c>
      <c r="H33" s="405"/>
      <c r="I33" s="379"/>
      <c r="J33" s="75">
        <v>44788</v>
      </c>
      <c r="L33" s="378" t="s">
        <v>92</v>
      </c>
      <c r="M33" s="405"/>
      <c r="N33" s="379"/>
      <c r="O33" s="75">
        <v>44788</v>
      </c>
    </row>
    <row r="34" spans="2:15" ht="15.6" thickTop="1" thickBot="1" x14ac:dyDescent="0.35">
      <c r="B34" s="382"/>
      <c r="C34" s="406"/>
      <c r="D34" s="383"/>
      <c r="E34" s="75">
        <v>44880</v>
      </c>
      <c r="G34" s="382"/>
      <c r="H34" s="406"/>
      <c r="I34" s="383"/>
      <c r="J34" s="75">
        <v>44910</v>
      </c>
      <c r="L34" s="382"/>
      <c r="M34" s="406"/>
      <c r="N34" s="383"/>
      <c r="O34" s="75">
        <v>44941</v>
      </c>
    </row>
    <row r="35" spans="2:15" ht="15.6" thickTop="1" thickBot="1" x14ac:dyDescent="0.35">
      <c r="B35" s="60" t="s">
        <v>91</v>
      </c>
      <c r="C35" s="2"/>
      <c r="D35" s="2"/>
      <c r="E35" s="117">
        <v>520</v>
      </c>
      <c r="G35" s="60" t="s">
        <v>91</v>
      </c>
      <c r="H35" s="2"/>
      <c r="I35" s="2"/>
      <c r="J35" s="117">
        <v>650</v>
      </c>
      <c r="L35" s="60" t="s">
        <v>91</v>
      </c>
      <c r="M35" s="2"/>
      <c r="N35" s="2"/>
      <c r="O35" s="117">
        <v>780</v>
      </c>
    </row>
    <row r="36" spans="2:15" ht="15.6" thickTop="1" thickBot="1" x14ac:dyDescent="0.35">
      <c r="B36" s="61" t="s">
        <v>168</v>
      </c>
      <c r="C36" s="62"/>
      <c r="D36" s="62"/>
      <c r="E36" s="123"/>
      <c r="G36" s="61" t="s">
        <v>168</v>
      </c>
      <c r="H36" s="62"/>
      <c r="I36" s="62"/>
      <c r="J36" s="123"/>
      <c r="L36" s="61" t="s">
        <v>168</v>
      </c>
      <c r="M36" s="62"/>
      <c r="N36" s="62"/>
      <c r="O36" s="123"/>
    </row>
    <row r="37" spans="2:15" ht="15" thickTop="1" x14ac:dyDescent="0.3">
      <c r="B37" s="121" t="s">
        <v>224</v>
      </c>
      <c r="C37" s="2"/>
      <c r="D37" s="2"/>
      <c r="E37" s="116">
        <v>760</v>
      </c>
      <c r="G37" s="121" t="s">
        <v>224</v>
      </c>
      <c r="H37" s="2"/>
      <c r="I37" s="2"/>
      <c r="J37" s="116">
        <v>1130</v>
      </c>
      <c r="L37" s="121" t="s">
        <v>224</v>
      </c>
      <c r="M37" s="2"/>
      <c r="N37" s="2"/>
      <c r="O37" s="116">
        <v>1480</v>
      </c>
    </row>
    <row r="38" spans="2:15" x14ac:dyDescent="0.3">
      <c r="B38" s="122" t="s">
        <v>225</v>
      </c>
      <c r="C38" s="2"/>
      <c r="D38" s="2"/>
      <c r="E38" s="68">
        <v>100</v>
      </c>
      <c r="G38" s="122" t="s">
        <v>225</v>
      </c>
      <c r="H38" s="2"/>
      <c r="I38" s="2"/>
      <c r="J38" s="68">
        <v>100</v>
      </c>
      <c r="L38" s="122" t="s">
        <v>225</v>
      </c>
      <c r="M38" s="2"/>
      <c r="N38" s="2"/>
      <c r="O38" s="68">
        <v>100</v>
      </c>
    </row>
    <row r="39" spans="2:15" x14ac:dyDescent="0.3">
      <c r="B39" s="60" t="s">
        <v>102</v>
      </c>
      <c r="C39" s="2"/>
      <c r="D39" s="2"/>
      <c r="E39" s="69">
        <v>400</v>
      </c>
      <c r="G39" s="60" t="s">
        <v>102</v>
      </c>
      <c r="H39" s="2"/>
      <c r="I39" s="2"/>
      <c r="J39" s="69">
        <v>370</v>
      </c>
      <c r="L39" s="60" t="s">
        <v>102</v>
      </c>
      <c r="M39" s="2"/>
      <c r="N39" s="2"/>
      <c r="O39" s="69">
        <v>720</v>
      </c>
    </row>
    <row r="40" spans="2:15" x14ac:dyDescent="0.3">
      <c r="B40" s="122" t="s">
        <v>226</v>
      </c>
      <c r="C40" s="2"/>
      <c r="D40" s="2"/>
      <c r="E40" s="124">
        <v>22.4</v>
      </c>
      <c r="G40" s="122" t="s">
        <v>226</v>
      </c>
      <c r="H40" s="2"/>
      <c r="I40" s="2"/>
      <c r="J40" s="124">
        <v>55.4</v>
      </c>
      <c r="L40" s="122" t="s">
        <v>226</v>
      </c>
      <c r="M40" s="2"/>
      <c r="N40" s="2"/>
      <c r="O40" s="124">
        <v>78.400000000000006</v>
      </c>
    </row>
    <row r="41" spans="2:15" ht="15" thickBot="1" x14ac:dyDescent="0.35">
      <c r="B41" s="60" t="s">
        <v>104</v>
      </c>
      <c r="C41" s="2"/>
      <c r="D41" s="2"/>
      <c r="E41" s="69">
        <v>12</v>
      </c>
      <c r="G41" s="60" t="s">
        <v>104</v>
      </c>
      <c r="H41" s="2"/>
      <c r="I41" s="2"/>
      <c r="J41" s="69">
        <v>33</v>
      </c>
      <c r="L41" s="60" t="s">
        <v>104</v>
      </c>
      <c r="M41" s="2"/>
      <c r="N41" s="2"/>
      <c r="O41" s="69">
        <v>56</v>
      </c>
    </row>
    <row r="42" spans="2:15" ht="15.6" thickTop="1" thickBot="1" x14ac:dyDescent="0.35">
      <c r="B42" s="125" t="s">
        <v>39</v>
      </c>
      <c r="C42" s="62"/>
      <c r="D42" s="62"/>
      <c r="E42" s="123"/>
      <c r="G42" s="125" t="s">
        <v>39</v>
      </c>
      <c r="H42" s="62"/>
      <c r="I42" s="62"/>
      <c r="J42" s="123"/>
      <c r="L42" s="125" t="s">
        <v>39</v>
      </c>
      <c r="M42" s="62"/>
      <c r="N42" s="62"/>
      <c r="O42" s="123"/>
    </row>
    <row r="43" spans="2:15" ht="15" thickTop="1" x14ac:dyDescent="0.3">
      <c r="B43" s="60" t="s">
        <v>100</v>
      </c>
      <c r="C43" s="2"/>
      <c r="D43" s="2"/>
      <c r="E43" s="68">
        <v>360</v>
      </c>
      <c r="G43" s="60" t="s">
        <v>100</v>
      </c>
      <c r="H43" s="2"/>
      <c r="I43" s="2"/>
      <c r="J43" s="68">
        <v>360</v>
      </c>
      <c r="L43" s="60" t="s">
        <v>100</v>
      </c>
      <c r="M43" s="2"/>
      <c r="N43" s="2"/>
      <c r="O43" s="68">
        <v>594</v>
      </c>
    </row>
    <row r="44" spans="2:15" x14ac:dyDescent="0.3">
      <c r="B44" s="60" t="s">
        <v>103</v>
      </c>
      <c r="C44" s="2"/>
      <c r="D44" s="2"/>
      <c r="E44" s="69">
        <v>200</v>
      </c>
      <c r="G44" s="60" t="s">
        <v>103</v>
      </c>
      <c r="H44" s="2"/>
      <c r="I44" s="2"/>
      <c r="J44" s="69">
        <v>0</v>
      </c>
      <c r="L44" s="60" t="s">
        <v>103</v>
      </c>
      <c r="M44" s="2"/>
      <c r="N44" s="2"/>
      <c r="O44" s="69">
        <v>234</v>
      </c>
    </row>
    <row r="45" spans="2:15" ht="15" thickBot="1" x14ac:dyDescent="0.35">
      <c r="B45" s="73" t="s">
        <v>95</v>
      </c>
      <c r="C45" s="72"/>
      <c r="D45" s="63"/>
      <c r="E45" s="71">
        <v>400</v>
      </c>
      <c r="G45" s="73" t="s">
        <v>95</v>
      </c>
      <c r="H45" s="72"/>
      <c r="I45" s="63"/>
      <c r="J45" s="71">
        <v>770</v>
      </c>
      <c r="L45" s="73" t="s">
        <v>95</v>
      </c>
      <c r="M45" s="72"/>
      <c r="N45" s="63"/>
      <c r="O45" s="71">
        <v>886</v>
      </c>
    </row>
    <row r="46" spans="2:15" ht="15" thickTop="1" x14ac:dyDescent="0.3">
      <c r="B46" s="60" t="s">
        <v>101</v>
      </c>
      <c r="C46" s="2"/>
      <c r="D46" s="2"/>
      <c r="E46" s="68">
        <v>10.4</v>
      </c>
      <c r="G46" s="60" t="s">
        <v>101</v>
      </c>
      <c r="H46" s="2"/>
      <c r="I46" s="2"/>
      <c r="J46" s="68">
        <v>10.4</v>
      </c>
      <c r="L46" s="60" t="s">
        <v>101</v>
      </c>
      <c r="M46" s="2"/>
      <c r="N46" s="2"/>
      <c r="O46" s="68">
        <v>13.8</v>
      </c>
    </row>
    <row r="47" spans="2:15" x14ac:dyDescent="0.3">
      <c r="B47" s="60" t="s">
        <v>105</v>
      </c>
      <c r="C47" s="2"/>
      <c r="D47" s="2"/>
      <c r="E47" s="69">
        <v>4</v>
      </c>
      <c r="G47" s="60" t="s">
        <v>105</v>
      </c>
      <c r="H47" s="2"/>
      <c r="I47" s="2"/>
      <c r="J47" s="69">
        <v>0</v>
      </c>
      <c r="L47" s="60" t="s">
        <v>105</v>
      </c>
      <c r="M47" s="2"/>
      <c r="N47" s="2"/>
      <c r="O47" s="69">
        <v>3.4</v>
      </c>
    </row>
    <row r="48" spans="2:15" ht="15" thickBot="1" x14ac:dyDescent="0.35">
      <c r="B48" s="73" t="s">
        <v>97</v>
      </c>
      <c r="C48" s="63"/>
      <c r="D48" s="63"/>
      <c r="E48" s="71">
        <v>11.999999999999998</v>
      </c>
      <c r="G48" s="73" t="s">
        <v>97</v>
      </c>
      <c r="H48" s="63"/>
      <c r="I48" s="63"/>
      <c r="J48" s="71">
        <v>45</v>
      </c>
      <c r="L48" s="73" t="s">
        <v>97</v>
      </c>
      <c r="M48" s="63"/>
      <c r="N48" s="63"/>
      <c r="O48" s="71">
        <v>64.600000000000009</v>
      </c>
    </row>
    <row r="49" spans="2:15" ht="15.6" thickTop="1" thickBot="1" x14ac:dyDescent="0.35">
      <c r="B49" s="61" t="s">
        <v>227</v>
      </c>
      <c r="C49" s="126"/>
      <c r="D49" s="62"/>
      <c r="E49" s="130"/>
      <c r="G49" s="61" t="s">
        <v>227</v>
      </c>
      <c r="H49" s="126"/>
      <c r="I49" s="62"/>
      <c r="J49" s="130"/>
      <c r="L49" s="61" t="s">
        <v>227</v>
      </c>
      <c r="M49" s="126"/>
      <c r="N49" s="62"/>
      <c r="O49" s="130"/>
    </row>
    <row r="50" spans="2:15" ht="15" thickTop="1" x14ac:dyDescent="0.3">
      <c r="B50" s="60" t="s">
        <v>228</v>
      </c>
      <c r="C50" s="118"/>
      <c r="D50" s="2"/>
      <c r="E50" s="70">
        <v>0</v>
      </c>
      <c r="G50" s="60" t="s">
        <v>228</v>
      </c>
      <c r="H50" s="118"/>
      <c r="I50" s="2"/>
      <c r="J50" s="70">
        <v>0</v>
      </c>
      <c r="L50" s="60" t="s">
        <v>228</v>
      </c>
      <c r="M50" s="118"/>
      <c r="N50" s="2"/>
      <c r="O50" s="70">
        <v>10</v>
      </c>
    </row>
    <row r="51" spans="2:15" x14ac:dyDescent="0.3">
      <c r="B51" s="60" t="s">
        <v>248</v>
      </c>
      <c r="C51" s="127"/>
      <c r="D51" s="128"/>
      <c r="E51" s="68">
        <v>0</v>
      </c>
      <c r="G51" s="60" t="s">
        <v>248</v>
      </c>
      <c r="H51" s="127"/>
      <c r="I51" s="128"/>
      <c r="J51" s="68">
        <v>0</v>
      </c>
      <c r="L51" s="60" t="s">
        <v>248</v>
      </c>
      <c r="M51" s="127"/>
      <c r="N51" s="128"/>
      <c r="O51" s="68">
        <v>0</v>
      </c>
    </row>
    <row r="52" spans="2:15" x14ac:dyDescent="0.3">
      <c r="B52" s="60" t="s">
        <v>247</v>
      </c>
      <c r="C52" s="127"/>
      <c r="D52" s="128"/>
      <c r="E52" s="68">
        <v>0</v>
      </c>
      <c r="G52" s="60" t="s">
        <v>247</v>
      </c>
      <c r="H52" s="127"/>
      <c r="I52" s="128"/>
      <c r="J52" s="68">
        <v>0</v>
      </c>
      <c r="L52" s="60" t="s">
        <v>247</v>
      </c>
      <c r="M52" s="127"/>
      <c r="N52" s="128"/>
      <c r="O52" s="68">
        <v>0</v>
      </c>
    </row>
    <row r="53" spans="2:15" x14ac:dyDescent="0.3">
      <c r="B53" s="60" t="s">
        <v>93</v>
      </c>
      <c r="C53" s="2"/>
      <c r="D53" s="2"/>
      <c r="E53" s="67">
        <v>420</v>
      </c>
      <c r="G53" s="60" t="s">
        <v>93</v>
      </c>
      <c r="H53" s="2"/>
      <c r="I53" s="2"/>
      <c r="J53" s="67">
        <v>550</v>
      </c>
      <c r="L53" s="60" t="s">
        <v>93</v>
      </c>
      <c r="M53" s="2"/>
      <c r="N53" s="2"/>
      <c r="O53" s="67">
        <v>680</v>
      </c>
    </row>
    <row r="54" spans="2:15" x14ac:dyDescent="0.3">
      <c r="B54" s="60" t="s">
        <v>99</v>
      </c>
      <c r="C54" s="2"/>
      <c r="D54" s="2"/>
      <c r="E54" s="66">
        <v>32.307692307692307</v>
      </c>
      <c r="G54" s="60" t="s">
        <v>99</v>
      </c>
      <c r="H54" s="2"/>
      <c r="I54" s="2"/>
      <c r="J54" s="66">
        <v>42.307692307692307</v>
      </c>
      <c r="L54" s="60" t="s">
        <v>99</v>
      </c>
      <c r="M54" s="2"/>
      <c r="N54" s="2"/>
      <c r="O54" s="66">
        <v>52.307692307692307</v>
      </c>
    </row>
    <row r="55" spans="2:15" x14ac:dyDescent="0.3">
      <c r="B55" s="60" t="s">
        <v>235</v>
      </c>
      <c r="C55" s="2"/>
      <c r="D55" s="2"/>
      <c r="E55" s="67">
        <v>22.4</v>
      </c>
      <c r="G55" s="60" t="s">
        <v>235</v>
      </c>
      <c r="H55" s="2"/>
      <c r="I55" s="2"/>
      <c r="J55" s="67">
        <v>55.4</v>
      </c>
      <c r="L55" s="60" t="s">
        <v>235</v>
      </c>
      <c r="M55" s="2"/>
      <c r="N55" s="2"/>
      <c r="O55" s="67">
        <v>88.4</v>
      </c>
    </row>
    <row r="56" spans="2:15" ht="15" thickBot="1" x14ac:dyDescent="0.35">
      <c r="B56" s="60" t="s">
        <v>96</v>
      </c>
      <c r="C56" s="2"/>
      <c r="D56" s="129"/>
      <c r="E56" s="134">
        <v>0</v>
      </c>
      <c r="G56" s="60" t="s">
        <v>96</v>
      </c>
      <c r="H56" s="2"/>
      <c r="I56" s="129"/>
      <c r="J56" s="134">
        <v>0</v>
      </c>
      <c r="L56" s="60" t="s">
        <v>96</v>
      </c>
      <c r="M56" s="2"/>
      <c r="N56" s="129"/>
      <c r="O56" s="134">
        <v>0</v>
      </c>
    </row>
    <row r="57" spans="2:15" ht="15.6" thickTop="1" thickBot="1" x14ac:dyDescent="0.35">
      <c r="B57" s="64" t="s">
        <v>94</v>
      </c>
      <c r="C57" s="65"/>
      <c r="D57" s="131"/>
      <c r="E57" s="132">
        <v>442.4</v>
      </c>
      <c r="G57" s="64" t="s">
        <v>94</v>
      </c>
      <c r="H57" s="65"/>
      <c r="I57" s="131"/>
      <c r="J57" s="132">
        <v>605.4</v>
      </c>
      <c r="L57" s="64" t="s">
        <v>94</v>
      </c>
      <c r="M57" s="65"/>
      <c r="N57" s="131"/>
      <c r="O57" s="132">
        <v>768.4</v>
      </c>
    </row>
    <row r="58" spans="2:15" ht="15.6" thickTop="1" thickBot="1" x14ac:dyDescent="0.35">
      <c r="B58" s="64" t="s">
        <v>98</v>
      </c>
      <c r="C58" s="65"/>
      <c r="D58" s="131"/>
      <c r="E58" s="143">
        <v>412</v>
      </c>
      <c r="G58" s="64" t="s">
        <v>98</v>
      </c>
      <c r="H58" s="65"/>
      <c r="I58" s="131"/>
      <c r="J58" s="143">
        <v>815</v>
      </c>
      <c r="L58" s="64" t="s">
        <v>98</v>
      </c>
      <c r="M58" s="65"/>
      <c r="N58" s="131"/>
      <c r="O58" s="143">
        <v>950.6</v>
      </c>
    </row>
    <row r="59" spans="2:15" ht="15.6" thickTop="1" thickBot="1" x14ac:dyDescent="0.35"/>
    <row r="60" spans="2:15" ht="15.6" thickTop="1" thickBot="1" x14ac:dyDescent="0.35">
      <c r="B60" s="378" t="s">
        <v>92</v>
      </c>
      <c r="C60" s="405"/>
      <c r="D60" s="379"/>
      <c r="E60" s="75">
        <v>44788</v>
      </c>
      <c r="G60" s="378" t="s">
        <v>92</v>
      </c>
      <c r="H60" s="405"/>
      <c r="I60" s="379"/>
      <c r="J60" s="75">
        <v>44788</v>
      </c>
      <c r="L60" s="378" t="s">
        <v>92</v>
      </c>
      <c r="M60" s="405"/>
      <c r="N60" s="379"/>
      <c r="O60" s="75">
        <v>44788</v>
      </c>
    </row>
    <row r="61" spans="2:15" ht="15.6" thickTop="1" thickBot="1" x14ac:dyDescent="0.35">
      <c r="B61" s="382"/>
      <c r="C61" s="406"/>
      <c r="D61" s="383"/>
      <c r="E61" s="75">
        <v>44972</v>
      </c>
      <c r="G61" s="382"/>
      <c r="H61" s="406"/>
      <c r="I61" s="383"/>
      <c r="J61" s="75">
        <v>45000</v>
      </c>
      <c r="L61" s="382"/>
      <c r="M61" s="406"/>
      <c r="N61" s="383"/>
      <c r="O61" s="75">
        <v>45031</v>
      </c>
    </row>
    <row r="62" spans="2:15" ht="15.6" thickTop="1" thickBot="1" x14ac:dyDescent="0.35">
      <c r="B62" s="60" t="s">
        <v>91</v>
      </c>
      <c r="C62" s="2"/>
      <c r="D62" s="2"/>
      <c r="E62" s="117">
        <v>910</v>
      </c>
      <c r="G62" s="60" t="s">
        <v>91</v>
      </c>
      <c r="H62" s="2"/>
      <c r="I62" s="2"/>
      <c r="J62" s="117">
        <v>1040</v>
      </c>
      <c r="L62" s="60" t="s">
        <v>91</v>
      </c>
      <c r="M62" s="2"/>
      <c r="N62" s="2"/>
      <c r="O62" s="117">
        <v>1170</v>
      </c>
    </row>
    <row r="63" spans="2:15" ht="15.6" thickTop="1" thickBot="1" x14ac:dyDescent="0.35">
      <c r="B63" s="61" t="s">
        <v>168</v>
      </c>
      <c r="C63" s="62"/>
      <c r="D63" s="62"/>
      <c r="E63" s="123"/>
      <c r="G63" s="61" t="s">
        <v>168</v>
      </c>
      <c r="H63" s="62"/>
      <c r="I63" s="62"/>
      <c r="J63" s="123"/>
      <c r="L63" s="61" t="s">
        <v>168</v>
      </c>
      <c r="M63" s="62"/>
      <c r="N63" s="62"/>
      <c r="O63" s="123"/>
    </row>
    <row r="64" spans="2:15" ht="15" thickTop="1" x14ac:dyDescent="0.3">
      <c r="B64" s="121" t="s">
        <v>224</v>
      </c>
      <c r="C64" s="2"/>
      <c r="D64" s="2"/>
      <c r="E64" s="116">
        <v>1880</v>
      </c>
      <c r="G64" s="121" t="s">
        <v>224</v>
      </c>
      <c r="H64" s="2"/>
      <c r="I64" s="2"/>
      <c r="J64" s="116">
        <v>2360</v>
      </c>
      <c r="L64" s="121" t="s">
        <v>224</v>
      </c>
      <c r="M64" s="2"/>
      <c r="N64" s="2"/>
      <c r="O64" s="116">
        <v>2660</v>
      </c>
    </row>
    <row r="65" spans="2:15" x14ac:dyDescent="0.3">
      <c r="B65" s="122" t="s">
        <v>225</v>
      </c>
      <c r="C65" s="2"/>
      <c r="D65" s="2"/>
      <c r="E65" s="68">
        <v>100</v>
      </c>
      <c r="G65" s="122" t="s">
        <v>225</v>
      </c>
      <c r="H65" s="2"/>
      <c r="I65" s="2"/>
      <c r="J65" s="68">
        <v>100</v>
      </c>
      <c r="L65" s="122" t="s">
        <v>225</v>
      </c>
      <c r="M65" s="2"/>
      <c r="N65" s="2"/>
      <c r="O65" s="68">
        <v>100</v>
      </c>
    </row>
    <row r="66" spans="2:15" x14ac:dyDescent="0.3">
      <c r="B66" s="60" t="s">
        <v>102</v>
      </c>
      <c r="C66" s="2"/>
      <c r="D66" s="2"/>
      <c r="E66" s="69">
        <v>400</v>
      </c>
      <c r="G66" s="60" t="s">
        <v>102</v>
      </c>
      <c r="H66" s="2"/>
      <c r="I66" s="2"/>
      <c r="J66" s="69">
        <v>480</v>
      </c>
      <c r="L66" s="60" t="s">
        <v>102</v>
      </c>
      <c r="M66" s="2"/>
      <c r="N66" s="2"/>
      <c r="O66" s="69">
        <v>300</v>
      </c>
    </row>
    <row r="67" spans="2:15" x14ac:dyDescent="0.3">
      <c r="B67" s="122" t="s">
        <v>226</v>
      </c>
      <c r="C67" s="2"/>
      <c r="D67" s="2"/>
      <c r="E67" s="124">
        <v>104.4</v>
      </c>
      <c r="G67" s="122" t="s">
        <v>226</v>
      </c>
      <c r="H67" s="2"/>
      <c r="I67" s="2"/>
      <c r="J67" s="124">
        <v>138</v>
      </c>
      <c r="L67" s="122" t="s">
        <v>226</v>
      </c>
      <c r="M67" s="2"/>
      <c r="N67" s="2"/>
      <c r="O67" s="124">
        <v>162</v>
      </c>
    </row>
    <row r="68" spans="2:15" ht="15" thickBot="1" x14ac:dyDescent="0.35">
      <c r="B68" s="60" t="s">
        <v>104</v>
      </c>
      <c r="C68" s="2"/>
      <c r="D68" s="2"/>
      <c r="E68" s="69">
        <v>26</v>
      </c>
      <c r="G68" s="60" t="s">
        <v>104</v>
      </c>
      <c r="H68" s="2"/>
      <c r="I68" s="2"/>
      <c r="J68" s="69">
        <v>33.6</v>
      </c>
      <c r="L68" s="60" t="s">
        <v>104</v>
      </c>
      <c r="M68" s="2"/>
      <c r="N68" s="2"/>
      <c r="O68" s="69">
        <v>24</v>
      </c>
    </row>
    <row r="69" spans="2:15" ht="15.6" thickTop="1" thickBot="1" x14ac:dyDescent="0.35">
      <c r="B69" s="125" t="s">
        <v>39</v>
      </c>
      <c r="C69" s="62"/>
      <c r="D69" s="62"/>
      <c r="E69" s="123"/>
      <c r="G69" s="125" t="s">
        <v>39</v>
      </c>
      <c r="H69" s="62"/>
      <c r="I69" s="62"/>
      <c r="J69" s="123"/>
      <c r="L69" s="125" t="s">
        <v>39</v>
      </c>
      <c r="M69" s="62"/>
      <c r="N69" s="62"/>
      <c r="O69" s="123"/>
    </row>
    <row r="70" spans="2:15" ht="15" thickTop="1" x14ac:dyDescent="0.3">
      <c r="B70" s="60" t="s">
        <v>100</v>
      </c>
      <c r="C70" s="2"/>
      <c r="D70" s="2"/>
      <c r="E70" s="68">
        <v>936.33</v>
      </c>
      <c r="G70" s="60" t="s">
        <v>100</v>
      </c>
      <c r="H70" s="2"/>
      <c r="I70" s="2"/>
      <c r="J70" s="68">
        <v>1203.6599999999999</v>
      </c>
      <c r="L70" s="60" t="s">
        <v>100</v>
      </c>
      <c r="M70" s="2"/>
      <c r="N70" s="2"/>
      <c r="O70" s="68">
        <v>1850.9899999999998</v>
      </c>
    </row>
    <row r="71" spans="2:15" x14ac:dyDescent="0.3">
      <c r="B71" s="60" t="s">
        <v>103</v>
      </c>
      <c r="C71" s="2"/>
      <c r="D71" s="2"/>
      <c r="E71" s="69">
        <v>342.33</v>
      </c>
      <c r="G71" s="60" t="s">
        <v>103</v>
      </c>
      <c r="H71" s="2"/>
      <c r="I71" s="2"/>
      <c r="J71" s="69">
        <v>267.33</v>
      </c>
      <c r="L71" s="60" t="s">
        <v>103</v>
      </c>
      <c r="M71" s="2"/>
      <c r="N71" s="2"/>
      <c r="O71" s="69">
        <v>647.32999999999993</v>
      </c>
    </row>
    <row r="72" spans="2:15" ht="15" thickBot="1" x14ac:dyDescent="0.35">
      <c r="B72" s="73" t="s">
        <v>95</v>
      </c>
      <c r="C72" s="72"/>
      <c r="D72" s="63"/>
      <c r="E72" s="71">
        <v>943.67</v>
      </c>
      <c r="G72" s="73" t="s">
        <v>95</v>
      </c>
      <c r="H72" s="72"/>
      <c r="I72" s="63"/>
      <c r="J72" s="71">
        <v>1156.3400000000001</v>
      </c>
      <c r="L72" s="73" t="s">
        <v>95</v>
      </c>
      <c r="M72" s="72"/>
      <c r="N72" s="63"/>
      <c r="O72" s="71">
        <v>809.01000000000022</v>
      </c>
    </row>
    <row r="73" spans="2:15" ht="15" thickTop="1" x14ac:dyDescent="0.3">
      <c r="B73" s="60" t="s">
        <v>101</v>
      </c>
      <c r="C73" s="2"/>
      <c r="D73" s="2"/>
      <c r="E73" s="68">
        <v>36.200000000000003</v>
      </c>
      <c r="G73" s="60" t="s">
        <v>101</v>
      </c>
      <c r="H73" s="2"/>
      <c r="I73" s="2"/>
      <c r="J73" s="68">
        <v>54.6</v>
      </c>
      <c r="L73" s="60" t="s">
        <v>101</v>
      </c>
      <c r="M73" s="2"/>
      <c r="N73" s="2"/>
      <c r="O73" s="68">
        <v>98.600000000000009</v>
      </c>
    </row>
    <row r="74" spans="2:15" x14ac:dyDescent="0.3">
      <c r="B74" s="60" t="s">
        <v>105</v>
      </c>
      <c r="C74" s="2"/>
      <c r="D74" s="2"/>
      <c r="E74" s="69">
        <v>22.4</v>
      </c>
      <c r="G74" s="60" t="s">
        <v>105</v>
      </c>
      <c r="H74" s="2"/>
      <c r="I74" s="2"/>
      <c r="J74" s="69">
        <v>18.399999999999999</v>
      </c>
      <c r="L74" s="60" t="s">
        <v>105</v>
      </c>
      <c r="M74" s="2"/>
      <c r="N74" s="2"/>
      <c r="O74" s="69">
        <v>44</v>
      </c>
    </row>
    <row r="75" spans="2:15" ht="15" thickBot="1" x14ac:dyDescent="0.35">
      <c r="B75" s="73" t="s">
        <v>97</v>
      </c>
      <c r="C75" s="63"/>
      <c r="D75" s="63"/>
      <c r="E75" s="71">
        <v>68.2</v>
      </c>
      <c r="G75" s="73" t="s">
        <v>97</v>
      </c>
      <c r="H75" s="63"/>
      <c r="I75" s="63"/>
      <c r="J75" s="71">
        <v>83.4</v>
      </c>
      <c r="L75" s="73" t="s">
        <v>97</v>
      </c>
      <c r="M75" s="63"/>
      <c r="N75" s="63"/>
      <c r="O75" s="71">
        <v>63.399999999999991</v>
      </c>
    </row>
    <row r="76" spans="2:15" ht="15.6" thickTop="1" thickBot="1" x14ac:dyDescent="0.35">
      <c r="B76" s="61" t="s">
        <v>227</v>
      </c>
      <c r="C76" s="126"/>
      <c r="D76" s="62"/>
      <c r="E76" s="130"/>
      <c r="G76" s="61" t="s">
        <v>227</v>
      </c>
      <c r="H76" s="126"/>
      <c r="I76" s="62"/>
      <c r="J76" s="130"/>
      <c r="L76" s="61" t="s">
        <v>227</v>
      </c>
      <c r="M76" s="126"/>
      <c r="N76" s="62"/>
      <c r="O76" s="130"/>
    </row>
    <row r="77" spans="2:15" ht="15" thickTop="1" x14ac:dyDescent="0.3">
      <c r="B77" s="60" t="s">
        <v>228</v>
      </c>
      <c r="C77" s="118"/>
      <c r="D77" s="2"/>
      <c r="E77" s="70">
        <v>10</v>
      </c>
      <c r="G77" s="60" t="s">
        <v>228</v>
      </c>
      <c r="H77" s="118"/>
      <c r="I77" s="2"/>
      <c r="J77" s="70">
        <v>10</v>
      </c>
      <c r="L77" s="60" t="s">
        <v>228</v>
      </c>
      <c r="M77" s="118"/>
      <c r="N77" s="2"/>
      <c r="O77" s="70">
        <v>10</v>
      </c>
    </row>
    <row r="78" spans="2:15" x14ac:dyDescent="0.3">
      <c r="B78" s="60" t="s">
        <v>248</v>
      </c>
      <c r="C78" s="127"/>
      <c r="D78" s="128"/>
      <c r="E78" s="68">
        <v>0</v>
      </c>
      <c r="G78" s="60" t="s">
        <v>248</v>
      </c>
      <c r="H78" s="127"/>
      <c r="I78" s="128"/>
      <c r="J78" s="68">
        <v>0</v>
      </c>
      <c r="L78" s="60" t="s">
        <v>248</v>
      </c>
      <c r="M78" s="127"/>
      <c r="N78" s="128"/>
      <c r="O78" s="68">
        <v>0</v>
      </c>
    </row>
    <row r="79" spans="2:15" x14ac:dyDescent="0.3">
      <c r="B79" s="60" t="s">
        <v>247</v>
      </c>
      <c r="C79" s="127"/>
      <c r="D79" s="128"/>
      <c r="E79" s="68">
        <v>0</v>
      </c>
      <c r="G79" s="60" t="s">
        <v>247</v>
      </c>
      <c r="H79" s="127"/>
      <c r="I79" s="128"/>
      <c r="J79" s="68">
        <v>0</v>
      </c>
      <c r="L79" s="60" t="s">
        <v>247</v>
      </c>
      <c r="M79" s="127"/>
      <c r="N79" s="128"/>
      <c r="O79" s="68">
        <v>0</v>
      </c>
    </row>
    <row r="80" spans="2:15" x14ac:dyDescent="0.3">
      <c r="B80" s="60" t="s">
        <v>93</v>
      </c>
      <c r="C80" s="2"/>
      <c r="D80" s="2"/>
      <c r="E80" s="67">
        <v>810</v>
      </c>
      <c r="G80" s="60" t="s">
        <v>93</v>
      </c>
      <c r="H80" s="2"/>
      <c r="I80" s="2"/>
      <c r="J80" s="67">
        <v>940</v>
      </c>
      <c r="L80" s="60" t="s">
        <v>93</v>
      </c>
      <c r="M80" s="2"/>
      <c r="N80" s="2"/>
      <c r="O80" s="67">
        <v>1070</v>
      </c>
    </row>
    <row r="81" spans="2:15" x14ac:dyDescent="0.3">
      <c r="B81" s="60" t="s">
        <v>99</v>
      </c>
      <c r="C81" s="2"/>
      <c r="D81" s="2"/>
      <c r="E81" s="66">
        <v>62.307692307692307</v>
      </c>
      <c r="G81" s="60" t="s">
        <v>99</v>
      </c>
      <c r="H81" s="2"/>
      <c r="I81" s="2"/>
      <c r="J81" s="66">
        <v>72.307692307692307</v>
      </c>
      <c r="L81" s="60" t="s">
        <v>99</v>
      </c>
      <c r="M81" s="2"/>
      <c r="N81" s="2"/>
      <c r="O81" s="66">
        <v>82.307692307692307</v>
      </c>
    </row>
    <row r="82" spans="2:15" x14ac:dyDescent="0.3">
      <c r="B82" s="60" t="s">
        <v>235</v>
      </c>
      <c r="C82" s="2"/>
      <c r="D82" s="2"/>
      <c r="E82" s="67">
        <v>114.4</v>
      </c>
      <c r="G82" s="60" t="s">
        <v>235</v>
      </c>
      <c r="H82" s="2"/>
      <c r="I82" s="2"/>
      <c r="J82" s="67">
        <v>148</v>
      </c>
      <c r="L82" s="60" t="s">
        <v>235</v>
      </c>
      <c r="M82" s="2"/>
      <c r="N82" s="2"/>
      <c r="O82" s="67">
        <v>172</v>
      </c>
    </row>
    <row r="83" spans="2:15" ht="15" thickBot="1" x14ac:dyDescent="0.35">
      <c r="B83" s="60" t="s">
        <v>96</v>
      </c>
      <c r="C83" s="2"/>
      <c r="D83" s="129"/>
      <c r="E83" s="134">
        <v>0</v>
      </c>
      <c r="G83" s="60" t="s">
        <v>96</v>
      </c>
      <c r="H83" s="2"/>
      <c r="I83" s="129"/>
      <c r="J83" s="134">
        <v>0</v>
      </c>
      <c r="L83" s="60" t="s">
        <v>96</v>
      </c>
      <c r="M83" s="2"/>
      <c r="N83" s="129"/>
      <c r="O83" s="134">
        <v>0</v>
      </c>
    </row>
    <row r="84" spans="2:15" ht="15.6" thickTop="1" thickBot="1" x14ac:dyDescent="0.35">
      <c r="B84" s="64" t="s">
        <v>94</v>
      </c>
      <c r="C84" s="65"/>
      <c r="D84" s="131"/>
      <c r="E84" s="132">
        <v>924.4</v>
      </c>
      <c r="G84" s="64" t="s">
        <v>94</v>
      </c>
      <c r="H84" s="65"/>
      <c r="I84" s="131"/>
      <c r="J84" s="132">
        <v>1088</v>
      </c>
      <c r="L84" s="64" t="s">
        <v>94</v>
      </c>
      <c r="M84" s="65"/>
      <c r="N84" s="131"/>
      <c r="O84" s="132">
        <v>1242</v>
      </c>
    </row>
    <row r="85" spans="2:15" ht="15.6" thickTop="1" thickBot="1" x14ac:dyDescent="0.35">
      <c r="B85" s="64" t="s">
        <v>98</v>
      </c>
      <c r="C85" s="65"/>
      <c r="D85" s="131"/>
      <c r="E85" s="143">
        <v>1011.87</v>
      </c>
      <c r="G85" s="64" t="s">
        <v>98</v>
      </c>
      <c r="H85" s="65"/>
      <c r="I85" s="131"/>
      <c r="J85" s="143">
        <v>1239.7400000000002</v>
      </c>
      <c r="L85" s="64" t="s">
        <v>98</v>
      </c>
      <c r="M85" s="65"/>
      <c r="N85" s="131"/>
      <c r="O85" s="143">
        <v>872.4100000000002</v>
      </c>
    </row>
    <row r="86" spans="2:15" ht="15.6" thickTop="1" thickBot="1" x14ac:dyDescent="0.35"/>
    <row r="87" spans="2:15" ht="15.6" thickTop="1" thickBot="1" x14ac:dyDescent="0.35">
      <c r="B87" s="378" t="s">
        <v>92</v>
      </c>
      <c r="C87" s="405"/>
      <c r="D87" s="379"/>
      <c r="E87" s="75">
        <v>44788</v>
      </c>
      <c r="G87" s="378" t="s">
        <v>92</v>
      </c>
      <c r="H87" s="405"/>
      <c r="I87" s="379"/>
      <c r="J87" s="75">
        <v>44788</v>
      </c>
      <c r="L87" s="378" t="s">
        <v>92</v>
      </c>
      <c r="M87" s="405"/>
      <c r="N87" s="379"/>
      <c r="O87" s="75">
        <v>44788</v>
      </c>
    </row>
    <row r="88" spans="2:15" ht="15.6" thickTop="1" thickBot="1" x14ac:dyDescent="0.35">
      <c r="B88" s="382"/>
      <c r="C88" s="406"/>
      <c r="D88" s="383"/>
      <c r="E88" s="75">
        <v>45061</v>
      </c>
      <c r="G88" s="382"/>
      <c r="H88" s="406"/>
      <c r="I88" s="383"/>
      <c r="J88" s="75">
        <v>45092</v>
      </c>
      <c r="L88" s="382"/>
      <c r="M88" s="406"/>
      <c r="N88" s="383"/>
      <c r="O88" s="75">
        <v>45122</v>
      </c>
    </row>
    <row r="89" spans="2:15" ht="15.6" thickTop="1" thickBot="1" x14ac:dyDescent="0.35">
      <c r="B89" s="60" t="s">
        <v>91</v>
      </c>
      <c r="C89" s="2"/>
      <c r="D89" s="2"/>
      <c r="E89" s="117">
        <v>1300</v>
      </c>
      <c r="G89" s="60" t="s">
        <v>91</v>
      </c>
      <c r="H89" s="2"/>
      <c r="I89" s="2"/>
      <c r="J89" s="117">
        <v>1430</v>
      </c>
      <c r="L89" s="60" t="s">
        <v>91</v>
      </c>
      <c r="M89" s="2"/>
      <c r="N89" s="2"/>
      <c r="O89" s="117">
        <v>1560</v>
      </c>
    </row>
    <row r="90" spans="2:15" ht="15.6" thickTop="1" thickBot="1" x14ac:dyDescent="0.35">
      <c r="B90" s="61" t="s">
        <v>168</v>
      </c>
      <c r="C90" s="62"/>
      <c r="D90" s="62"/>
      <c r="E90" s="123"/>
      <c r="G90" s="61" t="s">
        <v>168</v>
      </c>
      <c r="H90" s="62"/>
      <c r="I90" s="62"/>
      <c r="J90" s="123"/>
      <c r="L90" s="61" t="s">
        <v>168</v>
      </c>
      <c r="M90" s="62"/>
      <c r="N90" s="62"/>
      <c r="O90" s="123"/>
    </row>
    <row r="91" spans="2:15" ht="15" thickTop="1" x14ac:dyDescent="0.3">
      <c r="B91" s="121" t="s">
        <v>224</v>
      </c>
      <c r="C91" s="2"/>
      <c r="D91" s="2"/>
      <c r="E91" s="116">
        <v>2960</v>
      </c>
      <c r="G91" s="121" t="s">
        <v>224</v>
      </c>
      <c r="H91" s="2"/>
      <c r="I91" s="2"/>
      <c r="J91" s="116">
        <v>3960</v>
      </c>
      <c r="L91" s="121" t="s">
        <v>224</v>
      </c>
      <c r="M91" s="2"/>
      <c r="N91" s="2"/>
      <c r="O91" s="116">
        <v>3960</v>
      </c>
    </row>
    <row r="92" spans="2:15" x14ac:dyDescent="0.3">
      <c r="B92" s="122" t="s">
        <v>225</v>
      </c>
      <c r="C92" s="2"/>
      <c r="D92" s="2"/>
      <c r="E92" s="68">
        <v>100</v>
      </c>
      <c r="G92" s="122" t="s">
        <v>225</v>
      </c>
      <c r="H92" s="2"/>
      <c r="I92" s="2"/>
      <c r="J92" s="68">
        <v>100</v>
      </c>
      <c r="L92" s="122" t="s">
        <v>225</v>
      </c>
      <c r="M92" s="2"/>
      <c r="N92" s="2"/>
      <c r="O92" s="68">
        <v>100</v>
      </c>
    </row>
    <row r="93" spans="2:15" x14ac:dyDescent="0.3">
      <c r="B93" s="60" t="s">
        <v>102</v>
      </c>
      <c r="C93" s="2"/>
      <c r="D93" s="2"/>
      <c r="E93" s="69">
        <v>300</v>
      </c>
      <c r="G93" s="60" t="s">
        <v>102</v>
      </c>
      <c r="H93" s="2"/>
      <c r="I93" s="2"/>
      <c r="J93" s="69">
        <v>1000</v>
      </c>
      <c r="L93" s="60" t="s">
        <v>102</v>
      </c>
      <c r="M93" s="2"/>
      <c r="N93" s="2"/>
      <c r="O93" s="69">
        <v>0</v>
      </c>
    </row>
    <row r="94" spans="2:15" x14ac:dyDescent="0.3">
      <c r="B94" s="122" t="s">
        <v>226</v>
      </c>
      <c r="C94" s="2"/>
      <c r="D94" s="2"/>
      <c r="E94" s="124">
        <v>178</v>
      </c>
      <c r="G94" s="122" t="s">
        <v>226</v>
      </c>
      <c r="H94" s="2"/>
      <c r="I94" s="2"/>
      <c r="J94" s="124">
        <v>258</v>
      </c>
      <c r="L94" s="122" t="s">
        <v>226</v>
      </c>
      <c r="M94" s="2"/>
      <c r="N94" s="2"/>
      <c r="O94" s="124">
        <v>258</v>
      </c>
    </row>
    <row r="95" spans="2:15" ht="15" thickBot="1" x14ac:dyDescent="0.35">
      <c r="B95" s="60" t="s">
        <v>104</v>
      </c>
      <c r="C95" s="2"/>
      <c r="D95" s="2"/>
      <c r="E95" s="69">
        <v>16</v>
      </c>
      <c r="G95" s="60" t="s">
        <v>104</v>
      </c>
      <c r="H95" s="2"/>
      <c r="I95" s="2"/>
      <c r="J95" s="69">
        <v>80</v>
      </c>
      <c r="L95" s="60" t="s">
        <v>104</v>
      </c>
      <c r="M95" s="2"/>
      <c r="N95" s="2"/>
      <c r="O95" s="69">
        <v>0</v>
      </c>
    </row>
    <row r="96" spans="2:15" ht="15.6" thickTop="1" thickBot="1" x14ac:dyDescent="0.35">
      <c r="B96" s="125" t="s">
        <v>39</v>
      </c>
      <c r="C96" s="62"/>
      <c r="D96" s="62"/>
      <c r="E96" s="123"/>
      <c r="G96" s="125" t="s">
        <v>39</v>
      </c>
      <c r="H96" s="62"/>
      <c r="I96" s="62"/>
      <c r="J96" s="123"/>
      <c r="L96" s="125" t="s">
        <v>39</v>
      </c>
      <c r="M96" s="62"/>
      <c r="N96" s="62"/>
      <c r="O96" s="123"/>
    </row>
    <row r="97" spans="2:15" ht="15" thickTop="1" x14ac:dyDescent="0.3">
      <c r="B97" s="60" t="s">
        <v>100</v>
      </c>
      <c r="C97" s="2"/>
      <c r="D97" s="2"/>
      <c r="E97" s="68">
        <v>2209.9899999999998</v>
      </c>
      <c r="G97" s="60" t="s">
        <v>100</v>
      </c>
      <c r="H97" s="2"/>
      <c r="I97" s="2"/>
      <c r="J97" s="68">
        <v>2534.9899999999998</v>
      </c>
      <c r="L97" s="60" t="s">
        <v>100</v>
      </c>
      <c r="M97" s="2"/>
      <c r="N97" s="2"/>
      <c r="O97" s="68">
        <v>2834.99</v>
      </c>
    </row>
    <row r="98" spans="2:15" x14ac:dyDescent="0.3">
      <c r="B98" s="60" t="s">
        <v>103</v>
      </c>
      <c r="C98" s="2"/>
      <c r="D98" s="2"/>
      <c r="E98" s="69">
        <v>359</v>
      </c>
      <c r="G98" s="60" t="s">
        <v>103</v>
      </c>
      <c r="H98" s="2"/>
      <c r="I98" s="2"/>
      <c r="J98" s="69">
        <v>325</v>
      </c>
      <c r="L98" s="60" t="s">
        <v>103</v>
      </c>
      <c r="M98" s="2"/>
      <c r="N98" s="2"/>
      <c r="O98" s="69">
        <v>300</v>
      </c>
    </row>
    <row r="99" spans="2:15" ht="15" thickBot="1" x14ac:dyDescent="0.35">
      <c r="B99" s="73" t="s">
        <v>95</v>
      </c>
      <c r="C99" s="72"/>
      <c r="D99" s="63"/>
      <c r="E99" s="71">
        <v>750.01000000000022</v>
      </c>
      <c r="G99" s="73" t="s">
        <v>95</v>
      </c>
      <c r="H99" s="72"/>
      <c r="I99" s="63"/>
      <c r="J99" s="71">
        <v>1425.0100000000002</v>
      </c>
      <c r="L99" s="73" t="s">
        <v>95</v>
      </c>
      <c r="M99" s="72"/>
      <c r="N99" s="63"/>
      <c r="O99" s="71">
        <v>1125.0100000000002</v>
      </c>
    </row>
    <row r="100" spans="2:15" ht="15" thickTop="1" x14ac:dyDescent="0.3">
      <c r="B100" s="60" t="s">
        <v>101</v>
      </c>
      <c r="C100" s="2"/>
      <c r="D100" s="2"/>
      <c r="E100" s="68">
        <v>126.00000000000001</v>
      </c>
      <c r="G100" s="60" t="s">
        <v>101</v>
      </c>
      <c r="H100" s="2"/>
      <c r="I100" s="2"/>
      <c r="J100" s="68">
        <v>148</v>
      </c>
      <c r="L100" s="60" t="s">
        <v>101</v>
      </c>
      <c r="M100" s="2"/>
      <c r="N100" s="2"/>
      <c r="O100" s="68">
        <v>188</v>
      </c>
    </row>
    <row r="101" spans="2:15" x14ac:dyDescent="0.3">
      <c r="B101" s="60" t="s">
        <v>105</v>
      </c>
      <c r="C101" s="2"/>
      <c r="D101" s="2"/>
      <c r="E101" s="69">
        <v>27.4</v>
      </c>
      <c r="G101" s="60" t="s">
        <v>105</v>
      </c>
      <c r="H101" s="2"/>
      <c r="I101" s="2"/>
      <c r="J101" s="69">
        <v>22</v>
      </c>
      <c r="L101" s="60" t="s">
        <v>105</v>
      </c>
      <c r="M101" s="2"/>
      <c r="N101" s="2"/>
      <c r="O101" s="69">
        <v>40</v>
      </c>
    </row>
    <row r="102" spans="2:15" ht="15" thickBot="1" x14ac:dyDescent="0.35">
      <c r="B102" s="73" t="s">
        <v>97</v>
      </c>
      <c r="C102" s="63"/>
      <c r="D102" s="63"/>
      <c r="E102" s="71">
        <v>51.999999999999986</v>
      </c>
      <c r="G102" s="73" t="s">
        <v>97</v>
      </c>
      <c r="H102" s="63"/>
      <c r="I102" s="63"/>
      <c r="J102" s="71">
        <v>110</v>
      </c>
      <c r="L102" s="73" t="s">
        <v>97</v>
      </c>
      <c r="M102" s="63"/>
      <c r="N102" s="63"/>
      <c r="O102" s="71">
        <v>70</v>
      </c>
    </row>
    <row r="103" spans="2:15" ht="15.6" thickTop="1" thickBot="1" x14ac:dyDescent="0.35">
      <c r="B103" s="61" t="s">
        <v>227</v>
      </c>
      <c r="C103" s="126"/>
      <c r="D103" s="62"/>
      <c r="E103" s="130"/>
      <c r="G103" s="61" t="s">
        <v>227</v>
      </c>
      <c r="H103" s="126"/>
      <c r="I103" s="62"/>
      <c r="J103" s="130"/>
      <c r="L103" s="61" t="s">
        <v>227</v>
      </c>
      <c r="M103" s="126"/>
      <c r="N103" s="62"/>
      <c r="O103" s="130"/>
    </row>
    <row r="104" spans="2:15" ht="15" thickTop="1" x14ac:dyDescent="0.3">
      <c r="B104" s="60" t="s">
        <v>228</v>
      </c>
      <c r="C104" s="118"/>
      <c r="D104" s="2"/>
      <c r="E104" s="70">
        <v>10</v>
      </c>
      <c r="G104" s="60" t="s">
        <v>228</v>
      </c>
      <c r="H104" s="118"/>
      <c r="I104" s="2"/>
      <c r="J104" s="70">
        <v>10</v>
      </c>
      <c r="L104" s="60" t="s">
        <v>228</v>
      </c>
      <c r="M104" s="118"/>
      <c r="N104" s="2"/>
      <c r="O104" s="70">
        <v>10</v>
      </c>
    </row>
    <row r="105" spans="2:15" x14ac:dyDescent="0.3">
      <c r="B105" s="60" t="s">
        <v>248</v>
      </c>
      <c r="C105" s="127"/>
      <c r="D105" s="128"/>
      <c r="E105" s="68">
        <v>0</v>
      </c>
      <c r="G105" s="60" t="s">
        <v>248</v>
      </c>
      <c r="H105" s="127"/>
      <c r="I105" s="128"/>
      <c r="J105" s="68">
        <v>0</v>
      </c>
      <c r="L105" s="60" t="s">
        <v>248</v>
      </c>
      <c r="M105" s="127"/>
      <c r="N105" s="128"/>
      <c r="O105" s="68">
        <v>0</v>
      </c>
    </row>
    <row r="106" spans="2:15" x14ac:dyDescent="0.3">
      <c r="B106" s="60" t="s">
        <v>247</v>
      </c>
      <c r="C106" s="127"/>
      <c r="D106" s="128"/>
      <c r="E106" s="68">
        <v>0</v>
      </c>
      <c r="G106" s="60" t="s">
        <v>247</v>
      </c>
      <c r="H106" s="127"/>
      <c r="I106" s="128"/>
      <c r="J106" s="68">
        <v>0</v>
      </c>
      <c r="L106" s="60" t="s">
        <v>247</v>
      </c>
      <c r="M106" s="127"/>
      <c r="N106" s="128"/>
      <c r="O106" s="68">
        <v>0</v>
      </c>
    </row>
    <row r="107" spans="2:15" x14ac:dyDescent="0.3">
      <c r="B107" s="60" t="s">
        <v>93</v>
      </c>
      <c r="C107" s="2"/>
      <c r="D107" s="2"/>
      <c r="E107" s="67">
        <v>1200</v>
      </c>
      <c r="G107" s="60" t="s">
        <v>93</v>
      </c>
      <c r="H107" s="2"/>
      <c r="I107" s="2"/>
      <c r="J107" s="67">
        <v>1330</v>
      </c>
      <c r="L107" s="60" t="s">
        <v>93</v>
      </c>
      <c r="M107" s="2"/>
      <c r="N107" s="2"/>
      <c r="O107" s="67">
        <v>1460</v>
      </c>
    </row>
    <row r="108" spans="2:15" x14ac:dyDescent="0.3">
      <c r="B108" s="60" t="s">
        <v>99</v>
      </c>
      <c r="C108" s="2"/>
      <c r="D108" s="2"/>
      <c r="E108" s="66">
        <v>92.307692307692307</v>
      </c>
      <c r="G108" s="60" t="s">
        <v>99</v>
      </c>
      <c r="H108" s="2"/>
      <c r="I108" s="2"/>
      <c r="J108" s="66">
        <v>102.30769230769231</v>
      </c>
      <c r="L108" s="60" t="s">
        <v>99</v>
      </c>
      <c r="M108" s="2"/>
      <c r="N108" s="2"/>
      <c r="O108" s="66">
        <v>112.30769230769231</v>
      </c>
    </row>
    <row r="109" spans="2:15" x14ac:dyDescent="0.3">
      <c r="B109" s="60" t="s">
        <v>235</v>
      </c>
      <c r="C109" s="2"/>
      <c r="D109" s="2"/>
      <c r="E109" s="67">
        <v>188</v>
      </c>
      <c r="G109" s="60" t="s">
        <v>235</v>
      </c>
      <c r="H109" s="2"/>
      <c r="I109" s="2"/>
      <c r="J109" s="67">
        <v>268</v>
      </c>
      <c r="L109" s="60" t="s">
        <v>235</v>
      </c>
      <c r="M109" s="2"/>
      <c r="N109" s="2"/>
      <c r="O109" s="67">
        <v>268</v>
      </c>
    </row>
    <row r="110" spans="2:15" ht="15" thickBot="1" x14ac:dyDescent="0.35">
      <c r="B110" s="60" t="s">
        <v>96</v>
      </c>
      <c r="C110" s="2"/>
      <c r="D110" s="129"/>
      <c r="E110" s="134">
        <v>0</v>
      </c>
      <c r="G110" s="60" t="s">
        <v>96</v>
      </c>
      <c r="H110" s="2"/>
      <c r="I110" s="129"/>
      <c r="J110" s="134">
        <v>0</v>
      </c>
      <c r="L110" s="60" t="s">
        <v>96</v>
      </c>
      <c r="M110" s="2"/>
      <c r="N110" s="129"/>
      <c r="O110" s="134">
        <v>0</v>
      </c>
    </row>
    <row r="111" spans="2:15" ht="15.6" thickTop="1" thickBot="1" x14ac:dyDescent="0.35">
      <c r="B111" s="64" t="s">
        <v>94</v>
      </c>
      <c r="C111" s="65"/>
      <c r="D111" s="131"/>
      <c r="E111" s="132">
        <v>1388</v>
      </c>
      <c r="G111" s="64" t="s">
        <v>94</v>
      </c>
      <c r="H111" s="65"/>
      <c r="I111" s="131"/>
      <c r="J111" s="132">
        <v>1598</v>
      </c>
      <c r="L111" s="64" t="s">
        <v>94</v>
      </c>
      <c r="M111" s="65"/>
      <c r="N111" s="131"/>
      <c r="O111" s="132">
        <v>1728</v>
      </c>
    </row>
    <row r="112" spans="2:15" ht="15.6" thickTop="1" thickBot="1" x14ac:dyDescent="0.35">
      <c r="B112" s="64" t="s">
        <v>98</v>
      </c>
      <c r="C112" s="65"/>
      <c r="D112" s="131"/>
      <c r="E112" s="143">
        <v>802.01000000000022</v>
      </c>
      <c r="G112" s="64" t="s">
        <v>98</v>
      </c>
      <c r="H112" s="65"/>
      <c r="I112" s="131"/>
      <c r="J112" s="143">
        <v>1535.0100000000002</v>
      </c>
      <c r="L112" s="64" t="s">
        <v>98</v>
      </c>
      <c r="M112" s="65"/>
      <c r="N112" s="131"/>
      <c r="O112" s="143">
        <v>1195.0100000000002</v>
      </c>
    </row>
    <row r="113" spans="2:15" ht="15.6" thickTop="1" thickBot="1" x14ac:dyDescent="0.35"/>
    <row r="114" spans="2:15" ht="15.6" thickTop="1" thickBot="1" x14ac:dyDescent="0.35">
      <c r="B114" s="378" t="s">
        <v>92</v>
      </c>
      <c r="C114" s="405"/>
      <c r="D114" s="379"/>
      <c r="E114" s="75">
        <v>44788</v>
      </c>
      <c r="G114" s="378" t="s">
        <v>92</v>
      </c>
      <c r="H114" s="405"/>
      <c r="I114" s="379"/>
      <c r="J114" s="75">
        <v>44788</v>
      </c>
      <c r="L114" s="378" t="s">
        <v>92</v>
      </c>
      <c r="M114" s="405"/>
      <c r="N114" s="379"/>
      <c r="O114" s="75">
        <v>44788</v>
      </c>
    </row>
    <row r="115" spans="2:15" ht="15.6" thickTop="1" thickBot="1" x14ac:dyDescent="0.35">
      <c r="B115" s="382"/>
      <c r="C115" s="406"/>
      <c r="D115" s="383"/>
      <c r="E115" s="75">
        <v>45153</v>
      </c>
      <c r="G115" s="382"/>
      <c r="H115" s="406"/>
      <c r="I115" s="383"/>
      <c r="J115" s="75">
        <v>45184</v>
      </c>
      <c r="L115" s="382"/>
      <c r="M115" s="406"/>
      <c r="N115" s="383"/>
      <c r="O115" s="75">
        <v>45214</v>
      </c>
    </row>
    <row r="116" spans="2:15" ht="15.6" thickTop="1" thickBot="1" x14ac:dyDescent="0.35">
      <c r="B116" s="60" t="s">
        <v>91</v>
      </c>
      <c r="C116" s="2"/>
      <c r="D116" s="2"/>
      <c r="E116" s="117">
        <v>1690</v>
      </c>
      <c r="G116" s="60" t="s">
        <v>91</v>
      </c>
      <c r="H116" s="2"/>
      <c r="I116" s="2"/>
      <c r="J116" s="117">
        <v>1820</v>
      </c>
      <c r="L116" s="60" t="s">
        <v>91</v>
      </c>
      <c r="M116" s="2"/>
      <c r="N116" s="2"/>
      <c r="O116" s="117">
        <v>1950</v>
      </c>
    </row>
    <row r="117" spans="2:15" ht="15.6" thickTop="1" thickBot="1" x14ac:dyDescent="0.35">
      <c r="B117" s="61" t="s">
        <v>168</v>
      </c>
      <c r="C117" s="62"/>
      <c r="D117" s="62"/>
      <c r="E117" s="123"/>
      <c r="G117" s="61" t="s">
        <v>168</v>
      </c>
      <c r="H117" s="62"/>
      <c r="I117" s="62"/>
      <c r="J117" s="123"/>
      <c r="L117" s="61" t="s">
        <v>168</v>
      </c>
      <c r="M117" s="62"/>
      <c r="N117" s="62"/>
      <c r="O117" s="123"/>
    </row>
    <row r="118" spans="2:15" ht="15" thickTop="1" x14ac:dyDescent="0.3">
      <c r="B118" s="121" t="s">
        <v>224</v>
      </c>
      <c r="C118" s="2"/>
      <c r="D118" s="2"/>
      <c r="E118" s="116">
        <v>4460</v>
      </c>
      <c r="G118" s="121" t="s">
        <v>224</v>
      </c>
      <c r="H118" s="2"/>
      <c r="I118" s="2"/>
      <c r="J118" s="116">
        <v>5160</v>
      </c>
      <c r="L118" s="121" t="s">
        <v>224</v>
      </c>
      <c r="M118" s="2"/>
      <c r="N118" s="2"/>
      <c r="O118" s="116">
        <v>6360</v>
      </c>
    </row>
    <row r="119" spans="2:15" x14ac:dyDescent="0.3">
      <c r="B119" s="122" t="s">
        <v>225</v>
      </c>
      <c r="C119" s="2"/>
      <c r="D119" s="2"/>
      <c r="E119" s="68">
        <v>100</v>
      </c>
      <c r="G119" s="122" t="s">
        <v>225</v>
      </c>
      <c r="H119" s="2"/>
      <c r="I119" s="2"/>
      <c r="J119" s="68">
        <v>100</v>
      </c>
      <c r="L119" s="122" t="s">
        <v>225</v>
      </c>
      <c r="M119" s="2"/>
      <c r="N119" s="2"/>
      <c r="O119" s="68">
        <v>100</v>
      </c>
    </row>
    <row r="120" spans="2:15" x14ac:dyDescent="0.3">
      <c r="B120" s="60" t="s">
        <v>102</v>
      </c>
      <c r="C120" s="2"/>
      <c r="D120" s="2"/>
      <c r="E120" s="69">
        <v>200</v>
      </c>
      <c r="G120" s="60" t="s">
        <v>102</v>
      </c>
      <c r="H120" s="2"/>
      <c r="I120" s="2"/>
      <c r="J120" s="69">
        <v>700</v>
      </c>
      <c r="L120" s="60" t="s">
        <v>102</v>
      </c>
      <c r="M120" s="2"/>
      <c r="N120" s="2"/>
      <c r="O120" s="69">
        <v>1200</v>
      </c>
    </row>
    <row r="121" spans="2:15" x14ac:dyDescent="0.3">
      <c r="B121" s="122" t="s">
        <v>226</v>
      </c>
      <c r="C121" s="2"/>
      <c r="D121" s="2"/>
      <c r="E121" s="124">
        <v>268</v>
      </c>
      <c r="G121" s="122" t="s">
        <v>226</v>
      </c>
      <c r="H121" s="2"/>
      <c r="I121" s="2"/>
      <c r="J121" s="124">
        <v>338</v>
      </c>
      <c r="L121" s="122" t="s">
        <v>226</v>
      </c>
      <c r="M121" s="2"/>
      <c r="N121" s="2"/>
      <c r="O121" s="124">
        <v>458</v>
      </c>
    </row>
    <row r="122" spans="2:15" ht="15" thickBot="1" x14ac:dyDescent="0.35">
      <c r="B122" s="60" t="s">
        <v>104</v>
      </c>
      <c r="C122" s="2"/>
      <c r="D122" s="2"/>
      <c r="E122" s="69">
        <v>4</v>
      </c>
      <c r="G122" s="60" t="s">
        <v>104</v>
      </c>
      <c r="H122" s="2"/>
      <c r="I122" s="2"/>
      <c r="J122" s="69">
        <v>70</v>
      </c>
      <c r="L122" s="60" t="s">
        <v>104</v>
      </c>
      <c r="M122" s="2"/>
      <c r="N122" s="2"/>
      <c r="O122" s="69">
        <v>120</v>
      </c>
    </row>
    <row r="123" spans="2:15" ht="15.6" thickTop="1" thickBot="1" x14ac:dyDescent="0.35">
      <c r="B123" s="125" t="s">
        <v>39</v>
      </c>
      <c r="C123" s="62"/>
      <c r="D123" s="62"/>
      <c r="E123" s="123"/>
      <c r="G123" s="125" t="s">
        <v>39</v>
      </c>
      <c r="H123" s="62"/>
      <c r="I123" s="62"/>
      <c r="J123" s="123"/>
      <c r="L123" s="125" t="s">
        <v>39</v>
      </c>
      <c r="M123" s="62"/>
      <c r="N123" s="62"/>
      <c r="O123" s="123"/>
    </row>
    <row r="124" spans="2:15" ht="15" thickTop="1" x14ac:dyDescent="0.3">
      <c r="B124" s="60" t="s">
        <v>100</v>
      </c>
      <c r="C124" s="2"/>
      <c r="D124" s="2"/>
      <c r="E124" s="68">
        <v>3134.99</v>
      </c>
      <c r="G124" s="60" t="s">
        <v>100</v>
      </c>
      <c r="H124" s="2"/>
      <c r="I124" s="2"/>
      <c r="J124" s="68">
        <v>3459.99</v>
      </c>
      <c r="L124" s="60" t="s">
        <v>100</v>
      </c>
      <c r="M124" s="2"/>
      <c r="N124" s="2"/>
      <c r="O124" s="68">
        <v>4584.99</v>
      </c>
    </row>
    <row r="125" spans="2:15" x14ac:dyDescent="0.3">
      <c r="B125" s="60" t="s">
        <v>103</v>
      </c>
      <c r="C125" s="2"/>
      <c r="D125" s="2"/>
      <c r="E125" s="69">
        <v>300</v>
      </c>
      <c r="G125" s="60" t="s">
        <v>103</v>
      </c>
      <c r="H125" s="2"/>
      <c r="I125" s="2"/>
      <c r="J125" s="69">
        <v>325</v>
      </c>
      <c r="L125" s="60" t="s">
        <v>103</v>
      </c>
      <c r="M125" s="2"/>
      <c r="N125" s="2"/>
      <c r="O125" s="69">
        <v>1125</v>
      </c>
    </row>
    <row r="126" spans="2:15" ht="15" thickBot="1" x14ac:dyDescent="0.35">
      <c r="B126" s="73" t="s">
        <v>95</v>
      </c>
      <c r="C126" s="72"/>
      <c r="D126" s="63"/>
      <c r="E126" s="71">
        <v>1325.0100000000002</v>
      </c>
      <c r="G126" s="73" t="s">
        <v>95</v>
      </c>
      <c r="H126" s="72"/>
      <c r="I126" s="63"/>
      <c r="J126" s="71">
        <v>1700.0100000000002</v>
      </c>
      <c r="L126" s="73" t="s">
        <v>95</v>
      </c>
      <c r="M126" s="72"/>
      <c r="N126" s="63"/>
      <c r="O126" s="71">
        <v>1775.0100000000002</v>
      </c>
    </row>
    <row r="127" spans="2:15" ht="15" thickTop="1" x14ac:dyDescent="0.3">
      <c r="B127" s="60" t="s">
        <v>101</v>
      </c>
      <c r="C127" s="2"/>
      <c r="D127" s="2"/>
      <c r="E127" s="68">
        <v>220</v>
      </c>
      <c r="G127" s="60" t="s">
        <v>101</v>
      </c>
      <c r="H127" s="2"/>
      <c r="I127" s="2"/>
      <c r="J127" s="68">
        <v>248</v>
      </c>
      <c r="L127" s="60" t="s">
        <v>101</v>
      </c>
      <c r="M127" s="2"/>
      <c r="N127" s="2"/>
      <c r="O127" s="68">
        <v>282</v>
      </c>
    </row>
    <row r="128" spans="2:15" x14ac:dyDescent="0.3">
      <c r="B128" s="60" t="s">
        <v>105</v>
      </c>
      <c r="C128" s="2"/>
      <c r="D128" s="2"/>
      <c r="E128" s="69">
        <v>32</v>
      </c>
      <c r="G128" s="60" t="s">
        <v>105</v>
      </c>
      <c r="H128" s="2"/>
      <c r="I128" s="2"/>
      <c r="J128" s="69">
        <v>28</v>
      </c>
      <c r="L128" s="60" t="s">
        <v>105</v>
      </c>
      <c r="M128" s="2"/>
      <c r="N128" s="2"/>
      <c r="O128" s="69">
        <v>34</v>
      </c>
    </row>
    <row r="129" spans="2:15" ht="15" thickBot="1" x14ac:dyDescent="0.35">
      <c r="B129" s="73" t="s">
        <v>97</v>
      </c>
      <c r="C129" s="63"/>
      <c r="D129" s="63"/>
      <c r="E129" s="71">
        <v>48</v>
      </c>
      <c r="G129" s="73" t="s">
        <v>97</v>
      </c>
      <c r="H129" s="63"/>
      <c r="I129" s="63"/>
      <c r="J129" s="71">
        <v>90</v>
      </c>
      <c r="L129" s="73" t="s">
        <v>97</v>
      </c>
      <c r="M129" s="63"/>
      <c r="N129" s="63"/>
      <c r="O129" s="71">
        <v>176</v>
      </c>
    </row>
    <row r="130" spans="2:15" ht="15.6" thickTop="1" thickBot="1" x14ac:dyDescent="0.35">
      <c r="B130" s="61" t="s">
        <v>227</v>
      </c>
      <c r="C130" s="126"/>
      <c r="D130" s="62"/>
      <c r="E130" s="130"/>
      <c r="G130" s="61" t="s">
        <v>227</v>
      </c>
      <c r="H130" s="126"/>
      <c r="I130" s="62"/>
      <c r="J130" s="130"/>
      <c r="L130" s="61" t="s">
        <v>227</v>
      </c>
      <c r="M130" s="126"/>
      <c r="N130" s="62"/>
      <c r="O130" s="130"/>
    </row>
    <row r="131" spans="2:15" ht="15" thickTop="1" x14ac:dyDescent="0.3">
      <c r="B131" s="60" t="s">
        <v>228</v>
      </c>
      <c r="C131" s="118"/>
      <c r="D131" s="2"/>
      <c r="E131" s="70">
        <v>10</v>
      </c>
      <c r="G131" s="60" t="s">
        <v>228</v>
      </c>
      <c r="H131" s="118"/>
      <c r="I131" s="2"/>
      <c r="J131" s="70">
        <v>10</v>
      </c>
      <c r="L131" s="60" t="s">
        <v>228</v>
      </c>
      <c r="M131" s="118"/>
      <c r="N131" s="2"/>
      <c r="O131" s="70">
        <v>10</v>
      </c>
    </row>
    <row r="132" spans="2:15" x14ac:dyDescent="0.3">
      <c r="B132" s="60" t="s">
        <v>248</v>
      </c>
      <c r="C132" s="127"/>
      <c r="D132" s="128"/>
      <c r="E132" s="68">
        <v>250</v>
      </c>
      <c r="G132" s="60" t="s">
        <v>248</v>
      </c>
      <c r="H132" s="127"/>
      <c r="I132" s="128"/>
      <c r="J132" s="68">
        <v>250</v>
      </c>
      <c r="L132" s="60" t="s">
        <v>248</v>
      </c>
      <c r="M132" s="127"/>
      <c r="N132" s="128"/>
      <c r="O132" s="68">
        <v>250</v>
      </c>
    </row>
    <row r="133" spans="2:15" x14ac:dyDescent="0.3">
      <c r="B133" s="60" t="s">
        <v>247</v>
      </c>
      <c r="C133" s="127"/>
      <c r="D133" s="128"/>
      <c r="E133" s="68">
        <v>0</v>
      </c>
      <c r="G133" s="60" t="s">
        <v>247</v>
      </c>
      <c r="H133" s="127"/>
      <c r="I133" s="128"/>
      <c r="J133" s="68">
        <v>0</v>
      </c>
      <c r="L133" s="60" t="s">
        <v>247</v>
      </c>
      <c r="M133" s="127"/>
      <c r="N133" s="128"/>
      <c r="O133" s="68">
        <v>0</v>
      </c>
    </row>
    <row r="134" spans="2:15" x14ac:dyDescent="0.3">
      <c r="B134" s="60" t="s">
        <v>93</v>
      </c>
      <c r="C134" s="2"/>
      <c r="D134" s="2"/>
      <c r="E134" s="67">
        <v>1590</v>
      </c>
      <c r="G134" s="60" t="s">
        <v>93</v>
      </c>
      <c r="H134" s="2"/>
      <c r="I134" s="2"/>
      <c r="J134" s="67">
        <v>1720</v>
      </c>
      <c r="L134" s="60" t="s">
        <v>93</v>
      </c>
      <c r="M134" s="2"/>
      <c r="N134" s="2"/>
      <c r="O134" s="67">
        <v>1850</v>
      </c>
    </row>
    <row r="135" spans="2:15" x14ac:dyDescent="0.3">
      <c r="B135" s="60" t="s">
        <v>99</v>
      </c>
      <c r="C135" s="2"/>
      <c r="D135" s="2"/>
      <c r="E135" s="66">
        <v>122.30769230769231</v>
      </c>
      <c r="G135" s="60" t="s">
        <v>99</v>
      </c>
      <c r="H135" s="2"/>
      <c r="I135" s="2"/>
      <c r="J135" s="66">
        <v>132.30769230769232</v>
      </c>
      <c r="L135" s="60" t="s">
        <v>99</v>
      </c>
      <c r="M135" s="2"/>
      <c r="N135" s="2"/>
      <c r="O135" s="66">
        <v>142.30769230769232</v>
      </c>
    </row>
    <row r="136" spans="2:15" x14ac:dyDescent="0.3">
      <c r="B136" s="60" t="s">
        <v>235</v>
      </c>
      <c r="C136" s="2"/>
      <c r="D136" s="2"/>
      <c r="E136" s="67">
        <v>28</v>
      </c>
      <c r="G136" s="60" t="s">
        <v>235</v>
      </c>
      <c r="H136" s="2"/>
      <c r="I136" s="2"/>
      <c r="J136" s="67">
        <v>98</v>
      </c>
      <c r="L136" s="60" t="s">
        <v>235</v>
      </c>
      <c r="M136" s="2"/>
      <c r="N136" s="2"/>
      <c r="O136" s="67">
        <v>218</v>
      </c>
    </row>
    <row r="137" spans="2:15" ht="15" thickBot="1" x14ac:dyDescent="0.35">
      <c r="B137" s="60" t="s">
        <v>96</v>
      </c>
      <c r="C137" s="2"/>
      <c r="D137" s="129"/>
      <c r="E137" s="134">
        <v>0</v>
      </c>
      <c r="G137" s="60" t="s">
        <v>96</v>
      </c>
      <c r="H137" s="2"/>
      <c r="I137" s="129"/>
      <c r="J137" s="134">
        <v>67</v>
      </c>
      <c r="L137" s="60" t="s">
        <v>96</v>
      </c>
      <c r="M137" s="2"/>
      <c r="N137" s="129"/>
      <c r="O137" s="134">
        <v>156</v>
      </c>
    </row>
    <row r="138" spans="2:15" ht="15.6" thickTop="1" thickBot="1" x14ac:dyDescent="0.35">
      <c r="B138" s="64" t="s">
        <v>94</v>
      </c>
      <c r="C138" s="65"/>
      <c r="D138" s="131"/>
      <c r="E138" s="132">
        <v>1618</v>
      </c>
      <c r="G138" s="64" t="s">
        <v>94</v>
      </c>
      <c r="H138" s="65"/>
      <c r="I138" s="131"/>
      <c r="J138" s="132">
        <v>1885</v>
      </c>
      <c r="L138" s="64" t="s">
        <v>94</v>
      </c>
      <c r="M138" s="65"/>
      <c r="N138" s="131"/>
      <c r="O138" s="132">
        <v>2224</v>
      </c>
    </row>
    <row r="139" spans="2:15" ht="15.6" thickTop="1" thickBot="1" x14ac:dyDescent="0.35">
      <c r="B139" s="64" t="s">
        <v>98</v>
      </c>
      <c r="C139" s="65"/>
      <c r="D139" s="131"/>
      <c r="E139" s="143">
        <v>1373.0100000000002</v>
      </c>
      <c r="G139" s="64" t="s">
        <v>98</v>
      </c>
      <c r="H139" s="65"/>
      <c r="I139" s="131"/>
      <c r="J139" s="143">
        <v>1857.0100000000002</v>
      </c>
      <c r="L139" s="64" t="s">
        <v>98</v>
      </c>
      <c r="M139" s="65"/>
      <c r="N139" s="131"/>
      <c r="O139" s="143">
        <v>2107.0100000000002</v>
      </c>
    </row>
    <row r="140" spans="2:15" ht="15.6" thickTop="1" thickBot="1" x14ac:dyDescent="0.35"/>
    <row r="141" spans="2:15" ht="15.6" thickTop="1" thickBot="1" x14ac:dyDescent="0.35">
      <c r="B141" s="378" t="s">
        <v>92</v>
      </c>
      <c r="C141" s="405"/>
      <c r="D141" s="379"/>
      <c r="E141" s="75">
        <v>44788</v>
      </c>
      <c r="G141" s="378" t="s">
        <v>92</v>
      </c>
      <c r="H141" s="405"/>
      <c r="I141" s="379"/>
      <c r="J141" s="75">
        <v>44788</v>
      </c>
      <c r="L141" s="378" t="s">
        <v>92</v>
      </c>
      <c r="M141" s="405"/>
      <c r="N141" s="379"/>
      <c r="O141" s="75">
        <v>44788</v>
      </c>
    </row>
    <row r="142" spans="2:15" ht="15.6" thickTop="1" thickBot="1" x14ac:dyDescent="0.35">
      <c r="B142" s="382"/>
      <c r="C142" s="406"/>
      <c r="D142" s="383"/>
      <c r="E142" s="75">
        <v>45245</v>
      </c>
      <c r="G142" s="382"/>
      <c r="H142" s="406"/>
      <c r="I142" s="383"/>
      <c r="J142" s="75">
        <v>45275</v>
      </c>
      <c r="L142" s="382"/>
      <c r="M142" s="406"/>
      <c r="N142" s="383"/>
      <c r="O142" s="75">
        <v>45306</v>
      </c>
    </row>
    <row r="143" spans="2:15" ht="15.6" thickTop="1" thickBot="1" x14ac:dyDescent="0.35">
      <c r="B143" s="60" t="s">
        <v>91</v>
      </c>
      <c r="C143" s="2"/>
      <c r="D143" s="2"/>
      <c r="E143" s="117">
        <v>2080</v>
      </c>
      <c r="G143" s="60" t="s">
        <v>91</v>
      </c>
      <c r="H143" s="2"/>
      <c r="I143" s="2"/>
      <c r="J143" s="117">
        <v>2210</v>
      </c>
      <c r="L143" s="60" t="s">
        <v>91</v>
      </c>
      <c r="M143" s="2"/>
      <c r="N143" s="2"/>
      <c r="O143" s="117">
        <v>2340</v>
      </c>
    </row>
    <row r="144" spans="2:15" ht="15.6" thickTop="1" thickBot="1" x14ac:dyDescent="0.35">
      <c r="B144" s="61" t="s">
        <v>168</v>
      </c>
      <c r="C144" s="62"/>
      <c r="D144" s="62"/>
      <c r="E144" s="123"/>
      <c r="G144" s="61" t="s">
        <v>168</v>
      </c>
      <c r="H144" s="62"/>
      <c r="I144" s="62"/>
      <c r="J144" s="123"/>
      <c r="L144" s="61" t="s">
        <v>168</v>
      </c>
      <c r="M144" s="62"/>
      <c r="N144" s="62"/>
      <c r="O144" s="123"/>
    </row>
    <row r="145" spans="2:15" ht="15" thickTop="1" x14ac:dyDescent="0.3">
      <c r="B145" s="121" t="s">
        <v>224</v>
      </c>
      <c r="C145" s="2"/>
      <c r="D145" s="2"/>
      <c r="E145" s="116">
        <v>6810</v>
      </c>
      <c r="G145" s="121" t="s">
        <v>224</v>
      </c>
      <c r="H145" s="2"/>
      <c r="I145" s="2"/>
      <c r="J145" s="116">
        <v>6810</v>
      </c>
      <c r="L145" s="121" t="s">
        <v>224</v>
      </c>
      <c r="M145" s="2"/>
      <c r="N145" s="2"/>
      <c r="O145" s="116">
        <v>7310</v>
      </c>
    </row>
    <row r="146" spans="2:15" x14ac:dyDescent="0.3">
      <c r="B146" s="122" t="s">
        <v>225</v>
      </c>
      <c r="C146" s="2"/>
      <c r="D146" s="2"/>
      <c r="E146" s="68">
        <v>100</v>
      </c>
      <c r="G146" s="122" t="s">
        <v>225</v>
      </c>
      <c r="H146" s="2"/>
      <c r="I146" s="2"/>
      <c r="J146" s="68">
        <v>100</v>
      </c>
      <c r="L146" s="122" t="s">
        <v>225</v>
      </c>
      <c r="M146" s="2"/>
      <c r="N146" s="2"/>
      <c r="O146" s="68">
        <v>100</v>
      </c>
    </row>
    <row r="147" spans="2:15" x14ac:dyDescent="0.3">
      <c r="B147" s="60" t="s">
        <v>102</v>
      </c>
      <c r="C147" s="2"/>
      <c r="D147" s="2"/>
      <c r="E147" s="69">
        <v>450</v>
      </c>
      <c r="G147" s="60" t="s">
        <v>102</v>
      </c>
      <c r="H147" s="2"/>
      <c r="I147" s="2"/>
      <c r="J147" s="69">
        <v>0</v>
      </c>
      <c r="L147" s="60" t="s">
        <v>102</v>
      </c>
      <c r="M147" s="2"/>
      <c r="N147" s="2"/>
      <c r="O147" s="69">
        <v>500</v>
      </c>
    </row>
    <row r="148" spans="2:15" x14ac:dyDescent="0.3">
      <c r="B148" s="122" t="s">
        <v>226</v>
      </c>
      <c r="C148" s="2"/>
      <c r="D148" s="2"/>
      <c r="E148" s="124">
        <v>494</v>
      </c>
      <c r="G148" s="122" t="s">
        <v>226</v>
      </c>
      <c r="H148" s="2"/>
      <c r="I148" s="2"/>
      <c r="J148" s="124">
        <v>494</v>
      </c>
      <c r="L148" s="122" t="s">
        <v>226</v>
      </c>
      <c r="M148" s="2"/>
      <c r="N148" s="2"/>
      <c r="O148" s="124">
        <v>514</v>
      </c>
    </row>
    <row r="149" spans="2:15" ht="15" thickBot="1" x14ac:dyDescent="0.35">
      <c r="B149" s="60" t="s">
        <v>104</v>
      </c>
      <c r="C149" s="2"/>
      <c r="D149" s="2"/>
      <c r="E149" s="69">
        <v>36</v>
      </c>
      <c r="G149" s="60" t="s">
        <v>104</v>
      </c>
      <c r="H149" s="2"/>
      <c r="I149" s="2"/>
      <c r="J149" s="69">
        <v>0</v>
      </c>
      <c r="L149" s="60" t="s">
        <v>104</v>
      </c>
      <c r="M149" s="2"/>
      <c r="N149" s="2"/>
      <c r="O149" s="69">
        <v>20</v>
      </c>
    </row>
    <row r="150" spans="2:15" ht="15.6" thickTop="1" thickBot="1" x14ac:dyDescent="0.35">
      <c r="B150" s="125" t="s">
        <v>39</v>
      </c>
      <c r="C150" s="62"/>
      <c r="D150" s="62"/>
      <c r="E150" s="123"/>
      <c r="G150" s="125" t="s">
        <v>39</v>
      </c>
      <c r="H150" s="62"/>
      <c r="I150" s="62"/>
      <c r="J150" s="123"/>
      <c r="L150" s="125" t="s">
        <v>39</v>
      </c>
      <c r="M150" s="62"/>
      <c r="N150" s="62"/>
      <c r="O150" s="123"/>
    </row>
    <row r="151" spans="2:15" ht="15" thickTop="1" x14ac:dyDescent="0.3">
      <c r="B151" s="60" t="s">
        <v>100</v>
      </c>
      <c r="C151" s="2"/>
      <c r="D151" s="2"/>
      <c r="E151" s="68">
        <v>4717.13</v>
      </c>
      <c r="G151" s="60" t="s">
        <v>100</v>
      </c>
      <c r="H151" s="2"/>
      <c r="I151" s="2"/>
      <c r="J151" s="68">
        <v>4849.2700000000004</v>
      </c>
      <c r="L151" s="60" t="s">
        <v>100</v>
      </c>
      <c r="M151" s="2"/>
      <c r="N151" s="2"/>
      <c r="O151" s="68">
        <v>5281.4100000000008</v>
      </c>
    </row>
    <row r="152" spans="2:15" x14ac:dyDescent="0.3">
      <c r="B152" s="60" t="s">
        <v>103</v>
      </c>
      <c r="C152" s="2"/>
      <c r="D152" s="2"/>
      <c r="E152" s="69">
        <v>132.13999999999999</v>
      </c>
      <c r="G152" s="60" t="s">
        <v>103</v>
      </c>
      <c r="H152" s="2"/>
      <c r="I152" s="2"/>
      <c r="J152" s="69">
        <v>132.13999999999999</v>
      </c>
      <c r="L152" s="60" t="s">
        <v>103</v>
      </c>
      <c r="M152" s="2"/>
      <c r="N152" s="2"/>
      <c r="O152" s="69">
        <v>432.14</v>
      </c>
    </row>
    <row r="153" spans="2:15" ht="15" thickBot="1" x14ac:dyDescent="0.35">
      <c r="B153" s="73" t="s">
        <v>95</v>
      </c>
      <c r="C153" s="72"/>
      <c r="D153" s="63"/>
      <c r="E153" s="71">
        <v>2092.87</v>
      </c>
      <c r="G153" s="73" t="s">
        <v>95</v>
      </c>
      <c r="H153" s="72"/>
      <c r="I153" s="63"/>
      <c r="J153" s="71">
        <v>1960.7299999999996</v>
      </c>
      <c r="L153" s="73" t="s">
        <v>95</v>
      </c>
      <c r="M153" s="72"/>
      <c r="N153" s="63"/>
      <c r="O153" s="71">
        <v>2028.5899999999992</v>
      </c>
    </row>
    <row r="154" spans="2:15" ht="15" thickTop="1" x14ac:dyDescent="0.3">
      <c r="B154" s="60" t="s">
        <v>101</v>
      </c>
      <c r="C154" s="2"/>
      <c r="D154" s="2"/>
      <c r="E154" s="68">
        <v>318</v>
      </c>
      <c r="G154" s="60" t="s">
        <v>101</v>
      </c>
      <c r="H154" s="2"/>
      <c r="I154" s="2"/>
      <c r="J154" s="68">
        <v>363</v>
      </c>
      <c r="L154" s="60" t="s">
        <v>101</v>
      </c>
      <c r="M154" s="2"/>
      <c r="N154" s="2"/>
      <c r="O154" s="68">
        <v>412</v>
      </c>
    </row>
    <row r="155" spans="2:15" x14ac:dyDescent="0.3">
      <c r="B155" s="60" t="s">
        <v>105</v>
      </c>
      <c r="C155" s="2"/>
      <c r="D155" s="2"/>
      <c r="E155" s="69">
        <v>36</v>
      </c>
      <c r="G155" s="60" t="s">
        <v>105</v>
      </c>
      <c r="H155" s="2"/>
      <c r="I155" s="2"/>
      <c r="J155" s="69">
        <v>45</v>
      </c>
      <c r="L155" s="60" t="s">
        <v>105</v>
      </c>
      <c r="M155" s="2"/>
      <c r="N155" s="2"/>
      <c r="O155" s="69">
        <v>49</v>
      </c>
    </row>
    <row r="156" spans="2:15" ht="15" thickBot="1" x14ac:dyDescent="0.35">
      <c r="B156" s="73" t="s">
        <v>97</v>
      </c>
      <c r="C156" s="63"/>
      <c r="D156" s="63"/>
      <c r="E156" s="71">
        <v>176</v>
      </c>
      <c r="G156" s="73" t="s">
        <v>97</v>
      </c>
      <c r="H156" s="63"/>
      <c r="I156" s="63"/>
      <c r="J156" s="71">
        <v>131</v>
      </c>
      <c r="L156" s="73" t="s">
        <v>97</v>
      </c>
      <c r="M156" s="63"/>
      <c r="N156" s="63"/>
      <c r="O156" s="71">
        <v>102</v>
      </c>
    </row>
    <row r="157" spans="2:15" ht="15.6" thickTop="1" thickBot="1" x14ac:dyDescent="0.35">
      <c r="B157" s="61" t="s">
        <v>227</v>
      </c>
      <c r="C157" s="126"/>
      <c r="D157" s="62"/>
      <c r="E157" s="130"/>
      <c r="G157" s="61" t="s">
        <v>227</v>
      </c>
      <c r="H157" s="126"/>
      <c r="I157" s="62"/>
      <c r="J157" s="130"/>
      <c r="L157" s="61" t="s">
        <v>227</v>
      </c>
      <c r="M157" s="126"/>
      <c r="N157" s="62"/>
      <c r="O157" s="130"/>
    </row>
    <row r="158" spans="2:15" ht="15" thickTop="1" x14ac:dyDescent="0.3">
      <c r="B158" s="60" t="s">
        <v>228</v>
      </c>
      <c r="C158" s="118"/>
      <c r="D158" s="2"/>
      <c r="E158" s="70">
        <v>11.5</v>
      </c>
      <c r="G158" s="60" t="s">
        <v>228</v>
      </c>
      <c r="H158" s="118"/>
      <c r="I158" s="2"/>
      <c r="J158" s="70">
        <v>11.5</v>
      </c>
      <c r="L158" s="60" t="s">
        <v>228</v>
      </c>
      <c r="M158" s="118"/>
      <c r="N158" s="2"/>
      <c r="O158" s="70">
        <v>11.5</v>
      </c>
    </row>
    <row r="159" spans="2:15" x14ac:dyDescent="0.3">
      <c r="B159" s="60" t="s">
        <v>248</v>
      </c>
      <c r="C159" s="127"/>
      <c r="D159" s="128"/>
      <c r="E159" s="68">
        <v>250</v>
      </c>
      <c r="G159" s="60" t="s">
        <v>248</v>
      </c>
      <c r="H159" s="127"/>
      <c r="I159" s="128"/>
      <c r="J159" s="68">
        <v>250</v>
      </c>
      <c r="L159" s="60" t="s">
        <v>248</v>
      </c>
      <c r="M159" s="127"/>
      <c r="N159" s="128"/>
      <c r="O159" s="68">
        <v>250</v>
      </c>
    </row>
    <row r="160" spans="2:15" x14ac:dyDescent="0.3">
      <c r="B160" s="60" t="s">
        <v>247</v>
      </c>
      <c r="C160" s="127"/>
      <c r="D160" s="128"/>
      <c r="E160" s="68">
        <v>0</v>
      </c>
      <c r="G160" s="60" t="s">
        <v>247</v>
      </c>
      <c r="H160" s="127"/>
      <c r="I160" s="128"/>
      <c r="J160" s="68">
        <v>0</v>
      </c>
      <c r="L160" s="60" t="s">
        <v>247</v>
      </c>
      <c r="M160" s="127"/>
      <c r="N160" s="128"/>
      <c r="O160" s="68">
        <v>10</v>
      </c>
    </row>
    <row r="161" spans="2:15" x14ac:dyDescent="0.3">
      <c r="B161" s="60" t="s">
        <v>93</v>
      </c>
      <c r="C161" s="2"/>
      <c r="D161" s="2"/>
      <c r="E161" s="67">
        <v>1980</v>
      </c>
      <c r="G161" s="60" t="s">
        <v>93</v>
      </c>
      <c r="H161" s="2"/>
      <c r="I161" s="2"/>
      <c r="J161" s="67">
        <v>2110</v>
      </c>
      <c r="L161" s="60" t="s">
        <v>93</v>
      </c>
      <c r="M161" s="2"/>
      <c r="N161" s="2"/>
      <c r="O161" s="67">
        <v>2240</v>
      </c>
    </row>
    <row r="162" spans="2:15" x14ac:dyDescent="0.3">
      <c r="B162" s="60" t="s">
        <v>99</v>
      </c>
      <c r="C162" s="2"/>
      <c r="D162" s="2"/>
      <c r="E162" s="66">
        <v>152.30769230769232</v>
      </c>
      <c r="G162" s="60" t="s">
        <v>99</v>
      </c>
      <c r="H162" s="2"/>
      <c r="I162" s="2"/>
      <c r="J162" s="66">
        <v>162.30769230769232</v>
      </c>
      <c r="L162" s="60" t="s">
        <v>99</v>
      </c>
      <c r="M162" s="2"/>
      <c r="N162" s="2"/>
      <c r="O162" s="66">
        <v>172.30769230769232</v>
      </c>
    </row>
    <row r="163" spans="2:15" x14ac:dyDescent="0.3">
      <c r="B163" s="60" t="s">
        <v>235</v>
      </c>
      <c r="C163" s="2"/>
      <c r="D163" s="2"/>
      <c r="E163" s="67">
        <v>255.5</v>
      </c>
      <c r="G163" s="60" t="s">
        <v>235</v>
      </c>
      <c r="H163" s="2"/>
      <c r="I163" s="2"/>
      <c r="J163" s="67">
        <v>255.5</v>
      </c>
      <c r="L163" s="60" t="s">
        <v>235</v>
      </c>
      <c r="M163" s="2"/>
      <c r="N163" s="2"/>
      <c r="O163" s="67">
        <v>265.5</v>
      </c>
    </row>
    <row r="164" spans="2:15" ht="15" thickBot="1" x14ac:dyDescent="0.35">
      <c r="B164" s="60" t="s">
        <v>96</v>
      </c>
      <c r="C164" s="2"/>
      <c r="D164" s="129"/>
      <c r="E164" s="134">
        <v>5.65</v>
      </c>
      <c r="G164" s="60" t="s">
        <v>96</v>
      </c>
      <c r="H164" s="2"/>
      <c r="I164" s="129"/>
      <c r="J164" s="134">
        <v>312.78999999999996</v>
      </c>
      <c r="L164" s="60" t="s">
        <v>96</v>
      </c>
      <c r="M164" s="2"/>
      <c r="N164" s="129"/>
      <c r="O164" s="134">
        <v>323.93</v>
      </c>
    </row>
    <row r="165" spans="2:15" ht="15.6" thickTop="1" thickBot="1" x14ac:dyDescent="0.35">
      <c r="B165" s="64" t="s">
        <v>94</v>
      </c>
      <c r="C165" s="65"/>
      <c r="D165" s="131"/>
      <c r="E165" s="132">
        <v>2241.15</v>
      </c>
      <c r="G165" s="64" t="s">
        <v>94</v>
      </c>
      <c r="H165" s="65"/>
      <c r="I165" s="131"/>
      <c r="J165" s="132">
        <v>2404.5199999999995</v>
      </c>
      <c r="L165" s="64" t="s">
        <v>94</v>
      </c>
      <c r="M165" s="65"/>
      <c r="N165" s="131"/>
      <c r="O165" s="132">
        <v>2829.43</v>
      </c>
    </row>
    <row r="166" spans="2:15" ht="15.6" thickTop="1" thickBot="1" x14ac:dyDescent="0.35">
      <c r="B166" s="64" t="s">
        <v>98</v>
      </c>
      <c r="C166" s="65"/>
      <c r="D166" s="131"/>
      <c r="E166" s="143">
        <v>2274.52</v>
      </c>
      <c r="G166" s="64" t="s">
        <v>98</v>
      </c>
      <c r="H166" s="65"/>
      <c r="I166" s="131"/>
      <c r="J166" s="143">
        <v>2365.5</v>
      </c>
      <c r="L166" s="64" t="s">
        <v>98</v>
      </c>
      <c r="M166" s="65"/>
      <c r="N166" s="131"/>
      <c r="O166" s="143">
        <v>2720.0199999999991</v>
      </c>
    </row>
    <row r="167" spans="2:15" ht="15.6" thickTop="1" thickBot="1" x14ac:dyDescent="0.35"/>
    <row r="168" spans="2:15" ht="15.6" thickTop="1" thickBot="1" x14ac:dyDescent="0.35">
      <c r="B168" s="378" t="s">
        <v>92</v>
      </c>
      <c r="C168" s="405"/>
      <c r="D168" s="379"/>
      <c r="E168" s="75">
        <v>44788</v>
      </c>
      <c r="G168" s="378" t="s">
        <v>92</v>
      </c>
      <c r="H168" s="405"/>
      <c r="I168" s="379"/>
      <c r="J168" s="75">
        <v>44788</v>
      </c>
      <c r="L168" s="378" t="s">
        <v>92</v>
      </c>
      <c r="M168" s="405"/>
      <c r="N168" s="379"/>
      <c r="O168" s="75">
        <v>44788</v>
      </c>
    </row>
    <row r="169" spans="2:15" ht="15.6" thickTop="1" thickBot="1" x14ac:dyDescent="0.35">
      <c r="B169" s="382"/>
      <c r="C169" s="406"/>
      <c r="D169" s="383"/>
      <c r="E169" s="75">
        <v>45337</v>
      </c>
      <c r="G169" s="382"/>
      <c r="H169" s="406"/>
      <c r="I169" s="383"/>
      <c r="J169" s="75">
        <v>45366</v>
      </c>
      <c r="L169" s="382"/>
      <c r="M169" s="406"/>
      <c r="N169" s="383"/>
      <c r="O169" s="75">
        <v>45397</v>
      </c>
    </row>
    <row r="170" spans="2:15" ht="15.6" thickTop="1" thickBot="1" x14ac:dyDescent="0.35">
      <c r="B170" s="60" t="s">
        <v>91</v>
      </c>
      <c r="C170" s="2"/>
      <c r="D170" s="2"/>
      <c r="E170" s="117">
        <v>2470</v>
      </c>
      <c r="G170" s="60" t="s">
        <v>91</v>
      </c>
      <c r="H170" s="2"/>
      <c r="I170" s="2"/>
      <c r="J170" s="117">
        <v>2600</v>
      </c>
      <c r="L170" s="60" t="s">
        <v>91</v>
      </c>
      <c r="M170" s="2"/>
      <c r="N170" s="2"/>
      <c r="O170" s="117">
        <v>2730</v>
      </c>
    </row>
    <row r="171" spans="2:15" ht="15.6" thickTop="1" thickBot="1" x14ac:dyDescent="0.35">
      <c r="B171" s="61" t="s">
        <v>168</v>
      </c>
      <c r="C171" s="62"/>
      <c r="D171" s="62"/>
      <c r="E171" s="123"/>
      <c r="G171" s="61" t="s">
        <v>168</v>
      </c>
      <c r="H171" s="62"/>
      <c r="I171" s="62"/>
      <c r="J171" s="123"/>
      <c r="L171" s="61" t="s">
        <v>168</v>
      </c>
      <c r="M171" s="62"/>
      <c r="N171" s="62"/>
      <c r="O171" s="123"/>
    </row>
    <row r="172" spans="2:15" ht="15" thickTop="1" x14ac:dyDescent="0.3">
      <c r="B172" s="121" t="s">
        <v>224</v>
      </c>
      <c r="C172" s="2"/>
      <c r="D172" s="2"/>
      <c r="E172" s="116">
        <v>8010</v>
      </c>
      <c r="G172" s="121" t="s">
        <v>224</v>
      </c>
      <c r="H172" s="2"/>
      <c r="I172" s="2"/>
      <c r="J172" s="116">
        <v>10210</v>
      </c>
      <c r="L172" s="121" t="s">
        <v>224</v>
      </c>
      <c r="M172" s="2"/>
      <c r="N172" s="2"/>
      <c r="O172" s="116">
        <v>10360</v>
      </c>
    </row>
    <row r="173" spans="2:15" x14ac:dyDescent="0.3">
      <c r="B173" s="122" t="s">
        <v>225</v>
      </c>
      <c r="C173" s="2"/>
      <c r="D173" s="2"/>
      <c r="E173" s="68">
        <v>100</v>
      </c>
      <c r="G173" s="122" t="s">
        <v>225</v>
      </c>
      <c r="H173" s="2"/>
      <c r="I173" s="2"/>
      <c r="J173" s="68">
        <v>100</v>
      </c>
      <c r="L173" s="122" t="s">
        <v>225</v>
      </c>
      <c r="M173" s="2"/>
      <c r="N173" s="2"/>
      <c r="O173" s="68">
        <v>200</v>
      </c>
    </row>
    <row r="174" spans="2:15" x14ac:dyDescent="0.3">
      <c r="B174" s="60" t="s">
        <v>102</v>
      </c>
      <c r="C174" s="2"/>
      <c r="D174" s="2"/>
      <c r="E174" s="69">
        <v>600</v>
      </c>
      <c r="G174" s="60" t="s">
        <v>102</v>
      </c>
      <c r="H174" s="2"/>
      <c r="I174" s="2"/>
      <c r="J174" s="69">
        <v>2100</v>
      </c>
      <c r="L174" s="60" t="s">
        <v>102</v>
      </c>
      <c r="M174" s="2"/>
      <c r="N174" s="2"/>
      <c r="O174" s="69">
        <v>150</v>
      </c>
    </row>
    <row r="175" spans="2:15" x14ac:dyDescent="0.3">
      <c r="B175" s="122" t="s">
        <v>226</v>
      </c>
      <c r="C175" s="2"/>
      <c r="D175" s="2"/>
      <c r="E175" s="124">
        <v>584</v>
      </c>
      <c r="G175" s="122" t="s">
        <v>226</v>
      </c>
      <c r="H175" s="2"/>
      <c r="I175" s="2"/>
      <c r="J175" s="124">
        <v>978</v>
      </c>
      <c r="L175" s="122" t="s">
        <v>226</v>
      </c>
      <c r="M175" s="2"/>
      <c r="N175" s="2"/>
      <c r="O175" s="124">
        <v>987</v>
      </c>
    </row>
    <row r="176" spans="2:15" ht="15" thickBot="1" x14ac:dyDescent="0.35">
      <c r="B176" s="60" t="s">
        <v>104</v>
      </c>
      <c r="C176" s="2"/>
      <c r="D176" s="2"/>
      <c r="E176" s="69">
        <v>60</v>
      </c>
      <c r="G176" s="60" t="s">
        <v>104</v>
      </c>
      <c r="H176" s="2"/>
      <c r="I176" s="2"/>
      <c r="J176" s="69">
        <v>386</v>
      </c>
      <c r="L176" s="60" t="s">
        <v>104</v>
      </c>
      <c r="M176" s="2"/>
      <c r="N176" s="2"/>
      <c r="O176" s="69">
        <v>9</v>
      </c>
    </row>
    <row r="177" spans="2:15" ht="15.6" thickTop="1" thickBot="1" x14ac:dyDescent="0.35">
      <c r="B177" s="125" t="s">
        <v>39</v>
      </c>
      <c r="C177" s="62"/>
      <c r="D177" s="62"/>
      <c r="E177" s="123"/>
      <c r="G177" s="125" t="s">
        <v>39</v>
      </c>
      <c r="H177" s="62"/>
      <c r="I177" s="62"/>
      <c r="J177" s="123"/>
      <c r="L177" s="125" t="s">
        <v>39</v>
      </c>
      <c r="M177" s="62"/>
      <c r="N177" s="62"/>
      <c r="O177" s="123"/>
    </row>
    <row r="178" spans="2:15" ht="15" thickTop="1" x14ac:dyDescent="0.3">
      <c r="B178" s="60" t="s">
        <v>100</v>
      </c>
      <c r="C178" s="2"/>
      <c r="D178" s="2"/>
      <c r="E178" s="68">
        <v>5938.5500000000011</v>
      </c>
      <c r="G178" s="60" t="s">
        <v>100</v>
      </c>
      <c r="H178" s="2"/>
      <c r="I178" s="2"/>
      <c r="J178" s="68">
        <v>7440.6900000000014</v>
      </c>
      <c r="L178" s="60" t="s">
        <v>100</v>
      </c>
      <c r="M178" s="2"/>
      <c r="N178" s="2"/>
      <c r="O178" s="68">
        <v>7912.8300000000017</v>
      </c>
    </row>
    <row r="179" spans="2:15" x14ac:dyDescent="0.3">
      <c r="B179" s="60" t="s">
        <v>103</v>
      </c>
      <c r="C179" s="2"/>
      <c r="D179" s="2"/>
      <c r="E179" s="69">
        <v>657.14</v>
      </c>
      <c r="G179" s="60" t="s">
        <v>103</v>
      </c>
      <c r="H179" s="2"/>
      <c r="I179" s="2"/>
      <c r="J179" s="69">
        <v>1502.1399999999999</v>
      </c>
      <c r="L179" s="60" t="s">
        <v>103</v>
      </c>
      <c r="M179" s="2"/>
      <c r="N179" s="2"/>
      <c r="O179" s="69">
        <v>472.14</v>
      </c>
    </row>
    <row r="180" spans="2:15" ht="15" thickBot="1" x14ac:dyDescent="0.35">
      <c r="B180" s="73" t="s">
        <v>95</v>
      </c>
      <c r="C180" s="72"/>
      <c r="D180" s="63"/>
      <c r="E180" s="71">
        <v>2071.4499999999989</v>
      </c>
      <c r="G180" s="73" t="s">
        <v>95</v>
      </c>
      <c r="H180" s="72"/>
      <c r="I180" s="63"/>
      <c r="J180" s="71">
        <v>2769.3099999999986</v>
      </c>
      <c r="L180" s="73" t="s">
        <v>95</v>
      </c>
      <c r="M180" s="72"/>
      <c r="N180" s="63"/>
      <c r="O180" s="71">
        <v>2447.1699999999983</v>
      </c>
    </row>
    <row r="181" spans="2:15" ht="15" thickTop="1" x14ac:dyDescent="0.3">
      <c r="B181" s="60" t="s">
        <v>101</v>
      </c>
      <c r="C181" s="2"/>
      <c r="D181" s="2"/>
      <c r="E181" s="68">
        <v>458</v>
      </c>
      <c r="G181" s="60" t="s">
        <v>101</v>
      </c>
      <c r="H181" s="2"/>
      <c r="I181" s="2"/>
      <c r="J181" s="68">
        <v>506</v>
      </c>
      <c r="L181" s="60" t="s">
        <v>101</v>
      </c>
      <c r="M181" s="2"/>
      <c r="N181" s="2"/>
      <c r="O181" s="68">
        <v>570</v>
      </c>
    </row>
    <row r="182" spans="2:15" x14ac:dyDescent="0.3">
      <c r="B182" s="60" t="s">
        <v>105</v>
      </c>
      <c r="C182" s="2"/>
      <c r="D182" s="2"/>
      <c r="E182" s="69">
        <v>46</v>
      </c>
      <c r="G182" s="60" t="s">
        <v>105</v>
      </c>
      <c r="H182" s="2"/>
      <c r="I182" s="2"/>
      <c r="J182" s="69">
        <v>48</v>
      </c>
      <c r="L182" s="60" t="s">
        <v>105</v>
      </c>
      <c r="M182" s="2"/>
      <c r="N182" s="2"/>
      <c r="O182" s="69">
        <v>64</v>
      </c>
    </row>
    <row r="183" spans="2:15" ht="15" thickBot="1" x14ac:dyDescent="0.35">
      <c r="B183" s="73" t="s">
        <v>97</v>
      </c>
      <c r="C183" s="63"/>
      <c r="D183" s="63"/>
      <c r="E183" s="71">
        <v>126</v>
      </c>
      <c r="G183" s="73" t="s">
        <v>97</v>
      </c>
      <c r="H183" s="63"/>
      <c r="I183" s="63"/>
      <c r="J183" s="71">
        <v>472</v>
      </c>
      <c r="L183" s="73" t="s">
        <v>97</v>
      </c>
      <c r="M183" s="63"/>
      <c r="N183" s="63"/>
      <c r="O183" s="71">
        <v>417</v>
      </c>
    </row>
    <row r="184" spans="2:15" ht="15.6" thickTop="1" thickBot="1" x14ac:dyDescent="0.35">
      <c r="B184" s="61" t="s">
        <v>227</v>
      </c>
      <c r="C184" s="126"/>
      <c r="D184" s="62"/>
      <c r="E184" s="130"/>
      <c r="G184" s="61" t="s">
        <v>227</v>
      </c>
      <c r="H184" s="126"/>
      <c r="I184" s="62"/>
      <c r="J184" s="130"/>
      <c r="L184" s="61" t="s">
        <v>227</v>
      </c>
      <c r="M184" s="126"/>
      <c r="N184" s="62"/>
      <c r="O184" s="130"/>
    </row>
    <row r="185" spans="2:15" ht="15" thickTop="1" x14ac:dyDescent="0.3">
      <c r="B185" s="60" t="s">
        <v>228</v>
      </c>
      <c r="C185" s="118"/>
      <c r="D185" s="2"/>
      <c r="E185" s="70">
        <v>19.5</v>
      </c>
      <c r="G185" s="60" t="s">
        <v>228</v>
      </c>
      <c r="H185" s="118"/>
      <c r="I185" s="2"/>
      <c r="J185" s="70">
        <v>19.5</v>
      </c>
      <c r="L185" s="60" t="s">
        <v>228</v>
      </c>
      <c r="M185" s="118"/>
      <c r="N185" s="2"/>
      <c r="O185" s="70">
        <v>19.5</v>
      </c>
    </row>
    <row r="186" spans="2:15" x14ac:dyDescent="0.3">
      <c r="B186" s="60" t="s">
        <v>248</v>
      </c>
      <c r="C186" s="127"/>
      <c r="D186" s="128"/>
      <c r="E186" s="68">
        <v>250</v>
      </c>
      <c r="G186" s="60" t="s">
        <v>248</v>
      </c>
      <c r="H186" s="127"/>
      <c r="I186" s="128"/>
      <c r="J186" s="68">
        <v>250</v>
      </c>
      <c r="L186" s="60" t="s">
        <v>248</v>
      </c>
      <c r="M186" s="127"/>
      <c r="N186" s="128"/>
      <c r="O186" s="68">
        <v>250</v>
      </c>
    </row>
    <row r="187" spans="2:15" x14ac:dyDescent="0.3">
      <c r="B187" s="60" t="s">
        <v>247</v>
      </c>
      <c r="C187" s="127"/>
      <c r="D187" s="128"/>
      <c r="E187" s="68">
        <v>10</v>
      </c>
      <c r="G187" s="60" t="s">
        <v>247</v>
      </c>
      <c r="H187" s="127"/>
      <c r="I187" s="128"/>
      <c r="J187" s="68">
        <v>16</v>
      </c>
      <c r="L187" s="60" t="s">
        <v>247</v>
      </c>
      <c r="M187" s="127"/>
      <c r="N187" s="128"/>
      <c r="O187" s="68">
        <v>16</v>
      </c>
    </row>
    <row r="188" spans="2:15" x14ac:dyDescent="0.3">
      <c r="B188" s="60" t="s">
        <v>93</v>
      </c>
      <c r="C188" s="2"/>
      <c r="D188" s="2"/>
      <c r="E188" s="67">
        <v>2370</v>
      </c>
      <c r="G188" s="60" t="s">
        <v>93</v>
      </c>
      <c r="H188" s="2"/>
      <c r="I188" s="2"/>
      <c r="J188" s="67">
        <v>2500</v>
      </c>
      <c r="L188" s="60" t="s">
        <v>93</v>
      </c>
      <c r="M188" s="2"/>
      <c r="N188" s="2"/>
      <c r="O188" s="67">
        <v>2530</v>
      </c>
    </row>
    <row r="189" spans="2:15" x14ac:dyDescent="0.3">
      <c r="B189" s="60" t="s">
        <v>99</v>
      </c>
      <c r="C189" s="2"/>
      <c r="D189" s="2"/>
      <c r="E189" s="66">
        <v>182.30769230769232</v>
      </c>
      <c r="G189" s="60" t="s">
        <v>99</v>
      </c>
      <c r="H189" s="2"/>
      <c r="I189" s="2"/>
      <c r="J189" s="66">
        <v>192.30769230769232</v>
      </c>
      <c r="L189" s="60" t="s">
        <v>99</v>
      </c>
      <c r="M189" s="2"/>
      <c r="N189" s="2"/>
      <c r="O189" s="66">
        <v>194.61538461538461</v>
      </c>
    </row>
    <row r="190" spans="2:15" x14ac:dyDescent="0.3">
      <c r="B190" s="60" t="s">
        <v>235</v>
      </c>
      <c r="C190" s="2"/>
      <c r="D190" s="2"/>
      <c r="E190" s="67">
        <v>343.5</v>
      </c>
      <c r="G190" s="60" t="s">
        <v>235</v>
      </c>
      <c r="H190" s="2"/>
      <c r="I190" s="2"/>
      <c r="J190" s="67">
        <v>731.5</v>
      </c>
      <c r="L190" s="60" t="s">
        <v>235</v>
      </c>
      <c r="M190" s="2"/>
      <c r="N190" s="2"/>
      <c r="O190" s="67">
        <v>740.5</v>
      </c>
    </row>
    <row r="191" spans="2:15" ht="15" thickBot="1" x14ac:dyDescent="0.35">
      <c r="B191" s="60" t="s">
        <v>96</v>
      </c>
      <c r="C191" s="2"/>
      <c r="D191" s="129"/>
      <c r="E191" s="134">
        <v>465.07</v>
      </c>
      <c r="G191" s="60" t="s">
        <v>96</v>
      </c>
      <c r="H191" s="2"/>
      <c r="I191" s="129"/>
      <c r="J191" s="134">
        <v>45.21</v>
      </c>
      <c r="L191" s="60" t="s">
        <v>96</v>
      </c>
      <c r="M191" s="2"/>
      <c r="N191" s="129"/>
      <c r="O191" s="134">
        <v>461.35</v>
      </c>
    </row>
    <row r="192" spans="2:15" ht="15.6" thickTop="1" thickBot="1" x14ac:dyDescent="0.35">
      <c r="B192" s="64" t="s">
        <v>94</v>
      </c>
      <c r="C192" s="65"/>
      <c r="D192" s="131"/>
      <c r="E192" s="132">
        <v>3178.57</v>
      </c>
      <c r="G192" s="64" t="s">
        <v>94</v>
      </c>
      <c r="H192" s="65"/>
      <c r="I192" s="131"/>
      <c r="J192" s="132">
        <v>3276.71</v>
      </c>
      <c r="L192" s="64" t="s">
        <v>94</v>
      </c>
      <c r="M192" s="65"/>
      <c r="N192" s="131"/>
      <c r="O192" s="132">
        <v>3731.85</v>
      </c>
    </row>
    <row r="193" spans="2:15" ht="15.6" thickTop="1" thickBot="1" x14ac:dyDescent="0.35">
      <c r="B193" s="64" t="s">
        <v>98</v>
      </c>
      <c r="C193" s="65"/>
      <c r="D193" s="131"/>
      <c r="E193" s="143">
        <v>3006.0199999999991</v>
      </c>
      <c r="G193" s="64" t="s">
        <v>98</v>
      </c>
      <c r="H193" s="65"/>
      <c r="I193" s="131"/>
      <c r="J193" s="143">
        <v>4018.0199999999986</v>
      </c>
      <c r="L193" s="64" t="s">
        <v>98</v>
      </c>
      <c r="M193" s="65"/>
      <c r="N193" s="131"/>
      <c r="O193" s="143">
        <v>3604.6699999999983</v>
      </c>
    </row>
    <row r="194" spans="2:15" ht="15.6" thickTop="1" thickBot="1" x14ac:dyDescent="0.35"/>
    <row r="195" spans="2:15" ht="15.6" thickTop="1" thickBot="1" x14ac:dyDescent="0.35">
      <c r="B195" s="378" t="s">
        <v>92</v>
      </c>
      <c r="C195" s="405"/>
      <c r="D195" s="379"/>
      <c r="E195" s="75">
        <v>44788</v>
      </c>
      <c r="G195" s="378" t="s">
        <v>92</v>
      </c>
      <c r="H195" s="405"/>
      <c r="I195" s="379"/>
      <c r="J195" s="75">
        <v>44788</v>
      </c>
      <c r="L195" s="378" t="s">
        <v>92</v>
      </c>
      <c r="M195" s="405"/>
      <c r="N195" s="379"/>
      <c r="O195" s="75">
        <v>44788</v>
      </c>
    </row>
    <row r="196" spans="2:15" ht="15.6" thickTop="1" thickBot="1" x14ac:dyDescent="0.35">
      <c r="B196" s="382"/>
      <c r="C196" s="406"/>
      <c r="D196" s="383"/>
      <c r="E196" s="75">
        <v>45427</v>
      </c>
      <c r="G196" s="382"/>
      <c r="H196" s="406"/>
      <c r="I196" s="383"/>
      <c r="J196" s="75">
        <v>45458</v>
      </c>
      <c r="L196" s="382"/>
      <c r="M196" s="406"/>
      <c r="N196" s="383"/>
      <c r="O196" s="75">
        <v>45488</v>
      </c>
    </row>
    <row r="197" spans="2:15" ht="15.6" thickTop="1" thickBot="1" x14ac:dyDescent="0.35">
      <c r="B197" s="60" t="s">
        <v>91</v>
      </c>
      <c r="C197" s="2"/>
      <c r="D197" s="2"/>
      <c r="E197" s="117">
        <v>2860</v>
      </c>
      <c r="G197" s="60" t="s">
        <v>91</v>
      </c>
      <c r="H197" s="2"/>
      <c r="I197" s="2"/>
      <c r="J197" s="117">
        <v>2990</v>
      </c>
      <c r="L197" s="60" t="s">
        <v>91</v>
      </c>
      <c r="M197" s="2"/>
      <c r="N197" s="2"/>
      <c r="O197" s="117">
        <v>3120</v>
      </c>
    </row>
    <row r="198" spans="2:15" ht="15.6" thickTop="1" thickBot="1" x14ac:dyDescent="0.35">
      <c r="B198" s="61" t="s">
        <v>168</v>
      </c>
      <c r="C198" s="62"/>
      <c r="D198" s="62"/>
      <c r="E198" s="123"/>
      <c r="G198" s="61" t="s">
        <v>168</v>
      </c>
      <c r="H198" s="62"/>
      <c r="I198" s="62"/>
      <c r="J198" s="123"/>
      <c r="L198" s="61" t="s">
        <v>168</v>
      </c>
      <c r="M198" s="62"/>
      <c r="N198" s="62"/>
      <c r="O198" s="123"/>
    </row>
    <row r="199" spans="2:15" ht="15" thickTop="1" x14ac:dyDescent="0.3">
      <c r="B199" s="121" t="s">
        <v>224</v>
      </c>
      <c r="C199" s="2"/>
      <c r="D199" s="2"/>
      <c r="E199" s="116">
        <v>11360</v>
      </c>
      <c r="G199" s="121" t="s">
        <v>224</v>
      </c>
      <c r="H199" s="2"/>
      <c r="I199" s="2"/>
      <c r="J199" s="116">
        <v>12360</v>
      </c>
      <c r="L199" s="121" t="s">
        <v>224</v>
      </c>
      <c r="M199" s="2"/>
      <c r="N199" s="2"/>
      <c r="O199" s="116">
        <v>13360</v>
      </c>
    </row>
    <row r="200" spans="2:15" x14ac:dyDescent="0.3">
      <c r="B200" s="122" t="s">
        <v>225</v>
      </c>
      <c r="C200" s="2"/>
      <c r="D200" s="2"/>
      <c r="E200" s="68">
        <v>200</v>
      </c>
      <c r="G200" s="122" t="s">
        <v>225</v>
      </c>
      <c r="H200" s="2"/>
      <c r="I200" s="2"/>
      <c r="J200" s="68">
        <v>200</v>
      </c>
      <c r="L200" s="122" t="s">
        <v>225</v>
      </c>
      <c r="M200" s="2"/>
      <c r="N200" s="2"/>
      <c r="O200" s="68">
        <v>200</v>
      </c>
    </row>
    <row r="201" spans="2:15" x14ac:dyDescent="0.3">
      <c r="B201" s="60" t="s">
        <v>102</v>
      </c>
      <c r="C201" s="2"/>
      <c r="D201" s="2"/>
      <c r="E201" s="69">
        <v>1000</v>
      </c>
      <c r="G201" s="60" t="s">
        <v>102</v>
      </c>
      <c r="H201" s="2"/>
      <c r="I201" s="2"/>
      <c r="J201" s="69">
        <v>1000</v>
      </c>
      <c r="L201" s="60" t="s">
        <v>102</v>
      </c>
      <c r="M201" s="2"/>
      <c r="N201" s="2"/>
      <c r="O201" s="69">
        <v>1000</v>
      </c>
    </row>
    <row r="202" spans="2:15" x14ac:dyDescent="0.3">
      <c r="B202" s="122" t="s">
        <v>226</v>
      </c>
      <c r="C202" s="2"/>
      <c r="D202" s="2"/>
      <c r="E202" s="124">
        <v>1103</v>
      </c>
      <c r="G202" s="122" t="s">
        <v>226</v>
      </c>
      <c r="H202" s="2"/>
      <c r="I202" s="2"/>
      <c r="J202" s="124">
        <v>1191</v>
      </c>
      <c r="L202" s="122" t="s">
        <v>226</v>
      </c>
      <c r="M202" s="2"/>
      <c r="N202" s="2"/>
      <c r="O202" s="124">
        <v>1361</v>
      </c>
    </row>
    <row r="203" spans="2:15" ht="15" thickBot="1" x14ac:dyDescent="0.35">
      <c r="B203" s="60" t="s">
        <v>104</v>
      </c>
      <c r="C203" s="2"/>
      <c r="D203" s="2"/>
      <c r="E203" s="69">
        <v>116</v>
      </c>
      <c r="G203" s="60" t="s">
        <v>104</v>
      </c>
      <c r="H203" s="2"/>
      <c r="I203" s="2"/>
      <c r="J203" s="69">
        <v>88</v>
      </c>
      <c r="L203" s="60" t="s">
        <v>104</v>
      </c>
      <c r="M203" s="2"/>
      <c r="N203" s="2"/>
      <c r="O203" s="69">
        <v>170</v>
      </c>
    </row>
    <row r="204" spans="2:15" ht="15.6" thickTop="1" thickBot="1" x14ac:dyDescent="0.35">
      <c r="B204" s="125" t="s">
        <v>39</v>
      </c>
      <c r="C204" s="62"/>
      <c r="D204" s="62"/>
      <c r="E204" s="123"/>
      <c r="G204" s="125" t="s">
        <v>39</v>
      </c>
      <c r="H204" s="62"/>
      <c r="I204" s="62"/>
      <c r="J204" s="123"/>
      <c r="L204" s="125" t="s">
        <v>39</v>
      </c>
      <c r="M204" s="62"/>
      <c r="N204" s="62"/>
      <c r="O204" s="123"/>
    </row>
    <row r="205" spans="2:15" ht="15" thickTop="1" x14ac:dyDescent="0.3">
      <c r="B205" s="60" t="s">
        <v>100</v>
      </c>
      <c r="C205" s="2"/>
      <c r="D205" s="2"/>
      <c r="E205" s="68">
        <v>8384.9700000000012</v>
      </c>
      <c r="G205" s="60" t="s">
        <v>100</v>
      </c>
      <c r="H205" s="2"/>
      <c r="I205" s="2"/>
      <c r="J205" s="68">
        <v>9085.6700000000019</v>
      </c>
      <c r="L205" s="60" t="s">
        <v>100</v>
      </c>
      <c r="M205" s="2"/>
      <c r="N205" s="2"/>
      <c r="O205" s="68">
        <v>9951.3700000000026</v>
      </c>
    </row>
    <row r="206" spans="2:15" x14ac:dyDescent="0.3">
      <c r="B206" s="60" t="s">
        <v>103</v>
      </c>
      <c r="C206" s="2"/>
      <c r="D206" s="2"/>
      <c r="E206" s="69">
        <v>472.14</v>
      </c>
      <c r="G206" s="60" t="s">
        <v>103</v>
      </c>
      <c r="H206" s="2"/>
      <c r="I206" s="2"/>
      <c r="J206" s="69">
        <v>700.7</v>
      </c>
      <c r="L206" s="60" t="s">
        <v>103</v>
      </c>
      <c r="M206" s="2"/>
      <c r="N206" s="2"/>
      <c r="O206" s="69">
        <v>865.7</v>
      </c>
    </row>
    <row r="207" spans="2:15" ht="15" thickBot="1" x14ac:dyDescent="0.35">
      <c r="B207" s="73" t="s">
        <v>95</v>
      </c>
      <c r="C207" s="72"/>
      <c r="D207" s="63"/>
      <c r="E207" s="71">
        <v>2975.0299999999988</v>
      </c>
      <c r="G207" s="73" t="s">
        <v>95</v>
      </c>
      <c r="H207" s="72"/>
      <c r="I207" s="63"/>
      <c r="J207" s="71">
        <v>3274.3299999999981</v>
      </c>
      <c r="L207" s="73" t="s">
        <v>95</v>
      </c>
      <c r="M207" s="72"/>
      <c r="N207" s="63"/>
      <c r="O207" s="71">
        <v>3408.6299999999974</v>
      </c>
    </row>
    <row r="208" spans="2:15" ht="15" thickTop="1" x14ac:dyDescent="0.3">
      <c r="B208" s="60" t="s">
        <v>101</v>
      </c>
      <c r="C208" s="2"/>
      <c r="D208" s="2"/>
      <c r="E208" s="68">
        <v>634</v>
      </c>
      <c r="G208" s="60" t="s">
        <v>101</v>
      </c>
      <c r="H208" s="2"/>
      <c r="I208" s="2"/>
      <c r="J208" s="68">
        <v>710</v>
      </c>
      <c r="L208" s="60" t="s">
        <v>101</v>
      </c>
      <c r="M208" s="2"/>
      <c r="N208" s="2"/>
      <c r="O208" s="68">
        <v>805</v>
      </c>
    </row>
    <row r="209" spans="2:15" x14ac:dyDescent="0.3">
      <c r="B209" s="60" t="s">
        <v>105</v>
      </c>
      <c r="C209" s="2"/>
      <c r="D209" s="2"/>
      <c r="E209" s="69">
        <v>64</v>
      </c>
      <c r="G209" s="60" t="s">
        <v>105</v>
      </c>
      <c r="H209" s="2"/>
      <c r="I209" s="2"/>
      <c r="J209" s="69">
        <v>76</v>
      </c>
      <c r="L209" s="60" t="s">
        <v>105</v>
      </c>
      <c r="M209" s="2"/>
      <c r="N209" s="2"/>
      <c r="O209" s="69">
        <v>95</v>
      </c>
    </row>
    <row r="210" spans="2:15" ht="15" thickBot="1" x14ac:dyDescent="0.35">
      <c r="B210" s="73" t="s">
        <v>97</v>
      </c>
      <c r="C210" s="63"/>
      <c r="D210" s="63"/>
      <c r="E210" s="71">
        <v>469</v>
      </c>
      <c r="G210" s="73" t="s">
        <v>97</v>
      </c>
      <c r="H210" s="63"/>
      <c r="I210" s="63"/>
      <c r="J210" s="71">
        <v>481</v>
      </c>
      <c r="L210" s="73" t="s">
        <v>97</v>
      </c>
      <c r="M210" s="63"/>
      <c r="N210" s="63"/>
      <c r="O210" s="71">
        <v>556</v>
      </c>
    </row>
    <row r="211" spans="2:15" ht="15.6" thickTop="1" thickBot="1" x14ac:dyDescent="0.35">
      <c r="B211" s="61" t="s">
        <v>227</v>
      </c>
      <c r="C211" s="126"/>
      <c r="D211" s="62"/>
      <c r="E211" s="130"/>
      <c r="G211" s="61" t="s">
        <v>227</v>
      </c>
      <c r="H211" s="126"/>
      <c r="I211" s="62"/>
      <c r="J211" s="130"/>
      <c r="L211" s="61" t="s">
        <v>227</v>
      </c>
      <c r="M211" s="126"/>
      <c r="N211" s="62"/>
      <c r="O211" s="130"/>
    </row>
    <row r="212" spans="2:15" ht="15" thickTop="1" x14ac:dyDescent="0.3">
      <c r="B212" s="60" t="s">
        <v>228</v>
      </c>
      <c r="C212" s="118"/>
      <c r="D212" s="2"/>
      <c r="E212" s="70">
        <v>23.5</v>
      </c>
      <c r="G212" s="60" t="s">
        <v>228</v>
      </c>
      <c r="H212" s="118"/>
      <c r="I212" s="2"/>
      <c r="J212" s="70">
        <v>23.5</v>
      </c>
      <c r="L212" s="60" t="s">
        <v>228</v>
      </c>
      <c r="M212" s="118"/>
      <c r="N212" s="2"/>
      <c r="O212" s="70">
        <v>23.5</v>
      </c>
    </row>
    <row r="213" spans="2:15" x14ac:dyDescent="0.3">
      <c r="B213" s="60" t="s">
        <v>248</v>
      </c>
      <c r="C213" s="127"/>
      <c r="D213" s="128"/>
      <c r="E213" s="68">
        <v>250</v>
      </c>
      <c r="G213" s="60" t="s">
        <v>248</v>
      </c>
      <c r="H213" s="127"/>
      <c r="I213" s="128"/>
      <c r="J213" s="68">
        <v>250</v>
      </c>
      <c r="L213" s="60" t="s">
        <v>248</v>
      </c>
      <c r="M213" s="127"/>
      <c r="N213" s="128"/>
      <c r="O213" s="68">
        <v>250</v>
      </c>
    </row>
    <row r="214" spans="2:15" x14ac:dyDescent="0.3">
      <c r="B214" s="60" t="s">
        <v>247</v>
      </c>
      <c r="C214" s="127"/>
      <c r="D214" s="128"/>
      <c r="E214" s="68">
        <v>16</v>
      </c>
      <c r="G214" s="60" t="s">
        <v>247</v>
      </c>
      <c r="H214" s="127"/>
      <c r="I214" s="128"/>
      <c r="J214" s="68">
        <v>24</v>
      </c>
      <c r="L214" s="60" t="s">
        <v>247</v>
      </c>
      <c r="M214" s="127"/>
      <c r="N214" s="128"/>
      <c r="O214" s="68">
        <v>24</v>
      </c>
    </row>
    <row r="215" spans="2:15" x14ac:dyDescent="0.3">
      <c r="B215" s="60" t="s">
        <v>93</v>
      </c>
      <c r="C215" s="2"/>
      <c r="D215" s="2"/>
      <c r="E215" s="67">
        <v>2660</v>
      </c>
      <c r="G215" s="60" t="s">
        <v>93</v>
      </c>
      <c r="H215" s="2"/>
      <c r="I215" s="2"/>
      <c r="J215" s="67">
        <v>2790</v>
      </c>
      <c r="L215" s="60" t="s">
        <v>93</v>
      </c>
      <c r="M215" s="2"/>
      <c r="N215" s="2"/>
      <c r="O215" s="67">
        <v>2920</v>
      </c>
    </row>
    <row r="216" spans="2:15" x14ac:dyDescent="0.3">
      <c r="B216" s="60" t="s">
        <v>99</v>
      </c>
      <c r="C216" s="2"/>
      <c r="D216" s="2"/>
      <c r="E216" s="66">
        <v>204.61538461538461</v>
      </c>
      <c r="G216" s="60" t="s">
        <v>99</v>
      </c>
      <c r="H216" s="2"/>
      <c r="I216" s="2"/>
      <c r="J216" s="66">
        <v>214.61538461538461</v>
      </c>
      <c r="L216" s="60" t="s">
        <v>99</v>
      </c>
      <c r="M216" s="2"/>
      <c r="N216" s="2"/>
      <c r="O216" s="66">
        <v>224.61538461538461</v>
      </c>
    </row>
    <row r="217" spans="2:15" x14ac:dyDescent="0.3">
      <c r="B217" s="60" t="s">
        <v>235</v>
      </c>
      <c r="C217" s="2"/>
      <c r="D217" s="2"/>
      <c r="E217" s="67">
        <v>860.5</v>
      </c>
      <c r="G217" s="60" t="s">
        <v>235</v>
      </c>
      <c r="H217" s="2"/>
      <c r="I217" s="2"/>
      <c r="J217" s="67">
        <v>940.5</v>
      </c>
      <c r="L217" s="60" t="s">
        <v>235</v>
      </c>
      <c r="M217" s="2"/>
      <c r="N217" s="2"/>
      <c r="O217" s="67">
        <v>1110.5</v>
      </c>
    </row>
    <row r="218" spans="2:15" ht="15" thickBot="1" x14ac:dyDescent="0.35">
      <c r="B218" s="60" t="s">
        <v>96</v>
      </c>
      <c r="C218" s="2"/>
      <c r="D218" s="129"/>
      <c r="E218" s="134">
        <v>131.49</v>
      </c>
      <c r="G218" s="60" t="s">
        <v>96</v>
      </c>
      <c r="H218" s="2"/>
      <c r="I218" s="129"/>
      <c r="J218" s="134">
        <v>38.19</v>
      </c>
      <c r="L218" s="60" t="s">
        <v>96</v>
      </c>
      <c r="M218" s="2"/>
      <c r="N218" s="129"/>
      <c r="O218" s="134">
        <v>128.9</v>
      </c>
    </row>
    <row r="219" spans="2:15" ht="15.6" thickTop="1" thickBot="1" x14ac:dyDescent="0.35">
      <c r="B219" s="64" t="s">
        <v>94</v>
      </c>
      <c r="C219" s="65"/>
      <c r="D219" s="131"/>
      <c r="E219" s="132">
        <v>3520.5</v>
      </c>
      <c r="G219" s="64" t="s">
        <v>94</v>
      </c>
      <c r="H219" s="65"/>
      <c r="I219" s="131"/>
      <c r="J219" s="132">
        <v>3793.5199999999982</v>
      </c>
      <c r="L219" s="64" t="s">
        <v>94</v>
      </c>
      <c r="M219" s="65"/>
      <c r="N219" s="131"/>
      <c r="O219" s="132">
        <v>4093.5299999999975</v>
      </c>
    </row>
    <row r="220" spans="2:15" ht="15.6" thickTop="1" thickBot="1" x14ac:dyDescent="0.35">
      <c r="B220" s="64" t="s">
        <v>98</v>
      </c>
      <c r="C220" s="65"/>
      <c r="D220" s="131"/>
      <c r="E220" s="143">
        <v>3575.5199999999986</v>
      </c>
      <c r="G220" s="64" t="s">
        <v>98</v>
      </c>
      <c r="H220" s="65"/>
      <c r="I220" s="131"/>
      <c r="J220" s="143">
        <v>3730.5</v>
      </c>
      <c r="L220" s="64" t="s">
        <v>98</v>
      </c>
      <c r="M220" s="65"/>
      <c r="N220" s="131"/>
      <c r="O220" s="143">
        <v>4030.5</v>
      </c>
    </row>
    <row r="221" spans="2:15" ht="15.6" thickTop="1" thickBot="1" x14ac:dyDescent="0.35"/>
    <row r="222" spans="2:15" ht="15.6" thickTop="1" thickBot="1" x14ac:dyDescent="0.35">
      <c r="B222" s="378" t="s">
        <v>92</v>
      </c>
      <c r="C222" s="405"/>
      <c r="D222" s="379"/>
      <c r="E222" s="75">
        <v>44788</v>
      </c>
      <c r="G222" s="378" t="s">
        <v>92</v>
      </c>
      <c r="H222" s="405"/>
      <c r="I222" s="379"/>
      <c r="J222" s="75">
        <v>44788</v>
      </c>
      <c r="L222" s="378" t="s">
        <v>92</v>
      </c>
      <c r="M222" s="405"/>
      <c r="N222" s="379"/>
      <c r="O222" s="75">
        <v>44788</v>
      </c>
    </row>
    <row r="223" spans="2:15" ht="15.6" thickTop="1" thickBot="1" x14ac:dyDescent="0.35">
      <c r="B223" s="382"/>
      <c r="C223" s="406"/>
      <c r="D223" s="383"/>
      <c r="E223" s="75">
        <v>45519</v>
      </c>
      <c r="G223" s="382"/>
      <c r="H223" s="406"/>
      <c r="I223" s="383"/>
      <c r="J223" s="75">
        <v>45550</v>
      </c>
      <c r="L223" s="382"/>
      <c r="M223" s="406"/>
      <c r="N223" s="383"/>
      <c r="O223" s="75">
        <v>45580</v>
      </c>
    </row>
    <row r="224" spans="2:15" ht="15.6" thickTop="1" thickBot="1" x14ac:dyDescent="0.35">
      <c r="B224" s="60" t="s">
        <v>91</v>
      </c>
      <c r="C224" s="2"/>
      <c r="D224" s="2"/>
      <c r="E224" s="117">
        <v>3250</v>
      </c>
      <c r="G224" s="60" t="s">
        <v>91</v>
      </c>
      <c r="H224" s="2"/>
      <c r="I224" s="2"/>
      <c r="J224" s="117">
        <v>3380</v>
      </c>
      <c r="L224" s="60" t="s">
        <v>91</v>
      </c>
      <c r="M224" s="2"/>
      <c r="N224" s="2"/>
      <c r="O224" s="117">
        <v>3510</v>
      </c>
    </row>
    <row r="225" spans="2:15" ht="15.6" thickTop="1" thickBot="1" x14ac:dyDescent="0.35">
      <c r="B225" s="61" t="s">
        <v>168</v>
      </c>
      <c r="C225" s="62"/>
      <c r="D225" s="62"/>
      <c r="E225" s="123"/>
      <c r="G225" s="61" t="s">
        <v>168</v>
      </c>
      <c r="H225" s="62"/>
      <c r="I225" s="62"/>
      <c r="J225" s="123"/>
      <c r="L225" s="61" t="s">
        <v>168</v>
      </c>
      <c r="M225" s="62"/>
      <c r="N225" s="62"/>
      <c r="O225" s="123"/>
    </row>
    <row r="226" spans="2:15" ht="15" thickTop="1" x14ac:dyDescent="0.3">
      <c r="B226" s="121" t="s">
        <v>224</v>
      </c>
      <c r="C226" s="2"/>
      <c r="D226" s="2"/>
      <c r="E226" s="116">
        <v>14260</v>
      </c>
      <c r="G226" s="121" t="s">
        <v>224</v>
      </c>
      <c r="H226" s="2"/>
      <c r="I226" s="2"/>
      <c r="J226" s="116">
        <v>14660</v>
      </c>
      <c r="L226" s="121" t="s">
        <v>224</v>
      </c>
      <c r="M226" s="2"/>
      <c r="N226" s="2"/>
      <c r="O226" s="116">
        <v>15660</v>
      </c>
    </row>
    <row r="227" spans="2:15" x14ac:dyDescent="0.3">
      <c r="B227" s="122" t="s">
        <v>225</v>
      </c>
      <c r="C227" s="2"/>
      <c r="D227" s="2"/>
      <c r="E227" s="68">
        <v>200</v>
      </c>
      <c r="G227" s="122" t="s">
        <v>225</v>
      </c>
      <c r="H227" s="2"/>
      <c r="I227" s="2"/>
      <c r="J227" s="68">
        <v>460</v>
      </c>
      <c r="L227" s="122" t="s">
        <v>225</v>
      </c>
      <c r="M227" s="2"/>
      <c r="N227" s="2"/>
      <c r="O227" s="68">
        <v>460</v>
      </c>
    </row>
    <row r="228" spans="2:15" x14ac:dyDescent="0.3">
      <c r="B228" s="60" t="s">
        <v>102</v>
      </c>
      <c r="C228" s="2"/>
      <c r="D228" s="2"/>
      <c r="E228" s="69">
        <v>900</v>
      </c>
      <c r="G228" s="60" t="s">
        <v>102</v>
      </c>
      <c r="H228" s="2"/>
      <c r="I228" s="2"/>
      <c r="J228" s="69">
        <v>400</v>
      </c>
      <c r="L228" s="60" t="s">
        <v>102</v>
      </c>
      <c r="M228" s="2"/>
      <c r="N228" s="2"/>
      <c r="O228" s="69">
        <v>1000</v>
      </c>
    </row>
    <row r="229" spans="2:15" x14ac:dyDescent="0.3">
      <c r="B229" s="122" t="s">
        <v>226</v>
      </c>
      <c r="C229" s="2"/>
      <c r="D229" s="2"/>
      <c r="E229" s="124">
        <v>1469</v>
      </c>
      <c r="G229" s="122" t="s">
        <v>226</v>
      </c>
      <c r="H229" s="2"/>
      <c r="I229" s="2"/>
      <c r="J229" s="124">
        <v>1501</v>
      </c>
      <c r="L229" s="122" t="s">
        <v>226</v>
      </c>
      <c r="M229" s="2"/>
      <c r="N229" s="2"/>
      <c r="O229" s="124">
        <v>1581</v>
      </c>
    </row>
    <row r="230" spans="2:15" ht="15" thickBot="1" x14ac:dyDescent="0.35">
      <c r="B230" s="60" t="s">
        <v>104</v>
      </c>
      <c r="C230" s="2"/>
      <c r="D230" s="2"/>
      <c r="E230" s="69">
        <v>108</v>
      </c>
      <c r="G230" s="60" t="s">
        <v>104</v>
      </c>
      <c r="H230" s="2"/>
      <c r="I230" s="2"/>
      <c r="J230" s="69">
        <v>32</v>
      </c>
      <c r="L230" s="60" t="s">
        <v>104</v>
      </c>
      <c r="M230" s="2"/>
      <c r="N230" s="2"/>
      <c r="O230" s="69">
        <v>80</v>
      </c>
    </row>
    <row r="231" spans="2:15" ht="15.6" thickTop="1" thickBot="1" x14ac:dyDescent="0.35">
      <c r="B231" s="125" t="s">
        <v>39</v>
      </c>
      <c r="C231" s="62"/>
      <c r="D231" s="62"/>
      <c r="E231" s="123"/>
      <c r="G231" s="125" t="s">
        <v>39</v>
      </c>
      <c r="H231" s="62"/>
      <c r="I231" s="62"/>
      <c r="J231" s="123"/>
      <c r="L231" s="125" t="s">
        <v>39</v>
      </c>
      <c r="M231" s="62"/>
      <c r="N231" s="62"/>
      <c r="O231" s="123"/>
    </row>
    <row r="232" spans="2:15" ht="15" thickTop="1" x14ac:dyDescent="0.3">
      <c r="B232" s="60" t="s">
        <v>100</v>
      </c>
      <c r="C232" s="2"/>
      <c r="D232" s="2"/>
      <c r="E232" s="68">
        <v>10688.740000000003</v>
      </c>
      <c r="G232" s="60" t="s">
        <v>100</v>
      </c>
      <c r="H232" s="2"/>
      <c r="I232" s="2"/>
      <c r="J232" s="68">
        <v>11556.110000000004</v>
      </c>
      <c r="L232" s="60" t="s">
        <v>100</v>
      </c>
      <c r="M232" s="2"/>
      <c r="N232" s="2"/>
      <c r="O232" s="68">
        <v>12463.480000000005</v>
      </c>
    </row>
    <row r="233" spans="2:15" x14ac:dyDescent="0.3">
      <c r="B233" s="60" t="s">
        <v>103</v>
      </c>
      <c r="C233" s="2"/>
      <c r="D233" s="2"/>
      <c r="E233" s="69">
        <v>737.37</v>
      </c>
      <c r="G233" s="60" t="s">
        <v>103</v>
      </c>
      <c r="H233" s="2"/>
      <c r="I233" s="2"/>
      <c r="J233" s="69">
        <v>867.37</v>
      </c>
      <c r="L233" s="60" t="s">
        <v>103</v>
      </c>
      <c r="M233" s="2"/>
      <c r="N233" s="2"/>
      <c r="O233" s="69">
        <v>907.37</v>
      </c>
    </row>
    <row r="234" spans="2:15" ht="15" thickBot="1" x14ac:dyDescent="0.35">
      <c r="B234" s="73" t="s">
        <v>95</v>
      </c>
      <c r="C234" s="72"/>
      <c r="D234" s="63"/>
      <c r="E234" s="71">
        <v>3571.2599999999966</v>
      </c>
      <c r="G234" s="73" t="s">
        <v>95</v>
      </c>
      <c r="H234" s="72"/>
      <c r="I234" s="63"/>
      <c r="J234" s="71">
        <v>3103.8899999999958</v>
      </c>
      <c r="L234" s="73" t="s">
        <v>95</v>
      </c>
      <c r="M234" s="72"/>
      <c r="N234" s="63"/>
      <c r="O234" s="71">
        <v>3196.519999999995</v>
      </c>
    </row>
    <row r="235" spans="2:15" ht="15" thickTop="1" x14ac:dyDescent="0.3">
      <c r="B235" s="60" t="s">
        <v>101</v>
      </c>
      <c r="C235" s="2"/>
      <c r="D235" s="2"/>
      <c r="E235" s="68">
        <v>899</v>
      </c>
      <c r="G235" s="60" t="s">
        <v>101</v>
      </c>
      <c r="H235" s="2"/>
      <c r="I235" s="2"/>
      <c r="J235" s="68">
        <v>1009</v>
      </c>
      <c r="L235" s="60" t="s">
        <v>101</v>
      </c>
      <c r="M235" s="2"/>
      <c r="N235" s="2"/>
      <c r="O235" s="68">
        <v>1113</v>
      </c>
    </row>
    <row r="236" spans="2:15" x14ac:dyDescent="0.3">
      <c r="B236" s="60" t="s">
        <v>105</v>
      </c>
      <c r="C236" s="2"/>
      <c r="D236" s="2"/>
      <c r="E236" s="69">
        <v>94</v>
      </c>
      <c r="G236" s="60" t="s">
        <v>105</v>
      </c>
      <c r="H236" s="2"/>
      <c r="I236" s="2"/>
      <c r="J236" s="69">
        <v>110</v>
      </c>
      <c r="L236" s="60" t="s">
        <v>105</v>
      </c>
      <c r="M236" s="2"/>
      <c r="N236" s="2"/>
      <c r="O236" s="69">
        <v>104</v>
      </c>
    </row>
    <row r="237" spans="2:15" ht="15" thickBot="1" x14ac:dyDescent="0.35">
      <c r="B237" s="73" t="s">
        <v>97</v>
      </c>
      <c r="C237" s="63"/>
      <c r="D237" s="63"/>
      <c r="E237" s="71">
        <v>570</v>
      </c>
      <c r="G237" s="73" t="s">
        <v>97</v>
      </c>
      <c r="H237" s="63"/>
      <c r="I237" s="63"/>
      <c r="J237" s="71">
        <v>492</v>
      </c>
      <c r="L237" s="73" t="s">
        <v>97</v>
      </c>
      <c r="M237" s="63"/>
      <c r="N237" s="63"/>
      <c r="O237" s="71">
        <v>468</v>
      </c>
    </row>
    <row r="238" spans="2:15" ht="15.6" thickTop="1" thickBot="1" x14ac:dyDescent="0.35">
      <c r="B238" s="61" t="s">
        <v>227</v>
      </c>
      <c r="C238" s="126"/>
      <c r="D238" s="62"/>
      <c r="E238" s="130"/>
      <c r="G238" s="61" t="s">
        <v>227</v>
      </c>
      <c r="H238" s="126"/>
      <c r="I238" s="62"/>
      <c r="J238" s="130"/>
      <c r="L238" s="61" t="s">
        <v>227</v>
      </c>
      <c r="M238" s="126"/>
      <c r="N238" s="62"/>
      <c r="O238" s="130"/>
    </row>
    <row r="239" spans="2:15" ht="15" thickTop="1" x14ac:dyDescent="0.3">
      <c r="B239" s="60" t="s">
        <v>228</v>
      </c>
      <c r="C239" s="118"/>
      <c r="D239" s="2"/>
      <c r="E239" s="70">
        <v>23.5</v>
      </c>
      <c r="G239" s="60" t="s">
        <v>228</v>
      </c>
      <c r="H239" s="118"/>
      <c r="I239" s="2"/>
      <c r="J239" s="70">
        <v>23.5</v>
      </c>
      <c r="L239" s="60" t="s">
        <v>228</v>
      </c>
      <c r="M239" s="118"/>
      <c r="N239" s="2"/>
      <c r="O239" s="70">
        <v>23.5</v>
      </c>
    </row>
    <row r="240" spans="2:15" x14ac:dyDescent="0.3">
      <c r="B240" s="60" t="s">
        <v>248</v>
      </c>
      <c r="C240" s="127"/>
      <c r="D240" s="128"/>
      <c r="E240" s="68">
        <v>250</v>
      </c>
      <c r="G240" s="60" t="s">
        <v>248</v>
      </c>
      <c r="H240" s="127"/>
      <c r="I240" s="128"/>
      <c r="J240" s="68">
        <v>250</v>
      </c>
      <c r="L240" s="60" t="s">
        <v>248</v>
      </c>
      <c r="M240" s="127"/>
      <c r="N240" s="128"/>
      <c r="O240" s="68">
        <v>450</v>
      </c>
    </row>
    <row r="241" spans="2:15" x14ac:dyDescent="0.3">
      <c r="B241" s="60" t="s">
        <v>247</v>
      </c>
      <c r="C241" s="127"/>
      <c r="D241" s="128"/>
      <c r="E241" s="68">
        <v>24</v>
      </c>
      <c r="G241" s="60" t="s">
        <v>247</v>
      </c>
      <c r="H241" s="127"/>
      <c r="I241" s="128"/>
      <c r="J241" s="68">
        <v>24</v>
      </c>
      <c r="L241" s="60" t="s">
        <v>247</v>
      </c>
      <c r="M241" s="127"/>
      <c r="N241" s="128"/>
      <c r="O241" s="68">
        <v>38</v>
      </c>
    </row>
    <row r="242" spans="2:15" x14ac:dyDescent="0.3">
      <c r="B242" s="60" t="s">
        <v>93</v>
      </c>
      <c r="C242" s="2"/>
      <c r="D242" s="2"/>
      <c r="E242" s="67">
        <v>3050</v>
      </c>
      <c r="G242" s="60" t="s">
        <v>93</v>
      </c>
      <c r="H242" s="2"/>
      <c r="I242" s="2"/>
      <c r="J242" s="67">
        <v>2920</v>
      </c>
      <c r="L242" s="60" t="s">
        <v>93</v>
      </c>
      <c r="M242" s="2"/>
      <c r="N242" s="2"/>
      <c r="O242" s="67">
        <v>3050</v>
      </c>
    </row>
    <row r="243" spans="2:15" x14ac:dyDescent="0.3">
      <c r="B243" s="60" t="s">
        <v>99</v>
      </c>
      <c r="C243" s="2"/>
      <c r="D243" s="2"/>
      <c r="E243" s="66">
        <v>234.61538461538461</v>
      </c>
      <c r="G243" s="60" t="s">
        <v>99</v>
      </c>
      <c r="H243" s="2"/>
      <c r="I243" s="2"/>
      <c r="J243" s="66">
        <v>224.61538461538461</v>
      </c>
      <c r="L243" s="60" t="s">
        <v>99</v>
      </c>
      <c r="M243" s="2"/>
      <c r="N243" s="2"/>
      <c r="O243" s="66">
        <v>234.61538461538461</v>
      </c>
    </row>
    <row r="244" spans="2:15" x14ac:dyDescent="0.3">
      <c r="B244" s="60" t="s">
        <v>235</v>
      </c>
      <c r="C244" s="2"/>
      <c r="D244" s="2"/>
      <c r="E244" s="67">
        <v>1218.5</v>
      </c>
      <c r="G244" s="60" t="s">
        <v>235</v>
      </c>
      <c r="H244" s="2"/>
      <c r="I244" s="2"/>
      <c r="J244" s="67">
        <v>1250.5</v>
      </c>
      <c r="L244" s="60" t="s">
        <v>235</v>
      </c>
      <c r="M244" s="2"/>
      <c r="N244" s="2"/>
      <c r="O244" s="67">
        <v>1116.5</v>
      </c>
    </row>
    <row r="245" spans="2:15" ht="15" thickBot="1" x14ac:dyDescent="0.35">
      <c r="B245" s="60" t="s">
        <v>96</v>
      </c>
      <c r="C245" s="2"/>
      <c r="D245" s="129"/>
      <c r="E245" s="134">
        <v>190.27</v>
      </c>
      <c r="G245" s="60" t="s">
        <v>96</v>
      </c>
      <c r="H245" s="2"/>
      <c r="I245" s="129"/>
      <c r="J245" s="134">
        <v>637.64</v>
      </c>
      <c r="L245" s="60" t="s">
        <v>96</v>
      </c>
      <c r="M245" s="2"/>
      <c r="N245" s="129"/>
      <c r="O245" s="134">
        <v>605.71</v>
      </c>
    </row>
    <row r="246" spans="2:15" ht="15.6" thickTop="1" thickBot="1" x14ac:dyDescent="0.35">
      <c r="B246" s="64" t="s">
        <v>94</v>
      </c>
      <c r="C246" s="65"/>
      <c r="D246" s="131"/>
      <c r="E246" s="132">
        <v>4331.529999999997</v>
      </c>
      <c r="G246" s="64" t="s">
        <v>94</v>
      </c>
      <c r="H246" s="65"/>
      <c r="I246" s="131"/>
      <c r="J246" s="132">
        <v>4233.5299999999961</v>
      </c>
      <c r="L246" s="64" t="s">
        <v>94</v>
      </c>
      <c r="M246" s="65"/>
      <c r="N246" s="131"/>
      <c r="O246" s="132">
        <v>4270.229999999995</v>
      </c>
    </row>
    <row r="247" spans="2:15" ht="15.6" thickTop="1" thickBot="1" x14ac:dyDescent="0.35">
      <c r="B247" s="64" t="s">
        <v>98</v>
      </c>
      <c r="C247" s="65"/>
      <c r="D247" s="131"/>
      <c r="E247" s="143">
        <v>4268.5</v>
      </c>
      <c r="G247" s="64" t="s">
        <v>98</v>
      </c>
      <c r="H247" s="65"/>
      <c r="I247" s="131"/>
      <c r="J247" s="143">
        <v>4170.5</v>
      </c>
      <c r="L247" s="64" t="s">
        <v>98</v>
      </c>
      <c r="M247" s="65"/>
      <c r="N247" s="131"/>
      <c r="O247" s="143">
        <v>4166.5</v>
      </c>
    </row>
    <row r="248" spans="2:15" ht="15.6" thickTop="1" thickBot="1" x14ac:dyDescent="0.35"/>
    <row r="249" spans="2:15" ht="15.6" thickTop="1" thickBot="1" x14ac:dyDescent="0.35">
      <c r="B249" s="378" t="s">
        <v>92</v>
      </c>
      <c r="C249" s="405"/>
      <c r="D249" s="379"/>
      <c r="E249" s="75">
        <v>44788</v>
      </c>
      <c r="G249" s="378" t="s">
        <v>92</v>
      </c>
      <c r="H249" s="405"/>
      <c r="I249" s="379"/>
      <c r="J249" s="75">
        <v>44788</v>
      </c>
      <c r="L249" s="378" t="s">
        <v>92</v>
      </c>
      <c r="M249" s="405"/>
      <c r="N249" s="379"/>
      <c r="O249" s="75">
        <v>44788</v>
      </c>
    </row>
    <row r="250" spans="2:15" ht="15.6" thickTop="1" thickBot="1" x14ac:dyDescent="0.35">
      <c r="B250" s="382"/>
      <c r="C250" s="406"/>
      <c r="D250" s="383"/>
      <c r="E250" s="75">
        <v>45611</v>
      </c>
      <c r="G250" s="382"/>
      <c r="H250" s="406"/>
      <c r="I250" s="383"/>
      <c r="J250" s="75">
        <v>45656</v>
      </c>
      <c r="L250" s="382"/>
      <c r="M250" s="406"/>
      <c r="N250" s="383"/>
      <c r="O250" s="75">
        <v>45672</v>
      </c>
    </row>
    <row r="251" spans="2:15" ht="15.6" thickTop="1" thickBot="1" x14ac:dyDescent="0.35">
      <c r="B251" s="60" t="s">
        <v>91</v>
      </c>
      <c r="C251" s="2"/>
      <c r="D251" s="2"/>
      <c r="E251" s="117">
        <v>3640</v>
      </c>
      <c r="G251" s="60" t="s">
        <v>91</v>
      </c>
      <c r="H251" s="2"/>
      <c r="I251" s="2"/>
      <c r="J251" s="117">
        <v>3770</v>
      </c>
      <c r="L251" s="60" t="s">
        <v>91</v>
      </c>
      <c r="M251" s="2"/>
      <c r="N251" s="2"/>
      <c r="O251" s="117">
        <v>3900</v>
      </c>
    </row>
    <row r="252" spans="2:15" ht="15.6" thickTop="1" thickBot="1" x14ac:dyDescent="0.35">
      <c r="B252" s="61" t="s">
        <v>168</v>
      </c>
      <c r="C252" s="62"/>
      <c r="D252" s="62"/>
      <c r="E252" s="123"/>
      <c r="G252" s="61" t="s">
        <v>168</v>
      </c>
      <c r="H252" s="62"/>
      <c r="I252" s="62"/>
      <c r="J252" s="123"/>
      <c r="L252" s="61" t="s">
        <v>168</v>
      </c>
      <c r="M252" s="62"/>
      <c r="N252" s="62"/>
      <c r="O252" s="123"/>
    </row>
    <row r="253" spans="2:15" ht="15" thickTop="1" x14ac:dyDescent="0.3">
      <c r="B253" s="121" t="s">
        <v>224</v>
      </c>
      <c r="C253" s="2"/>
      <c r="D253" s="2"/>
      <c r="E253" s="116">
        <v>17360</v>
      </c>
      <c r="G253" s="121" t="s">
        <v>224</v>
      </c>
      <c r="H253" s="2"/>
      <c r="I253" s="2"/>
      <c r="J253" s="116">
        <v>18940</v>
      </c>
      <c r="L253" s="121" t="s">
        <v>224</v>
      </c>
      <c r="M253" s="2"/>
      <c r="N253" s="2"/>
      <c r="O253" s="116">
        <v>20490</v>
      </c>
    </row>
    <row r="254" spans="2:15" x14ac:dyDescent="0.3">
      <c r="B254" s="122" t="s">
        <v>225</v>
      </c>
      <c r="C254" s="2"/>
      <c r="D254" s="2"/>
      <c r="E254" s="68">
        <v>460</v>
      </c>
      <c r="G254" s="122" t="s">
        <v>225</v>
      </c>
      <c r="H254" s="2"/>
      <c r="I254" s="2"/>
      <c r="J254" s="68">
        <v>460</v>
      </c>
      <c r="L254" s="122" t="s">
        <v>225</v>
      </c>
      <c r="M254" s="2"/>
      <c r="N254" s="2"/>
      <c r="O254" s="68">
        <v>460</v>
      </c>
    </row>
    <row r="255" spans="2:15" x14ac:dyDescent="0.3">
      <c r="B255" s="60" t="s">
        <v>102</v>
      </c>
      <c r="C255" s="2"/>
      <c r="D255" s="2"/>
      <c r="E255" s="69">
        <v>1700</v>
      </c>
      <c r="G255" s="60" t="s">
        <v>102</v>
      </c>
      <c r="H255" s="2"/>
      <c r="I255" s="2"/>
      <c r="J255" s="69">
        <v>1580</v>
      </c>
      <c r="L255" s="60" t="s">
        <v>102</v>
      </c>
      <c r="M255" s="2"/>
      <c r="N255" s="2"/>
      <c r="O255" s="69">
        <v>1550</v>
      </c>
    </row>
    <row r="256" spans="2:15" x14ac:dyDescent="0.3">
      <c r="B256" s="122" t="s">
        <v>226</v>
      </c>
      <c r="C256" s="2"/>
      <c r="D256" s="2"/>
      <c r="E256" s="124">
        <v>1831</v>
      </c>
      <c r="G256" s="122" t="s">
        <v>226</v>
      </c>
      <c r="H256" s="2"/>
      <c r="I256" s="2"/>
      <c r="J256" s="124">
        <v>2082.6</v>
      </c>
      <c r="L256" s="122" t="s">
        <v>226</v>
      </c>
      <c r="M256" s="2"/>
      <c r="N256" s="2"/>
      <c r="O256" s="124">
        <v>2284.6</v>
      </c>
    </row>
    <row r="257" spans="2:17" ht="15" thickBot="1" x14ac:dyDescent="0.35">
      <c r="B257" s="60" t="s">
        <v>104</v>
      </c>
      <c r="C257" s="2"/>
      <c r="D257" s="2"/>
      <c r="E257" s="69">
        <v>250</v>
      </c>
      <c r="G257" s="60" t="s">
        <v>104</v>
      </c>
      <c r="H257" s="2"/>
      <c r="I257" s="2"/>
      <c r="J257" s="69">
        <v>251.6</v>
      </c>
      <c r="L257" s="60" t="s">
        <v>104</v>
      </c>
      <c r="M257" s="2"/>
      <c r="N257" s="2"/>
      <c r="O257" s="69">
        <v>202</v>
      </c>
    </row>
    <row r="258" spans="2:17" ht="15.6" thickTop="1" thickBot="1" x14ac:dyDescent="0.35">
      <c r="B258" s="125" t="s">
        <v>39</v>
      </c>
      <c r="C258" s="62"/>
      <c r="D258" s="62"/>
      <c r="E258" s="123"/>
      <c r="G258" s="125" t="s">
        <v>39</v>
      </c>
      <c r="H258" s="62"/>
      <c r="I258" s="62"/>
      <c r="J258" s="123"/>
      <c r="L258" s="125" t="s">
        <v>39</v>
      </c>
      <c r="M258" s="62"/>
      <c r="N258" s="62"/>
      <c r="O258" s="123"/>
    </row>
    <row r="259" spans="2:17" ht="15" thickTop="1" x14ac:dyDescent="0.3">
      <c r="B259" s="60" t="s">
        <v>100</v>
      </c>
      <c r="C259" s="2"/>
      <c r="D259" s="2"/>
      <c r="E259" s="68">
        <v>13426.550000000007</v>
      </c>
      <c r="G259" s="60" t="s">
        <v>100</v>
      </c>
      <c r="H259" s="2"/>
      <c r="I259" s="2"/>
      <c r="J259" s="68">
        <v>14624.890000000007</v>
      </c>
      <c r="L259" s="60" t="s">
        <v>100</v>
      </c>
      <c r="M259" s="2"/>
      <c r="N259" s="2"/>
      <c r="O259" s="68">
        <v>16028.230000000007</v>
      </c>
    </row>
    <row r="260" spans="2:17" x14ac:dyDescent="0.3">
      <c r="B260" s="60" t="s">
        <v>103</v>
      </c>
      <c r="C260" s="2"/>
      <c r="D260" s="2"/>
      <c r="E260" s="69">
        <v>963.07</v>
      </c>
      <c r="G260" s="60" t="s">
        <v>103</v>
      </c>
      <c r="H260" s="2"/>
      <c r="I260" s="2"/>
      <c r="J260" s="69">
        <v>1198.3400000000001</v>
      </c>
      <c r="L260" s="60" t="s">
        <v>103</v>
      </c>
      <c r="M260" s="2"/>
      <c r="N260" s="2"/>
      <c r="O260" s="69">
        <v>1403.3400000000001</v>
      </c>
    </row>
    <row r="261" spans="2:17" ht="15" thickBot="1" x14ac:dyDescent="0.35">
      <c r="B261" s="73" t="s">
        <v>95</v>
      </c>
      <c r="C261" s="72"/>
      <c r="D261" s="63"/>
      <c r="E261" s="71">
        <v>3933.4499999999935</v>
      </c>
      <c r="G261" s="73" t="s">
        <v>95</v>
      </c>
      <c r="H261" s="72"/>
      <c r="I261" s="63"/>
      <c r="J261" s="71">
        <v>4315.1099999999933</v>
      </c>
      <c r="L261" s="73" t="s">
        <v>95</v>
      </c>
      <c r="M261" s="72"/>
      <c r="N261" s="63"/>
      <c r="O261" s="71">
        <v>4461.7699999999932</v>
      </c>
    </row>
    <row r="262" spans="2:17" ht="15" thickTop="1" x14ac:dyDescent="0.3">
      <c r="B262" s="60" t="s">
        <v>101</v>
      </c>
      <c r="C262" s="2"/>
      <c r="D262" s="2"/>
      <c r="E262" s="68">
        <v>1223</v>
      </c>
      <c r="G262" s="60" t="s">
        <v>101</v>
      </c>
      <c r="H262" s="2"/>
      <c r="I262" s="2"/>
      <c r="J262" s="68">
        <v>1345</v>
      </c>
      <c r="L262" s="60" t="s">
        <v>101</v>
      </c>
      <c r="M262" s="2"/>
      <c r="N262" s="2"/>
      <c r="O262" s="68">
        <v>1490.6</v>
      </c>
    </row>
    <row r="263" spans="2:17" x14ac:dyDescent="0.3">
      <c r="B263" s="60" t="s">
        <v>105</v>
      </c>
      <c r="C263" s="2"/>
      <c r="D263" s="2"/>
      <c r="E263" s="69">
        <v>110</v>
      </c>
      <c r="G263" s="60" t="s">
        <v>105</v>
      </c>
      <c r="H263" s="2"/>
      <c r="I263" s="2"/>
      <c r="J263" s="69">
        <v>122</v>
      </c>
      <c r="L263" s="60" t="s">
        <v>105</v>
      </c>
      <c r="M263" s="2"/>
      <c r="N263" s="2"/>
      <c r="O263" s="69">
        <v>145.6</v>
      </c>
    </row>
    <row r="264" spans="2:17" ht="15" thickBot="1" x14ac:dyDescent="0.35">
      <c r="B264" s="73" t="s">
        <v>97</v>
      </c>
      <c r="C264" s="63"/>
      <c r="D264" s="63"/>
      <c r="E264" s="71">
        <v>608</v>
      </c>
      <c r="G264" s="73" t="s">
        <v>97</v>
      </c>
      <c r="H264" s="63"/>
      <c r="I264" s="63"/>
      <c r="J264" s="71">
        <v>737.59999999999991</v>
      </c>
      <c r="L264" s="73" t="s">
        <v>97</v>
      </c>
      <c r="M264" s="63"/>
      <c r="N264" s="63"/>
      <c r="O264" s="71">
        <v>794</v>
      </c>
    </row>
    <row r="265" spans="2:17" ht="15.6" thickTop="1" thickBot="1" x14ac:dyDescent="0.35">
      <c r="B265" s="61" t="s">
        <v>227</v>
      </c>
      <c r="C265" s="126"/>
      <c r="D265" s="62"/>
      <c r="E265" s="130"/>
      <c r="G265" s="61" t="s">
        <v>227</v>
      </c>
      <c r="H265" s="126"/>
      <c r="I265" s="62"/>
      <c r="J265" s="130"/>
      <c r="L265" s="61" t="s">
        <v>227</v>
      </c>
      <c r="M265" s="126"/>
      <c r="N265" s="62"/>
      <c r="O265" s="130"/>
    </row>
    <row r="266" spans="2:17" ht="15" thickTop="1" x14ac:dyDescent="0.3">
      <c r="B266" s="60" t="s">
        <v>228</v>
      </c>
      <c r="C266" s="118"/>
      <c r="D266" s="2"/>
      <c r="E266" s="70">
        <v>156.99999999999997</v>
      </c>
      <c r="G266" s="60" t="s">
        <v>228</v>
      </c>
      <c r="H266" s="118"/>
      <c r="I266" s="2"/>
      <c r="J266" s="70">
        <v>183.69999999999996</v>
      </c>
      <c r="L266" s="60" t="s">
        <v>228</v>
      </c>
      <c r="M266" s="118"/>
      <c r="N266" s="2"/>
      <c r="O266" s="70">
        <v>183.69999999999996</v>
      </c>
    </row>
    <row r="267" spans="2:17" x14ac:dyDescent="0.3">
      <c r="B267" s="60" t="s">
        <v>248</v>
      </c>
      <c r="C267" s="127"/>
      <c r="D267" s="128"/>
      <c r="E267" s="68">
        <v>450</v>
      </c>
      <c r="G267" s="60" t="s">
        <v>248</v>
      </c>
      <c r="H267" s="127"/>
      <c r="I267" s="128"/>
      <c r="J267" s="68">
        <v>450</v>
      </c>
      <c r="L267" s="60" t="s">
        <v>248</v>
      </c>
      <c r="M267" s="127"/>
      <c r="N267" s="128"/>
      <c r="O267" s="68">
        <v>450</v>
      </c>
    </row>
    <row r="268" spans="2:17" x14ac:dyDescent="0.3">
      <c r="B268" s="60" t="s">
        <v>247</v>
      </c>
      <c r="C268" s="127"/>
      <c r="D268" s="128"/>
      <c r="E268" s="68">
        <v>50</v>
      </c>
      <c r="G268" s="60" t="s">
        <v>247</v>
      </c>
      <c r="H268" s="127"/>
      <c r="I268" s="128"/>
      <c r="J268" s="68">
        <v>66</v>
      </c>
      <c r="L268" s="60" t="s">
        <v>247</v>
      </c>
      <c r="M268" s="127"/>
      <c r="N268" s="128"/>
      <c r="O268" s="68">
        <v>88</v>
      </c>
      <c r="Q268" s="12"/>
    </row>
    <row r="269" spans="2:17" x14ac:dyDescent="0.3">
      <c r="B269" s="60" t="s">
        <v>93</v>
      </c>
      <c r="C269" s="2"/>
      <c r="D269" s="2"/>
      <c r="E269" s="67">
        <v>3180</v>
      </c>
      <c r="G269" s="60" t="s">
        <v>93</v>
      </c>
      <c r="H269" s="2"/>
      <c r="I269" s="2"/>
      <c r="J269" s="67">
        <v>3310</v>
      </c>
      <c r="L269" s="60" t="s">
        <v>93</v>
      </c>
      <c r="M269" s="2"/>
      <c r="N269" s="2"/>
      <c r="O269" s="67">
        <v>3440</v>
      </c>
    </row>
    <row r="270" spans="2:17" x14ac:dyDescent="0.3">
      <c r="B270" s="60" t="s">
        <v>99</v>
      </c>
      <c r="C270" s="2"/>
      <c r="D270" s="2"/>
      <c r="E270" s="66">
        <v>244.61538461538461</v>
      </c>
      <c r="G270" s="60" t="s">
        <v>99</v>
      </c>
      <c r="H270" s="2"/>
      <c r="I270" s="2"/>
      <c r="J270" s="66">
        <v>254.61538461538461</v>
      </c>
      <c r="L270" s="60" t="s">
        <v>99</v>
      </c>
      <c r="M270" s="2"/>
      <c r="N270" s="2"/>
      <c r="O270" s="66">
        <v>264.61538461538464</v>
      </c>
    </row>
    <row r="271" spans="2:17" x14ac:dyDescent="0.3">
      <c r="B271" s="60" t="s">
        <v>235</v>
      </c>
      <c r="C271" s="2"/>
      <c r="D271" s="2"/>
      <c r="E271" s="67">
        <v>1488</v>
      </c>
      <c r="G271" s="60" t="s">
        <v>235</v>
      </c>
      <c r="H271" s="2"/>
      <c r="I271" s="2"/>
      <c r="J271" s="67">
        <v>1750.3</v>
      </c>
      <c r="L271" s="60" t="s">
        <v>235</v>
      </c>
      <c r="M271" s="2"/>
      <c r="N271" s="2"/>
      <c r="O271" s="67">
        <v>1930.3</v>
      </c>
    </row>
    <row r="272" spans="2:17" ht="15" thickBot="1" x14ac:dyDescent="0.35">
      <c r="B272" s="60" t="s">
        <v>96</v>
      </c>
      <c r="C272" s="2"/>
      <c r="D272" s="129"/>
      <c r="E272" s="134">
        <v>215.58</v>
      </c>
      <c r="G272" s="60" t="s">
        <v>96</v>
      </c>
      <c r="H272" s="2"/>
      <c r="I272" s="129"/>
      <c r="J272" s="134">
        <v>112.61</v>
      </c>
      <c r="L272" s="60" t="s">
        <v>96</v>
      </c>
      <c r="M272" s="2"/>
      <c r="N272" s="129"/>
      <c r="O272" s="134">
        <v>241.55</v>
      </c>
    </row>
    <row r="273" spans="2:15" ht="15.6" thickTop="1" thickBot="1" x14ac:dyDescent="0.35">
      <c r="B273" s="64" t="s">
        <v>94</v>
      </c>
      <c r="C273" s="65"/>
      <c r="D273" s="131"/>
      <c r="E273" s="132">
        <v>4757.0299999999934</v>
      </c>
      <c r="G273" s="64" t="s">
        <v>94</v>
      </c>
      <c r="H273" s="65"/>
      <c r="I273" s="131"/>
      <c r="J273" s="132">
        <v>5165.3199999999933</v>
      </c>
      <c r="L273" s="64" t="s">
        <v>94</v>
      </c>
      <c r="M273" s="65"/>
      <c r="N273" s="131"/>
      <c r="O273" s="132">
        <v>5497.3199999999933</v>
      </c>
    </row>
    <row r="274" spans="2:15" ht="15.6" thickTop="1" thickBot="1" x14ac:dyDescent="0.35">
      <c r="B274" s="64" t="s">
        <v>98</v>
      </c>
      <c r="C274" s="65"/>
      <c r="D274" s="131"/>
      <c r="E274" s="143">
        <v>4668</v>
      </c>
      <c r="G274" s="64" t="s">
        <v>98</v>
      </c>
      <c r="H274" s="65"/>
      <c r="I274" s="131"/>
      <c r="J274" s="143">
        <v>5060.3</v>
      </c>
      <c r="L274" s="64" t="s">
        <v>98</v>
      </c>
      <c r="M274" s="65"/>
      <c r="N274" s="131"/>
      <c r="O274" s="143">
        <v>5370.3</v>
      </c>
    </row>
    <row r="275" spans="2:15" ht="15.6" thickTop="1" thickBot="1" x14ac:dyDescent="0.35"/>
    <row r="276" spans="2:15" ht="15.6" thickTop="1" thickBot="1" x14ac:dyDescent="0.35">
      <c r="B276" s="378" t="s">
        <v>92</v>
      </c>
      <c r="C276" s="405"/>
      <c r="D276" s="379"/>
      <c r="E276" s="75">
        <v>44788</v>
      </c>
      <c r="G276" s="378" t="s">
        <v>92</v>
      </c>
      <c r="H276" s="405"/>
      <c r="I276" s="379"/>
      <c r="J276" s="75">
        <v>44788</v>
      </c>
      <c r="L276" s="378" t="s">
        <v>92</v>
      </c>
      <c r="M276" s="405"/>
      <c r="N276" s="379"/>
      <c r="O276" s="75">
        <v>44788</v>
      </c>
    </row>
    <row r="277" spans="2:15" ht="15.6" thickTop="1" thickBot="1" x14ac:dyDescent="0.35">
      <c r="B277" s="382"/>
      <c r="C277" s="406"/>
      <c r="D277" s="383"/>
      <c r="E277" s="75">
        <v>45703</v>
      </c>
      <c r="G277" s="382"/>
      <c r="H277" s="406"/>
      <c r="I277" s="383"/>
      <c r="J277" s="75">
        <v>45732</v>
      </c>
      <c r="L277" s="382"/>
      <c r="M277" s="406"/>
      <c r="N277" s="383"/>
      <c r="O277" s="75">
        <v>45761</v>
      </c>
    </row>
    <row r="278" spans="2:15" ht="15.6" thickTop="1" thickBot="1" x14ac:dyDescent="0.35">
      <c r="B278" s="60" t="s">
        <v>91</v>
      </c>
      <c r="C278" s="2"/>
      <c r="D278" s="2"/>
      <c r="E278" s="117">
        <v>4030</v>
      </c>
      <c r="G278" s="60" t="s">
        <v>91</v>
      </c>
      <c r="H278" s="2"/>
      <c r="I278" s="2"/>
      <c r="J278" s="117">
        <v>4030</v>
      </c>
      <c r="L278" s="60" t="s">
        <v>91</v>
      </c>
      <c r="M278" s="2"/>
      <c r="N278" s="2"/>
      <c r="O278" s="117">
        <v>4160</v>
      </c>
    </row>
    <row r="279" spans="2:15" ht="15.6" thickTop="1" thickBot="1" x14ac:dyDescent="0.35">
      <c r="B279" s="61" t="s">
        <v>168</v>
      </c>
      <c r="C279" s="62"/>
      <c r="D279" s="62"/>
      <c r="E279" s="123"/>
      <c r="G279" s="61" t="s">
        <v>168</v>
      </c>
      <c r="H279" s="62"/>
      <c r="I279" s="62"/>
      <c r="J279" s="123"/>
      <c r="L279" s="61" t="s">
        <v>168</v>
      </c>
      <c r="M279" s="62"/>
      <c r="N279" s="62"/>
      <c r="O279" s="123"/>
    </row>
    <row r="280" spans="2:15" ht="15" thickTop="1" x14ac:dyDescent="0.3">
      <c r="B280" s="121" t="s">
        <v>224</v>
      </c>
      <c r="C280" s="2"/>
      <c r="D280" s="2"/>
      <c r="E280" s="116">
        <v>21290</v>
      </c>
      <c r="G280" s="121" t="s">
        <v>224</v>
      </c>
      <c r="H280" s="2"/>
      <c r="I280" s="2"/>
      <c r="J280" s="116">
        <v>22390</v>
      </c>
      <c r="L280" s="121" t="s">
        <v>224</v>
      </c>
      <c r="M280" s="2"/>
      <c r="N280" s="2"/>
      <c r="O280" s="116">
        <v>23590</v>
      </c>
    </row>
    <row r="281" spans="2:15" x14ac:dyDescent="0.3">
      <c r="B281" s="122" t="s">
        <v>225</v>
      </c>
      <c r="C281" s="2"/>
      <c r="D281" s="2"/>
      <c r="E281" s="68">
        <v>460</v>
      </c>
      <c r="G281" s="122" t="s">
        <v>225</v>
      </c>
      <c r="H281" s="2"/>
      <c r="I281" s="2"/>
      <c r="J281" s="68">
        <v>460</v>
      </c>
      <c r="L281" s="122" t="s">
        <v>225</v>
      </c>
      <c r="M281" s="2"/>
      <c r="N281" s="2"/>
      <c r="O281" s="68">
        <v>460</v>
      </c>
    </row>
    <row r="282" spans="2:15" x14ac:dyDescent="0.3">
      <c r="B282" s="60" t="s">
        <v>102</v>
      </c>
      <c r="C282" s="2"/>
      <c r="D282" s="2"/>
      <c r="E282" s="69">
        <v>800</v>
      </c>
      <c r="G282" s="60" t="s">
        <v>102</v>
      </c>
      <c r="H282" s="2"/>
      <c r="I282" s="2"/>
      <c r="J282" s="69">
        <v>700</v>
      </c>
      <c r="L282" s="60" t="s">
        <v>102</v>
      </c>
      <c r="M282" s="2"/>
      <c r="N282" s="2"/>
      <c r="O282" s="69">
        <v>1900</v>
      </c>
    </row>
    <row r="283" spans="2:15" x14ac:dyDescent="0.3">
      <c r="B283" s="122" t="s">
        <v>226</v>
      </c>
      <c r="C283" s="2"/>
      <c r="D283" s="2"/>
      <c r="E283" s="124">
        <v>2352.6</v>
      </c>
      <c r="G283" s="122" t="s">
        <v>226</v>
      </c>
      <c r="H283" s="2"/>
      <c r="I283" s="2"/>
      <c r="J283" s="124">
        <v>2402.6</v>
      </c>
      <c r="L283" s="122" t="s">
        <v>226</v>
      </c>
      <c r="M283" s="2"/>
      <c r="N283" s="2"/>
      <c r="O283" s="124">
        <v>2426.6</v>
      </c>
    </row>
    <row r="284" spans="2:15" ht="15" thickBot="1" x14ac:dyDescent="0.35">
      <c r="B284" s="60" t="s">
        <v>104</v>
      </c>
      <c r="C284" s="2"/>
      <c r="D284" s="2"/>
      <c r="E284" s="69">
        <v>68</v>
      </c>
      <c r="G284" s="60" t="s">
        <v>104</v>
      </c>
      <c r="H284" s="2"/>
      <c r="I284" s="2"/>
      <c r="J284" s="69">
        <v>42</v>
      </c>
      <c r="L284" s="60" t="s">
        <v>104</v>
      </c>
      <c r="M284" s="2"/>
      <c r="N284" s="2"/>
      <c r="O284" s="69">
        <v>66</v>
      </c>
    </row>
    <row r="285" spans="2:15" ht="15.6" thickTop="1" thickBot="1" x14ac:dyDescent="0.35">
      <c r="B285" s="125" t="s">
        <v>39</v>
      </c>
      <c r="C285" s="62"/>
      <c r="D285" s="62"/>
      <c r="E285" s="123"/>
      <c r="G285" s="125" t="s">
        <v>39</v>
      </c>
      <c r="H285" s="62"/>
      <c r="I285" s="62"/>
      <c r="J285" s="123"/>
      <c r="L285" s="125" t="s">
        <v>39</v>
      </c>
      <c r="M285" s="62"/>
      <c r="N285" s="62"/>
      <c r="O285" s="123"/>
    </row>
    <row r="286" spans="2:15" ht="15" thickTop="1" x14ac:dyDescent="0.3">
      <c r="B286" s="60" t="s">
        <v>100</v>
      </c>
      <c r="C286" s="2"/>
      <c r="D286" s="2"/>
      <c r="E286" s="68">
        <v>17001.570000000007</v>
      </c>
      <c r="G286" s="60" t="s">
        <v>100</v>
      </c>
      <c r="H286" s="2"/>
      <c r="I286" s="2"/>
      <c r="J286" s="68">
        <v>17768.240000000005</v>
      </c>
      <c r="L286" s="60" t="s">
        <v>100</v>
      </c>
      <c r="M286" s="2"/>
      <c r="N286" s="2"/>
      <c r="O286" s="68">
        <v>18383.240000000005</v>
      </c>
    </row>
    <row r="287" spans="2:15" x14ac:dyDescent="0.3">
      <c r="B287" s="60" t="s">
        <v>103</v>
      </c>
      <c r="C287" s="2"/>
      <c r="D287" s="2"/>
      <c r="E287" s="69">
        <v>973.34</v>
      </c>
      <c r="G287" s="60" t="s">
        <v>103</v>
      </c>
      <c r="H287" s="2"/>
      <c r="I287" s="2"/>
      <c r="J287" s="69">
        <v>691.67000000000007</v>
      </c>
      <c r="L287" s="60" t="s">
        <v>103</v>
      </c>
      <c r="M287" s="2"/>
      <c r="N287" s="2"/>
      <c r="O287" s="69">
        <v>1306.67</v>
      </c>
    </row>
    <row r="288" spans="2:15" ht="15" thickBot="1" x14ac:dyDescent="0.35">
      <c r="B288" s="73" t="s">
        <v>95</v>
      </c>
      <c r="C288" s="72"/>
      <c r="D288" s="63"/>
      <c r="E288" s="71">
        <v>4288.429999999993</v>
      </c>
      <c r="G288" s="73" t="s">
        <v>95</v>
      </c>
      <c r="H288" s="72"/>
      <c r="I288" s="63"/>
      <c r="J288" s="71">
        <v>4621.7599999999948</v>
      </c>
      <c r="L288" s="73" t="s">
        <v>95</v>
      </c>
      <c r="M288" s="72"/>
      <c r="N288" s="63"/>
      <c r="O288" s="71">
        <v>5206.7599999999948</v>
      </c>
    </row>
    <row r="289" spans="2:15" ht="15" thickTop="1" x14ac:dyDescent="0.3">
      <c r="B289" s="60" t="s">
        <v>101</v>
      </c>
      <c r="C289" s="2"/>
      <c r="D289" s="2"/>
      <c r="E289" s="68">
        <v>1620.6</v>
      </c>
      <c r="G289" s="60" t="s">
        <v>101</v>
      </c>
      <c r="H289" s="2"/>
      <c r="I289" s="2"/>
      <c r="J289" s="68">
        <v>1721.6</v>
      </c>
      <c r="L289" s="60" t="s">
        <v>101</v>
      </c>
      <c r="M289" s="2"/>
      <c r="N289" s="2"/>
      <c r="O289" s="68">
        <v>1750.6</v>
      </c>
    </row>
    <row r="290" spans="2:15" x14ac:dyDescent="0.3">
      <c r="B290" s="60" t="s">
        <v>105</v>
      </c>
      <c r="C290" s="2"/>
      <c r="D290" s="2"/>
      <c r="E290" s="69">
        <v>130</v>
      </c>
      <c r="G290" s="60" t="s">
        <v>105</v>
      </c>
      <c r="H290" s="2"/>
      <c r="I290" s="2"/>
      <c r="J290" s="69">
        <v>98</v>
      </c>
      <c r="L290" s="60" t="s">
        <v>105</v>
      </c>
      <c r="M290" s="2"/>
      <c r="N290" s="2"/>
      <c r="O290" s="69">
        <v>127</v>
      </c>
    </row>
    <row r="291" spans="2:15" ht="15" thickBot="1" x14ac:dyDescent="0.35">
      <c r="B291" s="73" t="s">
        <v>97</v>
      </c>
      <c r="C291" s="63"/>
      <c r="D291" s="63"/>
      <c r="E291" s="71">
        <v>732</v>
      </c>
      <c r="G291" s="73" t="s">
        <v>97</v>
      </c>
      <c r="H291" s="63"/>
      <c r="I291" s="63"/>
      <c r="J291" s="71">
        <v>681</v>
      </c>
      <c r="L291" s="73" t="s">
        <v>97</v>
      </c>
      <c r="M291" s="63"/>
      <c r="N291" s="63"/>
      <c r="O291" s="71">
        <v>676</v>
      </c>
    </row>
    <row r="292" spans="2:15" ht="15.6" thickTop="1" thickBot="1" x14ac:dyDescent="0.35">
      <c r="B292" s="61" t="s">
        <v>227</v>
      </c>
      <c r="C292" s="126"/>
      <c r="D292" s="62"/>
      <c r="E292" s="130"/>
      <c r="G292" s="61" t="s">
        <v>227</v>
      </c>
      <c r="H292" s="126"/>
      <c r="I292" s="62"/>
      <c r="J292" s="130"/>
      <c r="L292" s="61" t="s">
        <v>227</v>
      </c>
      <c r="M292" s="126"/>
      <c r="N292" s="62"/>
      <c r="O292" s="130"/>
    </row>
    <row r="293" spans="2:15" ht="15" thickTop="1" x14ac:dyDescent="0.3">
      <c r="B293" s="60" t="s">
        <v>228</v>
      </c>
      <c r="C293" s="118"/>
      <c r="D293" s="2"/>
      <c r="E293" s="70">
        <v>184.69999999999996</v>
      </c>
      <c r="G293" s="60" t="s">
        <v>228</v>
      </c>
      <c r="H293" s="118"/>
      <c r="I293" s="2"/>
      <c r="J293" s="70">
        <v>184.69999999999996</v>
      </c>
      <c r="L293" s="60" t="s">
        <v>228</v>
      </c>
      <c r="M293" s="118"/>
      <c r="N293" s="2"/>
      <c r="O293" s="70">
        <v>184.69999999999996</v>
      </c>
    </row>
    <row r="294" spans="2:15" x14ac:dyDescent="0.3">
      <c r="B294" s="60" t="s">
        <v>248</v>
      </c>
      <c r="C294" s="127"/>
      <c r="D294" s="128"/>
      <c r="E294" s="68">
        <v>450</v>
      </c>
      <c r="G294" s="60" t="s">
        <v>248</v>
      </c>
      <c r="H294" s="127"/>
      <c r="I294" s="128"/>
      <c r="J294" s="68">
        <v>450</v>
      </c>
      <c r="L294" s="60" t="s">
        <v>248</v>
      </c>
      <c r="M294" s="127"/>
      <c r="N294" s="128"/>
      <c r="O294" s="68">
        <v>450</v>
      </c>
    </row>
    <row r="295" spans="2:15" x14ac:dyDescent="0.3">
      <c r="B295" s="60" t="s">
        <v>247</v>
      </c>
      <c r="C295" s="127"/>
      <c r="D295" s="128"/>
      <c r="E295" s="68">
        <v>88</v>
      </c>
      <c r="G295" s="60" t="s">
        <v>247</v>
      </c>
      <c r="H295" s="127"/>
      <c r="I295" s="128"/>
      <c r="J295" s="68">
        <v>88</v>
      </c>
      <c r="L295" s="60" t="s">
        <v>247</v>
      </c>
      <c r="M295" s="127"/>
      <c r="N295" s="128"/>
      <c r="O295" s="68">
        <v>88</v>
      </c>
    </row>
    <row r="296" spans="2:15" x14ac:dyDescent="0.3">
      <c r="B296" s="60" t="s">
        <v>93</v>
      </c>
      <c r="C296" s="2"/>
      <c r="D296" s="2"/>
      <c r="E296" s="67">
        <v>3570</v>
      </c>
      <c r="G296" s="60" t="s">
        <v>93</v>
      </c>
      <c r="H296" s="2"/>
      <c r="I296" s="2"/>
      <c r="J296" s="67">
        <v>3570</v>
      </c>
      <c r="L296" s="60" t="s">
        <v>93</v>
      </c>
      <c r="M296" s="2"/>
      <c r="N296" s="2"/>
      <c r="O296" s="67">
        <v>3700</v>
      </c>
    </row>
    <row r="297" spans="2:15" x14ac:dyDescent="0.3">
      <c r="B297" s="60" t="s">
        <v>99</v>
      </c>
      <c r="C297" s="2"/>
      <c r="D297" s="2"/>
      <c r="E297" s="66">
        <v>274.61538461538464</v>
      </c>
      <c r="G297" s="60" t="s">
        <v>99</v>
      </c>
      <c r="H297" s="2"/>
      <c r="I297" s="2"/>
      <c r="J297" s="66">
        <v>274.61538461538464</v>
      </c>
      <c r="L297" s="60" t="s">
        <v>99</v>
      </c>
      <c r="M297" s="2"/>
      <c r="N297" s="2"/>
      <c r="O297" s="66">
        <v>284.61538461538464</v>
      </c>
    </row>
    <row r="298" spans="2:15" x14ac:dyDescent="0.3">
      <c r="B298" s="60" t="s">
        <v>235</v>
      </c>
      <c r="C298" s="2"/>
      <c r="D298" s="2"/>
      <c r="E298" s="67">
        <v>1999.3</v>
      </c>
      <c r="G298" s="60" t="s">
        <v>235</v>
      </c>
      <c r="H298" s="2"/>
      <c r="I298" s="2"/>
      <c r="J298" s="67">
        <v>2049.2999999999997</v>
      </c>
      <c r="L298" s="60" t="s">
        <v>235</v>
      </c>
      <c r="M298" s="2"/>
      <c r="N298" s="2"/>
      <c r="O298" s="67">
        <v>2073.2999999999997</v>
      </c>
    </row>
    <row r="299" spans="2:15" ht="15" thickBot="1" x14ac:dyDescent="0.35">
      <c r="B299" s="60" t="s">
        <v>96</v>
      </c>
      <c r="C299" s="2"/>
      <c r="D299" s="129"/>
      <c r="E299" s="134">
        <v>353.8900000000001</v>
      </c>
      <c r="G299" s="60" t="s">
        <v>96</v>
      </c>
      <c r="H299" s="2"/>
      <c r="I299" s="129"/>
      <c r="J299" s="134">
        <v>523.55999999999995</v>
      </c>
      <c r="L299" s="60" t="s">
        <v>96</v>
      </c>
      <c r="M299" s="2"/>
      <c r="N299" s="129"/>
      <c r="O299" s="134">
        <v>17.559999999999945</v>
      </c>
    </row>
    <row r="300" spans="2:15" ht="15.6" thickTop="1" thickBot="1" x14ac:dyDescent="0.35">
      <c r="B300" s="64" t="s">
        <v>94</v>
      </c>
      <c r="C300" s="65"/>
      <c r="D300" s="131"/>
      <c r="E300" s="132">
        <v>5696.3199999999933</v>
      </c>
      <c r="G300" s="64" t="s">
        <v>94</v>
      </c>
      <c r="H300" s="65"/>
      <c r="I300" s="131"/>
      <c r="J300" s="132">
        <v>5826.3199999999943</v>
      </c>
      <c r="L300" s="64" t="s">
        <v>94</v>
      </c>
      <c r="M300" s="65"/>
      <c r="N300" s="131"/>
      <c r="O300" s="132">
        <v>5900.3199999999943</v>
      </c>
    </row>
    <row r="301" spans="2:15" ht="15.6" thickTop="1" thickBot="1" x14ac:dyDescent="0.35">
      <c r="B301" s="64" t="s">
        <v>98</v>
      </c>
      <c r="C301" s="65"/>
      <c r="D301" s="131"/>
      <c r="E301" s="143">
        <v>5569.3</v>
      </c>
      <c r="G301" s="64" t="s">
        <v>98</v>
      </c>
      <c r="H301" s="65"/>
      <c r="I301" s="131"/>
      <c r="J301" s="143">
        <v>5619.2999999999993</v>
      </c>
      <c r="L301" s="64" t="s">
        <v>98</v>
      </c>
      <c r="M301" s="65"/>
      <c r="N301" s="131"/>
      <c r="O301" s="143">
        <v>5773.2999999999993</v>
      </c>
    </row>
    <row r="302" spans="2:15" ht="15.6" thickTop="1" thickBot="1" x14ac:dyDescent="0.35"/>
    <row r="303" spans="2:15" ht="15.6" thickTop="1" thickBot="1" x14ac:dyDescent="0.35">
      <c r="B303" s="378" t="s">
        <v>92</v>
      </c>
      <c r="C303" s="405"/>
      <c r="D303" s="379"/>
      <c r="E303" s="75">
        <v>44788</v>
      </c>
      <c r="G303" s="378" t="s">
        <v>92</v>
      </c>
      <c r="H303" s="405"/>
      <c r="I303" s="379"/>
      <c r="J303" s="75">
        <v>44788</v>
      </c>
    </row>
    <row r="304" spans="2:15" ht="15.6" thickTop="1" thickBot="1" x14ac:dyDescent="0.35">
      <c r="B304" s="382"/>
      <c r="C304" s="406"/>
      <c r="D304" s="383"/>
      <c r="E304" s="75">
        <v>45791</v>
      </c>
      <c r="G304" s="382"/>
      <c r="H304" s="406"/>
      <c r="I304" s="383"/>
      <c r="J304" s="75">
        <v>45822</v>
      </c>
    </row>
    <row r="305" spans="2:10" ht="15.6" thickTop="1" thickBot="1" x14ac:dyDescent="0.35">
      <c r="B305" s="60" t="s">
        <v>91</v>
      </c>
      <c r="C305" s="2"/>
      <c r="D305" s="2"/>
      <c r="E305" s="117">
        <v>4810</v>
      </c>
      <c r="G305" s="60" t="s">
        <v>91</v>
      </c>
      <c r="H305" s="2"/>
      <c r="I305" s="2"/>
      <c r="J305" s="117">
        <v>5220</v>
      </c>
    </row>
    <row r="306" spans="2:10" ht="15.6" thickTop="1" thickBot="1" x14ac:dyDescent="0.35">
      <c r="B306" s="61" t="s">
        <v>168</v>
      </c>
      <c r="C306" s="62"/>
      <c r="D306" s="62"/>
      <c r="E306" s="123"/>
      <c r="G306" s="61" t="s">
        <v>168</v>
      </c>
      <c r="H306" s="62"/>
      <c r="I306" s="62"/>
      <c r="J306" s="123"/>
    </row>
    <row r="307" spans="2:10" ht="15" thickTop="1" x14ac:dyDescent="0.3">
      <c r="B307" s="121" t="s">
        <v>224</v>
      </c>
      <c r="C307" s="2"/>
      <c r="D307" s="2"/>
      <c r="E307" s="116">
        <v>24890</v>
      </c>
      <c r="G307" s="121" t="s">
        <v>224</v>
      </c>
      <c r="H307" s="2"/>
      <c r="I307" s="2"/>
      <c r="J307" s="116">
        <v>28430</v>
      </c>
    </row>
    <row r="308" spans="2:10" x14ac:dyDescent="0.3">
      <c r="B308" s="122" t="s">
        <v>225</v>
      </c>
      <c r="C308" s="2"/>
      <c r="D308" s="2"/>
      <c r="E308" s="68">
        <v>460</v>
      </c>
      <c r="G308" s="122" t="s">
        <v>225</v>
      </c>
      <c r="H308" s="2"/>
      <c r="I308" s="2"/>
      <c r="J308" s="68">
        <v>460</v>
      </c>
    </row>
    <row r="309" spans="2:10" x14ac:dyDescent="0.3">
      <c r="B309" s="60" t="s">
        <v>102</v>
      </c>
      <c r="C309" s="2"/>
      <c r="D309" s="2"/>
      <c r="E309" s="69">
        <v>1300</v>
      </c>
      <c r="G309" s="60" t="s">
        <v>102</v>
      </c>
      <c r="H309" s="2"/>
      <c r="I309" s="2"/>
      <c r="J309" s="69">
        <v>3540</v>
      </c>
    </row>
    <row r="310" spans="2:10" x14ac:dyDescent="0.3">
      <c r="B310" s="122" t="s">
        <v>226</v>
      </c>
      <c r="C310" s="2"/>
      <c r="D310" s="2"/>
      <c r="E310" s="124">
        <v>2532.6</v>
      </c>
      <c r="G310" s="122" t="s">
        <v>226</v>
      </c>
      <c r="H310" s="2"/>
      <c r="I310" s="2"/>
      <c r="J310" s="124">
        <v>3319.4</v>
      </c>
    </row>
    <row r="311" spans="2:10" ht="15" thickBot="1" x14ac:dyDescent="0.35">
      <c r="B311" s="60" t="s">
        <v>104</v>
      </c>
      <c r="C311" s="2"/>
      <c r="D311" s="2"/>
      <c r="E311" s="69">
        <v>106</v>
      </c>
      <c r="G311" s="60" t="s">
        <v>104</v>
      </c>
      <c r="H311" s="2"/>
      <c r="I311" s="2"/>
      <c r="J311" s="69">
        <v>786.8</v>
      </c>
    </row>
    <row r="312" spans="2:10" ht="15.6" thickTop="1" thickBot="1" x14ac:dyDescent="0.35">
      <c r="B312" s="125" t="s">
        <v>39</v>
      </c>
      <c r="C312" s="62"/>
      <c r="D312" s="62"/>
      <c r="E312" s="123"/>
      <c r="G312" s="125" t="s">
        <v>39</v>
      </c>
      <c r="H312" s="62"/>
      <c r="I312" s="62"/>
      <c r="J312" s="123"/>
    </row>
    <row r="313" spans="2:10" ht="15" thickTop="1" x14ac:dyDescent="0.3">
      <c r="B313" s="60" t="s">
        <v>100</v>
      </c>
      <c r="C313" s="2"/>
      <c r="D313" s="2"/>
      <c r="E313" s="68">
        <v>20464.910000000003</v>
      </c>
      <c r="G313" s="60" t="s">
        <v>100</v>
      </c>
      <c r="H313" s="2"/>
      <c r="I313" s="2"/>
      <c r="J313" s="68">
        <v>21879.910000000003</v>
      </c>
    </row>
    <row r="314" spans="2:10" x14ac:dyDescent="0.3">
      <c r="B314" s="60" t="s">
        <v>103</v>
      </c>
      <c r="C314" s="2"/>
      <c r="D314" s="2"/>
      <c r="E314" s="69">
        <v>2081.67</v>
      </c>
      <c r="G314" s="60" t="s">
        <v>103</v>
      </c>
      <c r="H314" s="2"/>
      <c r="I314" s="2"/>
      <c r="J314" s="69">
        <v>1415</v>
      </c>
    </row>
    <row r="315" spans="2:10" ht="15" thickBot="1" x14ac:dyDescent="0.35">
      <c r="B315" s="73" t="s">
        <v>95</v>
      </c>
      <c r="C315" s="72"/>
      <c r="D315" s="63"/>
      <c r="E315" s="71">
        <v>4425.0899999999965</v>
      </c>
      <c r="G315" s="73" t="s">
        <v>95</v>
      </c>
      <c r="H315" s="72"/>
      <c r="I315" s="63"/>
      <c r="J315" s="71">
        <v>6550.0899999999965</v>
      </c>
    </row>
    <row r="316" spans="2:10" ht="15" thickTop="1" x14ac:dyDescent="0.3">
      <c r="B316" s="60" t="s">
        <v>101</v>
      </c>
      <c r="C316" s="2"/>
      <c r="D316" s="2"/>
      <c r="E316" s="68">
        <v>1968.6</v>
      </c>
      <c r="G316" s="60" t="s">
        <v>101</v>
      </c>
      <c r="H316" s="2"/>
      <c r="I316" s="2"/>
      <c r="J316" s="68">
        <v>2126.6</v>
      </c>
    </row>
    <row r="317" spans="2:10" x14ac:dyDescent="0.3">
      <c r="B317" s="60" t="s">
        <v>105</v>
      </c>
      <c r="C317" s="2"/>
      <c r="D317" s="2"/>
      <c r="E317" s="69">
        <v>128</v>
      </c>
      <c r="G317" s="60" t="s">
        <v>105</v>
      </c>
      <c r="H317" s="2"/>
      <c r="I317" s="2"/>
      <c r="J317" s="69">
        <v>138</v>
      </c>
    </row>
    <row r="318" spans="2:10" ht="15" thickBot="1" x14ac:dyDescent="0.35">
      <c r="B318" s="73" t="s">
        <v>97</v>
      </c>
      <c r="C318" s="63"/>
      <c r="D318" s="63"/>
      <c r="E318" s="71">
        <v>564</v>
      </c>
      <c r="G318" s="73" t="s">
        <v>97</v>
      </c>
      <c r="H318" s="63"/>
      <c r="I318" s="63"/>
      <c r="J318" s="71">
        <v>1192.8000000000002</v>
      </c>
    </row>
    <row r="319" spans="2:10" ht="15.6" thickTop="1" thickBot="1" x14ac:dyDescent="0.35">
      <c r="B319" s="61" t="s">
        <v>227</v>
      </c>
      <c r="C319" s="126"/>
      <c r="D319" s="62"/>
      <c r="E319" s="130"/>
      <c r="G319" s="61" t="s">
        <v>227</v>
      </c>
      <c r="H319" s="126"/>
      <c r="I319" s="62"/>
      <c r="J319" s="130"/>
    </row>
    <row r="320" spans="2:10" ht="15" thickTop="1" x14ac:dyDescent="0.3">
      <c r="B320" s="60" t="s">
        <v>228</v>
      </c>
      <c r="C320" s="118"/>
      <c r="D320" s="2"/>
      <c r="E320" s="70">
        <v>184.69999999999996</v>
      </c>
      <c r="G320" s="60" t="s">
        <v>228</v>
      </c>
      <c r="H320" s="118"/>
      <c r="I320" s="2"/>
      <c r="J320" s="70">
        <v>184.69999999999996</v>
      </c>
    </row>
    <row r="321" spans="2:10" x14ac:dyDescent="0.3">
      <c r="B321" s="60" t="s">
        <v>248</v>
      </c>
      <c r="C321" s="127"/>
      <c r="D321" s="128"/>
      <c r="E321" s="68">
        <v>450</v>
      </c>
      <c r="G321" s="60" t="s">
        <v>248</v>
      </c>
      <c r="H321" s="127"/>
      <c r="I321" s="128"/>
      <c r="J321" s="68">
        <v>450</v>
      </c>
    </row>
    <row r="322" spans="2:10" x14ac:dyDescent="0.3">
      <c r="B322" s="60" t="s">
        <v>247</v>
      </c>
      <c r="C322" s="127"/>
      <c r="D322" s="128"/>
      <c r="E322" s="68">
        <v>98</v>
      </c>
      <c r="G322" s="60" t="s">
        <v>247</v>
      </c>
      <c r="H322" s="127"/>
      <c r="I322" s="128"/>
      <c r="J322" s="68">
        <v>118</v>
      </c>
    </row>
    <row r="323" spans="2:10" x14ac:dyDescent="0.3">
      <c r="B323" s="60" t="s">
        <v>93</v>
      </c>
      <c r="C323" s="2"/>
      <c r="D323" s="2"/>
      <c r="E323" s="67">
        <v>4350</v>
      </c>
      <c r="G323" s="60" t="s">
        <v>93</v>
      </c>
      <c r="H323" s="2"/>
      <c r="I323" s="2"/>
      <c r="J323" s="67">
        <v>4760</v>
      </c>
    </row>
    <row r="324" spans="2:10" x14ac:dyDescent="0.3">
      <c r="B324" s="60" t="s">
        <v>99</v>
      </c>
      <c r="C324" s="2"/>
      <c r="D324" s="2"/>
      <c r="E324" s="66">
        <v>255.88235294117646</v>
      </c>
      <c r="G324" s="60" t="s">
        <v>99</v>
      </c>
      <c r="H324" s="2"/>
      <c r="I324" s="2"/>
      <c r="J324" s="66">
        <v>280</v>
      </c>
    </row>
    <row r="325" spans="2:10" x14ac:dyDescent="0.3">
      <c r="B325" s="60" t="s">
        <v>235</v>
      </c>
      <c r="C325" s="2"/>
      <c r="D325" s="2"/>
      <c r="E325" s="67">
        <v>2169.2999999999997</v>
      </c>
      <c r="G325" s="60" t="s">
        <v>235</v>
      </c>
      <c r="H325" s="2"/>
      <c r="I325" s="2"/>
      <c r="J325" s="67">
        <v>2936.1</v>
      </c>
    </row>
    <row r="326" spans="2:10" ht="15" thickBot="1" x14ac:dyDescent="0.35">
      <c r="B326" s="60" t="s">
        <v>96</v>
      </c>
      <c r="C326" s="2"/>
      <c r="D326" s="129"/>
      <c r="E326" s="134">
        <v>1577.23</v>
      </c>
      <c r="G326" s="60" t="s">
        <v>96</v>
      </c>
      <c r="H326" s="2"/>
      <c r="I326" s="129"/>
      <c r="J326" s="134">
        <v>70.23</v>
      </c>
    </row>
    <row r="327" spans="2:10" ht="15.6" thickTop="1" thickBot="1" x14ac:dyDescent="0.35">
      <c r="B327" s="64" t="s">
        <v>94</v>
      </c>
      <c r="C327" s="65"/>
      <c r="D327" s="131"/>
      <c r="E327" s="132">
        <v>6519.2999999999993</v>
      </c>
      <c r="G327" s="64" t="s">
        <v>94</v>
      </c>
      <c r="H327" s="65"/>
      <c r="I327" s="131"/>
      <c r="J327" s="132">
        <v>7696.1</v>
      </c>
    </row>
    <row r="328" spans="2:10" ht="15.6" thickTop="1" thickBot="1" x14ac:dyDescent="0.35">
      <c r="B328" s="64" t="s">
        <v>98</v>
      </c>
      <c r="C328" s="65"/>
      <c r="D328" s="131"/>
      <c r="E328" s="143">
        <v>6566.3199999999961</v>
      </c>
      <c r="G328" s="64" t="s">
        <v>98</v>
      </c>
      <c r="H328" s="65"/>
      <c r="I328" s="131"/>
      <c r="J328" s="143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66" customWidth="1"/>
    <col min="6" max="6" width="8.33203125" bestFit="1" customWidth="1"/>
    <col min="7" max="7" width="9" style="166" bestFit="1" customWidth="1"/>
    <col min="8" max="8" width="8" style="166" bestFit="1" customWidth="1"/>
    <col min="9" max="9" width="8.33203125" style="166" bestFit="1" customWidth="1"/>
    <col min="10" max="10" width="9.88671875" style="166" bestFit="1" customWidth="1"/>
    <col min="11" max="11" width="10" style="166" bestFit="1" customWidth="1"/>
    <col min="12" max="12" width="10.6640625" style="16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2000</v>
      </c>
      <c r="H3" s="79" t="s">
        <v>176</v>
      </c>
      <c r="I3" s="97">
        <f>SUM($P$7:$P$1048576)</f>
        <v>480</v>
      </c>
      <c r="J3" s="79" t="s">
        <v>177</v>
      </c>
      <c r="K3" s="98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 t="shared" ref="O7" si="0">E7-N7</f>
        <v>0</v>
      </c>
      <c r="P7" s="74">
        <v>0</v>
      </c>
      <c r="Q7" s="74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6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3">
        <v>2480</v>
      </c>
      <c r="N8" s="74">
        <f>SUMIFS(PAGOS!$E$3:$E$1048576,PAGOS!$A$3:$A$1048576,"&lt;&gt;INGRESO*",PAGOS!$A$3:$A$1048576,"&lt;&gt;EGRESO*",PAGOS!$D$3:$D$1048576,+MID('17'!B8,6,3)*1)</f>
        <v>2000</v>
      </c>
      <c r="O8" s="74">
        <f t="shared" ref="O8" si="2">E8-N8</f>
        <v>0</v>
      </c>
      <c r="P8" s="74">
        <f>SUMIFS(PAGOS!$H$3:$H$1048576,PAGOS!$A$3:$A$1048576,"&lt;&gt;INGRESO*",PAGOS!$A$3:$A$1048576,"&lt;&gt;EGRESO*",PAGOS!$D$3:$D$1048576,+MID('17'!B8,6,3)*1)</f>
        <v>480</v>
      </c>
      <c r="Q8" s="74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N10" sqref="N10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06" bestFit="1" customWidth="1"/>
    <col min="6" max="6" width="8.44140625" style="166" bestFit="1" customWidth="1"/>
    <col min="7" max="7" width="9.109375" style="167" bestFit="1" customWidth="1"/>
    <col min="8" max="9" width="8.33203125" style="166" bestFit="1" customWidth="1"/>
    <col min="10" max="10" width="8.6640625" style="166" bestFit="1" customWidth="1"/>
    <col min="11" max="11" width="10.33203125" style="166" bestFit="1" customWidth="1"/>
    <col min="12" max="12" width="10.6640625" style="16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1300</v>
      </c>
      <c r="H3" s="79" t="s">
        <v>176</v>
      </c>
      <c r="I3" s="97">
        <f>SUM($P$7:$P$1048576)</f>
        <v>126</v>
      </c>
      <c r="J3" s="79" t="s">
        <v>177</v>
      </c>
      <c r="K3" s="98">
        <f>G3+I3</f>
        <v>1426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183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 t="shared" ref="O7" si="0">E7-N7</f>
        <v>0</v>
      </c>
      <c r="P7" s="74">
        <v>0</v>
      </c>
      <c r="Q7" s="74">
        <f t="shared" ref="Q7" si="1">K7-P7</f>
        <v>0</v>
      </c>
    </row>
    <row r="8" spans="1:17" x14ac:dyDescent="0.3">
      <c r="A8" s="42">
        <v>2</v>
      </c>
      <c r="B8" s="42" t="s">
        <v>434</v>
      </c>
      <c r="C8" s="42" t="s">
        <v>338</v>
      </c>
      <c r="D8" s="38">
        <v>45884</v>
      </c>
      <c r="E8" s="11">
        <v>200</v>
      </c>
      <c r="F8" s="11">
        <v>4</v>
      </c>
      <c r="G8" s="183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SUMIFS(PAGOS!$E$3:$E$1048576,PAGOS!$A$3:$A$1048576,"&lt;&gt;INGRESO*",PAGOS!$A$3:$A$1048576,"&lt;&gt;EGRESO*",PAGOS!$D$3:$D$1048576,+MID('18'!B8,6,3)*1)</f>
        <v>200</v>
      </c>
      <c r="O8" s="74">
        <f t="shared" ref="O8" si="2">E8-N8</f>
        <v>0</v>
      </c>
      <c r="P8" s="74">
        <f>SUMIFS(PAGOS!$H$3:$H$1048576,PAGOS!$A$3:$A$1048576,"&lt;&gt;INGRESO*",PAGOS!$A$3:$A$1048576,"&lt;&gt;EGRESO*",PAGOS!$D$3:$D$1048576,+MID('18'!B8,6,3)*1)</f>
        <v>12</v>
      </c>
      <c r="Q8" s="74">
        <f t="shared" ref="Q8" si="3">K8-P8</f>
        <v>4</v>
      </c>
    </row>
    <row r="9" spans="1:17" x14ac:dyDescent="0.3">
      <c r="A9" s="42">
        <v>3</v>
      </c>
      <c r="B9" s="42" t="s">
        <v>510</v>
      </c>
      <c r="C9" s="42" t="s">
        <v>338</v>
      </c>
      <c r="D9" s="38">
        <v>45945</v>
      </c>
      <c r="E9" s="11">
        <v>400</v>
      </c>
      <c r="F9" s="11">
        <v>4</v>
      </c>
      <c r="G9" s="183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4">
        <f>SUMIFS(PAGOS!$E$3:$E$1048576,PAGOS!$A$3:$A$1048576,"&lt;&gt;INGRESO*",PAGOS!$A$3:$A$1048576,"&lt;&gt;EGRESO*",PAGOS!$D$3:$D$1048576,+MID('18'!B9,6,3)*1)</f>
        <v>400</v>
      </c>
      <c r="O9" s="74">
        <f t="shared" ref="O9" si="4">E9-N9</f>
        <v>0</v>
      </c>
      <c r="P9" s="74">
        <f>SUMIFS(PAGOS!$H$3:$H$1048576,PAGOS!$A$3:$A$1048576,"&lt;&gt;INGRESO*",PAGOS!$A$3:$A$1048576,"&lt;&gt;EGRESO*",PAGOS!$D$3:$D$1048576,+MID('18'!B9,6,3)*1)</f>
        <v>16</v>
      </c>
      <c r="Q9" s="74">
        <f t="shared" ref="Q9" si="5">K9-P9</f>
        <v>16</v>
      </c>
    </row>
    <row r="10" spans="1:17" x14ac:dyDescent="0.3">
      <c r="A10" s="42">
        <v>4</v>
      </c>
      <c r="B10" s="42" t="s">
        <v>545</v>
      </c>
      <c r="C10" s="42" t="s">
        <v>338</v>
      </c>
      <c r="D10" s="38">
        <v>46008</v>
      </c>
      <c r="E10" s="11">
        <v>700</v>
      </c>
      <c r="F10" s="11">
        <v>7</v>
      </c>
      <c r="G10" s="183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4">
        <f>SUMIFS(PAGOS!$E$3:$E$1048576,PAGOS!$A$3:$A$1048576,"&lt;&gt;INGRESO*",PAGOS!$A$3:$A$1048576,"&lt;&gt;EGRESO*",PAGOS!$D$3:$D$1048576,+MID('18'!B10,6,3)*1)</f>
        <v>700</v>
      </c>
      <c r="O10" s="74">
        <f t="shared" ref="O10" si="6">E10-N10</f>
        <v>0</v>
      </c>
      <c r="P10" s="74">
        <f>SUMIFS(PAGOS!$H$3:$H$1048576,PAGOS!$A$3:$A$1048576,"&lt;&gt;INGRESO*",PAGOS!$A$3:$A$1048576,"&lt;&gt;EGRESO*",PAGOS!$D$3:$D$1048576,+MID('18'!B10,6,3)*1)</f>
        <v>98</v>
      </c>
      <c r="Q10" s="74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66" bestFit="1" customWidth="1"/>
    <col min="6" max="6" width="8.33203125" bestFit="1" customWidth="1"/>
    <col min="7" max="7" width="9" style="166" bestFit="1" customWidth="1"/>
    <col min="8" max="8" width="8.109375" style="166" bestFit="1" customWidth="1"/>
    <col min="9" max="9" width="8.33203125" style="166" bestFit="1" customWidth="1"/>
    <col min="10" max="10" width="9.88671875" style="166" bestFit="1" customWidth="1"/>
    <col min="11" max="11" width="10.109375" style="166" bestFit="1" customWidth="1"/>
    <col min="12" max="12" width="10.6640625" style="16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1000</v>
      </c>
      <c r="H3" s="79" t="s">
        <v>176</v>
      </c>
      <c r="I3" s="97">
        <f>SUM($P$7:$P$1048576)</f>
        <v>80</v>
      </c>
      <c r="J3" s="79" t="s">
        <v>177</v>
      </c>
      <c r="K3" s="98">
        <f>G3+I3</f>
        <v>1080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>E7-N7</f>
        <v>0</v>
      </c>
      <c r="P7" s="74">
        <v>0</v>
      </c>
      <c r="Q7" s="74">
        <f>K7-P7</f>
        <v>0</v>
      </c>
    </row>
    <row r="8" spans="1:17" x14ac:dyDescent="0.3">
      <c r="A8" s="42">
        <v>2</v>
      </c>
      <c r="B8" s="42" t="s">
        <v>524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4">
        <f>SUMIFS(PAGOS[PAGO DEL MONTO],PAGOS[REG],"&lt;&gt;INGRESO*",PAGOS[REG],"&lt;&gt;EGRESO*",PAGOS['# PESTAMO],MID(B8,6,3)*1)</f>
        <v>400</v>
      </c>
      <c r="O8" s="74">
        <f>E8-N8</f>
        <v>600</v>
      </c>
      <c r="P8" s="74">
        <f>SUMIFS(PAGOS[PAGO DEL INTERES],PAGOS[REG],"&lt;&gt;INGRESO*",PAGOS[REG],"&lt;&gt;EGRESO*",PAGOS['# PESTAMO],MID(B8,6,3)*1)</f>
        <v>80</v>
      </c>
      <c r="Q8" s="74">
        <f>K8-P8</f>
        <v>120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0</v>
      </c>
      <c r="H3" s="79" t="s">
        <v>176</v>
      </c>
      <c r="I3" s="97">
        <f>SUM($P$7:$P$1048576)</f>
        <v>0</v>
      </c>
      <c r="J3" s="79" t="s">
        <v>177</v>
      </c>
      <c r="K3" s="98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65" t="e" cm="1" vm="1">
        <f t="array" ref="A7">"000"&amp;_xlfn.SEQUENCE(COUNTA(C7:C1048576))</f>
        <v>#VALUE!</v>
      </c>
      <c r="B7" s="170"/>
      <c r="C7" s="165"/>
      <c r="D7" s="169"/>
      <c r="E7" s="168"/>
      <c r="F7" s="165"/>
      <c r="G7" s="168"/>
      <c r="H7" s="168"/>
      <c r="I7" s="171"/>
      <c r="J7" s="168"/>
      <c r="K7" s="168"/>
      <c r="L7" s="174"/>
      <c r="N7" s="74">
        <f>SUMIFS(PAGOS!$E$3:$E$1048576,PAGOS!$A$3:$A$1048576,"&lt;&gt;INGRESO*",PAGOS!$A$3:$A$1048576,"&lt;&gt;EGRESO*",PAGOS!$D$3:$D$1048576,B7)</f>
        <v>0</v>
      </c>
      <c r="O7" s="74">
        <f>E7-N7</f>
        <v>0</v>
      </c>
      <c r="P7" s="74">
        <f>SUMIFS(PAGOS!$H$3:$H$1048576,PAGOS!$A$3:$A$1048576,"&lt;&gt;INGRESO*",PAGOS!$A$3:$A$1048576,"&lt;&gt;EGRESO*",PAGOS!$D$3:$D$1048576,B7)</f>
        <v>0</v>
      </c>
      <c r="Q7" s="74">
        <f>K7-P7</f>
        <v>0</v>
      </c>
    </row>
    <row r="8" spans="1:17" x14ac:dyDescent="0.3">
      <c r="A8" s="164"/>
      <c r="B8" s="164"/>
      <c r="C8" s="164"/>
      <c r="D8" s="172"/>
      <c r="E8" s="173"/>
      <c r="F8" s="164"/>
      <c r="G8" s="164"/>
      <c r="H8" s="164"/>
      <c r="I8" s="164"/>
      <c r="J8" s="164"/>
      <c r="K8" s="164"/>
      <c r="L8" s="17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3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8" t="s">
        <v>140</v>
      </c>
    </row>
    <row r="3" spans="2:6" x14ac:dyDescent="0.3">
      <c r="B3" s="79" t="s">
        <v>141</v>
      </c>
      <c r="C3" s="80">
        <v>46103</v>
      </c>
      <c r="D3" s="79" t="s">
        <v>142</v>
      </c>
      <c r="E3" s="81">
        <v>0.02</v>
      </c>
    </row>
    <row r="4" spans="2:6" x14ac:dyDescent="0.3">
      <c r="B4" s="79" t="s">
        <v>143</v>
      </c>
      <c r="C4" s="82" t="s">
        <v>515</v>
      </c>
      <c r="D4" s="79" t="s">
        <v>144</v>
      </c>
      <c r="E4" s="83">
        <f>C6*E3</f>
        <v>11.200000000000001</v>
      </c>
      <c r="F4" s="84"/>
    </row>
    <row r="5" spans="2:6" x14ac:dyDescent="0.3">
      <c r="B5" s="79" t="s">
        <v>169</v>
      </c>
      <c r="C5" s="225">
        <v>115</v>
      </c>
      <c r="D5" s="79" t="s">
        <v>146</v>
      </c>
      <c r="E5" s="85">
        <f>C6/C7</f>
        <v>140</v>
      </c>
      <c r="F5" s="86"/>
    </row>
    <row r="6" spans="2:6" x14ac:dyDescent="0.3">
      <c r="B6" s="79" t="s">
        <v>145</v>
      </c>
      <c r="C6" s="92">
        <v>560</v>
      </c>
      <c r="D6" s="79" t="s">
        <v>148</v>
      </c>
      <c r="E6" s="88">
        <f>E4+E5</f>
        <v>151.19999999999999</v>
      </c>
      <c r="F6" s="89"/>
    </row>
    <row r="7" spans="2:6" x14ac:dyDescent="0.3">
      <c r="B7" s="79" t="s">
        <v>147</v>
      </c>
      <c r="C7" s="87">
        <v>4</v>
      </c>
      <c r="D7" s="79" t="s">
        <v>149</v>
      </c>
      <c r="E7" s="93">
        <f>(E6)*C7</f>
        <v>604.79999999999995</v>
      </c>
      <c r="F7" s="74"/>
    </row>
    <row r="8" spans="2:6" x14ac:dyDescent="0.3">
      <c r="B8" s="5"/>
      <c r="C8" s="101"/>
      <c r="D8" s="5"/>
      <c r="E8" s="102"/>
      <c r="F8" s="74"/>
    </row>
    <row r="9" spans="2:6" x14ac:dyDescent="0.3">
      <c r="B9" s="79" t="s">
        <v>188</v>
      </c>
      <c r="C9" s="103" t="s">
        <v>614</v>
      </c>
      <c r="D9" s="104"/>
      <c r="E9" s="104"/>
      <c r="F9" s="105"/>
    </row>
    <row r="11" spans="2:6" x14ac:dyDescent="0.3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2" spans="3:5" x14ac:dyDescent="0.3">
      <c r="C22" t="s">
        <v>170</v>
      </c>
      <c r="E22" t="s">
        <v>170</v>
      </c>
    </row>
    <row r="23" spans="3:5" x14ac:dyDescent="0.3">
      <c r="C23" t="s">
        <v>171</v>
      </c>
      <c r="E23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8" t="s">
        <v>140</v>
      </c>
    </row>
    <row r="3" spans="2:6" x14ac:dyDescent="0.3">
      <c r="B3" s="79" t="s">
        <v>141</v>
      </c>
      <c r="C3" s="80">
        <v>46014</v>
      </c>
      <c r="D3" s="79" t="s">
        <v>142</v>
      </c>
      <c r="E3" s="81">
        <v>0.02</v>
      </c>
    </row>
    <row r="4" spans="2:6" x14ac:dyDescent="0.3">
      <c r="B4" s="79" t="s">
        <v>143</v>
      </c>
      <c r="C4" s="82" t="s">
        <v>23</v>
      </c>
      <c r="D4" s="79" t="s">
        <v>144</v>
      </c>
      <c r="E4" s="83">
        <f>+SUM(D12:D1048576)</f>
        <v>0</v>
      </c>
      <c r="F4" s="84"/>
    </row>
    <row r="5" spans="2:6" x14ac:dyDescent="0.3">
      <c r="B5" s="79" t="s">
        <v>169</v>
      </c>
      <c r="C5" s="91">
        <v>105</v>
      </c>
      <c r="D5" s="79" t="s">
        <v>547</v>
      </c>
      <c r="E5" s="85">
        <f>+SUM(E12:E1048576)</f>
        <v>0</v>
      </c>
      <c r="F5" s="86"/>
    </row>
    <row r="6" spans="2:6" x14ac:dyDescent="0.3">
      <c r="B6" s="79" t="s">
        <v>145</v>
      </c>
      <c r="C6" s="92">
        <v>150</v>
      </c>
      <c r="D6" s="79" t="s">
        <v>148</v>
      </c>
      <c r="E6" s="85">
        <f>C6*((E3*(1+E3)^C7)/((1+E3)^C7-1))</f>
        <v>52.013200888772772</v>
      </c>
      <c r="F6" s="89"/>
    </row>
    <row r="7" spans="2:6" x14ac:dyDescent="0.3">
      <c r="B7" s="79" t="s">
        <v>147</v>
      </c>
      <c r="C7" s="87">
        <v>3</v>
      </c>
      <c r="D7" s="79" t="s">
        <v>149</v>
      </c>
      <c r="E7" s="93">
        <f>+SUM(C12:C1048576)</f>
        <v>0</v>
      </c>
      <c r="F7" s="74"/>
    </row>
    <row r="8" spans="2:6" x14ac:dyDescent="0.3">
      <c r="B8" s="5"/>
      <c r="C8" s="101"/>
      <c r="D8" s="5"/>
      <c r="E8" s="102"/>
      <c r="F8" s="74"/>
    </row>
    <row r="9" spans="2:6" x14ac:dyDescent="0.3">
      <c r="B9" s="79" t="s">
        <v>188</v>
      </c>
      <c r="C9" s="103" t="s">
        <v>551</v>
      </c>
      <c r="D9" s="104"/>
      <c r="E9" s="104"/>
      <c r="F9" s="105"/>
    </row>
    <row r="11" spans="2:6" x14ac:dyDescent="0.3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8" t="s">
        <v>140</v>
      </c>
    </row>
    <row r="3" spans="2:6" x14ac:dyDescent="0.3">
      <c r="B3" s="79" t="s">
        <v>141</v>
      </c>
      <c r="C3" s="80">
        <v>46014</v>
      </c>
      <c r="D3" s="79" t="s">
        <v>142</v>
      </c>
      <c r="E3" s="81">
        <v>0.02</v>
      </c>
    </row>
    <row r="4" spans="2:6" x14ac:dyDescent="0.3">
      <c r="B4" s="79" t="s">
        <v>143</v>
      </c>
      <c r="C4" s="82" t="s">
        <v>23</v>
      </c>
      <c r="D4" s="79" t="s">
        <v>144</v>
      </c>
      <c r="E4" s="83">
        <f>+SUM(D12:D1048576)</f>
        <v>0</v>
      </c>
      <c r="F4" s="84"/>
    </row>
    <row r="5" spans="2:6" x14ac:dyDescent="0.3">
      <c r="B5" s="79" t="s">
        <v>169</v>
      </c>
      <c r="C5" s="225">
        <v>106</v>
      </c>
      <c r="D5" s="79" t="s">
        <v>547</v>
      </c>
      <c r="E5" s="85">
        <f>+SUM(E12:E1048576)</f>
        <v>0</v>
      </c>
      <c r="F5" s="86"/>
    </row>
    <row r="6" spans="2:6" x14ac:dyDescent="0.3">
      <c r="B6" s="79" t="s">
        <v>145</v>
      </c>
      <c r="C6" s="92">
        <v>150</v>
      </c>
      <c r="D6" s="79" t="s">
        <v>548</v>
      </c>
      <c r="E6" s="85">
        <f>+C6/C7</f>
        <v>50</v>
      </c>
      <c r="F6" s="89"/>
    </row>
    <row r="7" spans="2:6" x14ac:dyDescent="0.3">
      <c r="B7" s="79" t="s">
        <v>147</v>
      </c>
      <c r="C7" s="87">
        <v>3</v>
      </c>
      <c r="D7" s="79" t="s">
        <v>149</v>
      </c>
      <c r="E7" s="93">
        <f>+SUM(C12:C1048576)</f>
        <v>0</v>
      </c>
      <c r="F7" s="74"/>
    </row>
    <row r="8" spans="2:6" x14ac:dyDescent="0.3">
      <c r="B8" s="5"/>
      <c r="C8" s="101"/>
      <c r="D8" s="5"/>
      <c r="E8" s="102"/>
      <c r="F8" s="74"/>
    </row>
    <row r="9" spans="2:6" x14ac:dyDescent="0.3">
      <c r="B9" s="79" t="s">
        <v>188</v>
      </c>
      <c r="C9" s="103" t="s">
        <v>552</v>
      </c>
      <c r="D9" s="104"/>
      <c r="E9" s="104"/>
      <c r="F9" s="105"/>
    </row>
    <row r="11" spans="2:6" x14ac:dyDescent="0.3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06" bestFit="1" customWidth="1"/>
    <col min="6" max="6" width="11.109375" customWidth="1"/>
    <col min="7" max="8" width="11" style="106" bestFit="1" customWidth="1"/>
    <col min="9" max="9" width="11" style="107" bestFit="1" customWidth="1"/>
    <col min="10" max="11" width="15.44140625" style="106" customWidth="1"/>
    <col min="12" max="12" width="13.5546875" style="106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1500</v>
      </c>
      <c r="H3" s="79" t="s">
        <v>176</v>
      </c>
      <c r="I3" s="97">
        <f>SUM($P$7:$P$1048576)</f>
        <v>108</v>
      </c>
      <c r="J3" s="79" t="s">
        <v>177</v>
      </c>
      <c r="K3" s="98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79" t="s">
        <v>45</v>
      </c>
      <c r="D5" s="42"/>
      <c r="E5" s="42"/>
      <c r="F5" s="42"/>
      <c r="G5" s="79" t="s">
        <v>47</v>
      </c>
      <c r="H5" s="233" t="s">
        <v>1</v>
      </c>
      <c r="I5" s="233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4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44">
        <v>100</v>
      </c>
      <c r="F7" s="42">
        <v>4</v>
      </c>
      <c r="G7" s="144">
        <v>25</v>
      </c>
      <c r="H7" s="144">
        <v>2</v>
      </c>
      <c r="I7" s="145">
        <v>27</v>
      </c>
      <c r="J7" s="144">
        <v>100</v>
      </c>
      <c r="K7" s="144">
        <v>8</v>
      </c>
      <c r="L7" s="144">
        <v>108</v>
      </c>
      <c r="N7" s="74">
        <f>SUMIFS(PAGOS!$E$3:$E$1048576,PAGOS!$A$3:$A$1048576,"&lt;&gt;INGRESO*",PAGOS!$A$3:$A$1048576,"&lt;&gt;EGRESO*",PAGOS!$D$3:$D$1048576,+MID('04'!B7,6,3)*1)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SUMIFS(PAGOS!$H$3:$H$1048576,PAGOS!$A$3:$A$1048576,"&lt;&gt;INGRESO*",PAGOS!$A$3:$A$1048576,"&lt;&gt;EGRESO*",PAGOS!$D$3:$D$1048576,+MID('04'!B7,6,3)*1)</f>
        <v>8</v>
      </c>
      <c r="Q7" s="74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44">
        <v>100</v>
      </c>
      <c r="F8" s="42">
        <v>4</v>
      </c>
      <c r="G8" s="144">
        <v>25</v>
      </c>
      <c r="H8" s="144">
        <v>2</v>
      </c>
      <c r="I8" s="145">
        <v>27</v>
      </c>
      <c r="J8" s="144">
        <v>100</v>
      </c>
      <c r="K8" s="144">
        <v>8</v>
      </c>
      <c r="L8" s="144">
        <v>108</v>
      </c>
      <c r="N8" s="74">
        <f>SUMIFS(PAGOS!$E$3:$E$1048576,PAGOS!$A$3:$A$1048576,"&lt;&gt;INGRESO*",PAGOS!$A$3:$A$1048576,"&lt;&gt;EGRESO*",PAGOS!$D$3:$D$1048576,+MID('04'!B8,6,3)*1)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SUMIFS(PAGOS!$H$3:$H$1048576,PAGOS!$A$3:$A$1048576,"&lt;&gt;INGRESO*",PAGOS!$A$3:$A$1048576,"&lt;&gt;EGRESO*",PAGOS!$D$3:$D$1048576,+MID('04'!B8,6,3)*1)</f>
        <v>8</v>
      </c>
      <c r="Q8" s="74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44">
        <v>100</v>
      </c>
      <c r="F9" s="42">
        <v>1</v>
      </c>
      <c r="G9" s="144">
        <v>100</v>
      </c>
      <c r="H9" s="144">
        <v>2</v>
      </c>
      <c r="I9" s="145">
        <v>102</v>
      </c>
      <c r="J9" s="144">
        <v>100</v>
      </c>
      <c r="K9" s="144">
        <v>2</v>
      </c>
      <c r="L9" s="144">
        <v>102</v>
      </c>
      <c r="N9" s="74">
        <f>SUMIFS(PAGOS!$E$3:$E$1048576,PAGOS!$A$3:$A$1048576,"&lt;&gt;INGRESO*",PAGOS!$A$3:$A$1048576,"&lt;&gt;EGRESO*",PAGOS!$D$3:$D$1048576,+MID('04'!B9,6,3)*1)</f>
        <v>100</v>
      </c>
      <c r="O9" s="74">
        <f t="shared" si="0"/>
        <v>0</v>
      </c>
      <c r="P9" s="74">
        <f>SUMIFS(PAGOS!$H$3:$H$1048576,PAGOS!$A$3:$A$1048576,"&lt;&gt;INGRESO*",PAGOS!$A$3:$A$1048576,"&lt;&gt;EGRESO*",PAGOS!$D$3:$D$1048576,+MID('04'!B9,6,3)*1)</f>
        <v>2</v>
      </c>
      <c r="Q9" s="74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6">
        <v>27</v>
      </c>
      <c r="J10" s="11">
        <v>100</v>
      </c>
      <c r="K10" s="11">
        <v>8</v>
      </c>
      <c r="L10" s="11">
        <v>108</v>
      </c>
      <c r="N10" s="74">
        <f>SUMIFS(PAGOS!$E$3:$E$1048576,PAGOS!$A$3:$A$1048576,"&lt;&gt;INGRESO*",PAGOS!$A$3:$A$1048576,"&lt;&gt;EGRESO*",PAGOS!$D$3:$D$1048576,+MID('04'!B10,6,3)*1)</f>
        <v>100</v>
      </c>
      <c r="O10" s="74">
        <f t="shared" si="0"/>
        <v>0</v>
      </c>
      <c r="P10" s="74">
        <f>SUMIFS(PAGOS!$H$3:$H$1048576,PAGOS!$A$3:$A$1048576,"&lt;&gt;INGRESO*",PAGOS!$A$3:$A$1048576,"&lt;&gt;EGRESO*",PAGOS!$D$3:$D$1048576,+MID('04'!B10,6,3)*1)</f>
        <v>8</v>
      </c>
      <c r="Q10" s="74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6">
        <v>56</v>
      </c>
      <c r="J11" s="11">
        <v>300</v>
      </c>
      <c r="K11" s="11">
        <v>36</v>
      </c>
      <c r="L11" s="11">
        <v>336</v>
      </c>
      <c r="N11" s="74">
        <f>SUMIFS(PAGOS!$E$3:$E$1048576,PAGOS!$A$3:$A$1048576,"&lt;&gt;INGRESO*",PAGOS!$A$3:$A$1048576,"&lt;&gt;EGRESO*",PAGOS!$D$3:$D$1048576,+MID('04'!B11,6,3)*1)</f>
        <v>300</v>
      </c>
      <c r="O11" s="74">
        <f t="shared" si="0"/>
        <v>0</v>
      </c>
      <c r="P11" s="74">
        <f>SUMIFS(PAGOS!$H$3:$H$1048576,PAGOS!$A$3:$A$1048576,"&lt;&gt;INGRESO*",PAGOS!$A$3:$A$1048576,"&lt;&gt;EGRESO*",PAGOS!$D$3:$D$1048576,+MID('04'!B11,6,3)*1)</f>
        <v>36</v>
      </c>
      <c r="Q11" s="74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6">
        <v>247.33333333333334</v>
      </c>
      <c r="J12" s="11">
        <v>700</v>
      </c>
      <c r="K12" s="11">
        <v>42</v>
      </c>
      <c r="L12" s="11">
        <v>742</v>
      </c>
      <c r="N12" s="74">
        <f>SUMIFS(PAGOS!$E$3:$E$1048576,PAGOS!$A$3:$A$1048576,"&lt;&gt;INGRESO*",PAGOS!$A$3:$A$1048576,"&lt;&gt;EGRESO*",PAGOS!$D$3:$D$1048576,+MID('04'!B12,6,3)*1)</f>
        <v>700</v>
      </c>
      <c r="O12" s="74">
        <f t="shared" si="0"/>
        <v>0</v>
      </c>
      <c r="P12" s="74">
        <f>SUMIFS(PAGOS!$H$3:$H$1048576,PAGOS!$A$3:$A$1048576,"&lt;&gt;INGRESO*",PAGOS!$A$3:$A$1048576,"&lt;&gt;EGRESO*",PAGOS!$D$3:$D$1048576,+MID('04'!B12,6,3)*1)</f>
        <v>42</v>
      </c>
      <c r="Q12" s="74">
        <f t="shared" si="1"/>
        <v>0</v>
      </c>
    </row>
    <row r="13" spans="1:17" x14ac:dyDescent="0.3">
      <c r="A13" s="42">
        <v>7</v>
      </c>
      <c r="B13" s="42" t="s">
        <v>472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6">
        <v>52</v>
      </c>
      <c r="J13" s="11">
        <v>100</v>
      </c>
      <c r="K13" s="11">
        <v>4</v>
      </c>
      <c r="L13" s="11">
        <v>104</v>
      </c>
      <c r="N13" s="74">
        <f>SUMIFS(PAGOS!$E$3:$E$1048576,PAGOS!$A$3:$A$1048576,"&lt;&gt;INGRESO*",PAGOS!$A$3:$A$1048576,"&lt;&gt;EGRESO*",PAGOS!$D$3:$D$1048576,+MID('04'!B13,6,3)*1)</f>
        <v>100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SUMIFS(PAGOS!$H$3:$H$1048576,PAGOS!$A$3:$A$1048576,"&lt;&gt;INGRESO*",PAGOS!$A$3:$A$1048576,"&lt;&gt;EGRESO*",PAGOS!$D$3:$D$1048576,+MID('04'!B13,6,3)*1)</f>
        <v>4</v>
      </c>
      <c r="Q13" s="74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06" bestFit="1" customWidth="1"/>
    <col min="9" max="9" width="11" style="107" bestFit="1" customWidth="1"/>
    <col min="10" max="12" width="11" style="106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1260</v>
      </c>
      <c r="H3" s="79" t="s">
        <v>176</v>
      </c>
      <c r="I3" s="97">
        <f>SUM($P$7:$P$1048576)</f>
        <v>76.400000000000006</v>
      </c>
      <c r="J3" s="79" t="s">
        <v>177</v>
      </c>
      <c r="K3" s="98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9" t="s">
        <v>45</v>
      </c>
      <c r="D5" s="42"/>
      <c r="E5" s="42"/>
      <c r="F5" s="42"/>
      <c r="G5" s="79" t="s">
        <v>47</v>
      </c>
      <c r="H5" s="233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4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09">
        <v>100</v>
      </c>
      <c r="F7" s="42">
        <v>4</v>
      </c>
      <c r="G7" s="109">
        <v>25</v>
      </c>
      <c r="H7" s="109">
        <v>2</v>
      </c>
      <c r="I7" s="110">
        <v>27</v>
      </c>
      <c r="J7" s="109">
        <v>100</v>
      </c>
      <c r="K7" s="109">
        <v>8</v>
      </c>
      <c r="L7" s="109">
        <v>108</v>
      </c>
      <c r="N7" s="74">
        <f>SUMIFS(PAGOS!$E$3:$E$1048576,PAGOS!$A$3:$A$1048576,"&lt;&gt;INGRESO*",PAGOS!$A$3:$A$1048576,"&lt;&gt;EGRESO*",PAGOS!$D$3:$D$1048576,+MID('03'!B7,6,3)*1)</f>
        <v>100</v>
      </c>
      <c r="O7" s="74">
        <f>E7-N7</f>
        <v>0</v>
      </c>
      <c r="P7" s="74">
        <f>SUMIFS(PAGOS!$H$3:$H$1048576,PAGOS!$A$3:$A$1048576,"&lt;&gt;INGRESO*",PAGOS!$A$3:$A$1048576,"&lt;&gt;EGRESO*",PAGOS!$D$3:$D$1048576,+MID('03'!B7,6,3)*1)</f>
        <v>8</v>
      </c>
      <c r="Q7" s="74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09">
        <v>500</v>
      </c>
      <c r="F8" s="42">
        <v>3</v>
      </c>
      <c r="G8" s="11">
        <v>166.66666666666666</v>
      </c>
      <c r="H8" s="11">
        <v>10</v>
      </c>
      <c r="I8" s="146">
        <v>176.66666666666666</v>
      </c>
      <c r="J8" s="11">
        <v>500</v>
      </c>
      <c r="K8" s="11">
        <v>30</v>
      </c>
      <c r="L8" s="11">
        <v>530</v>
      </c>
      <c r="N8" s="74">
        <f>SUMIFS(PAGOS!$E$3:$E$1048576,PAGOS!$A$3:$A$1048576,"&lt;&gt;INGRESO*",PAGOS!$A$3:$A$1048576,"&lt;&gt;EGRESO*",PAGOS!$D$3:$D$1048576,+MID('03'!B8,6,3)*1)</f>
        <v>500.01</v>
      </c>
      <c r="O8" s="74">
        <f>E8-N8</f>
        <v>-9.9999999999909051E-3</v>
      </c>
      <c r="P8" s="74">
        <f>SUMIFS(PAGOS!$H$3:$H$1048576,PAGOS!$A$3:$A$1048576,"&lt;&gt;INGRESO*",PAGOS!$A$3:$A$1048576,"&lt;&gt;EGRESO*",PAGOS!$D$3:$D$1048576,+MID('03'!B8,6,3)*1)</f>
        <v>30</v>
      </c>
      <c r="Q8" s="74">
        <f>K8-P8</f>
        <v>0</v>
      </c>
    </row>
    <row r="9" spans="1:17" x14ac:dyDescent="0.3">
      <c r="A9" s="42">
        <v>3</v>
      </c>
      <c r="B9" s="109" t="s">
        <v>341</v>
      </c>
      <c r="C9" s="109" t="s">
        <v>13</v>
      </c>
      <c r="D9" s="38">
        <v>45762</v>
      </c>
      <c r="E9" s="109">
        <v>600</v>
      </c>
      <c r="F9" s="42">
        <v>3</v>
      </c>
      <c r="G9" s="11">
        <v>200</v>
      </c>
      <c r="H9" s="11">
        <v>12</v>
      </c>
      <c r="I9" s="146">
        <v>212</v>
      </c>
      <c r="J9" s="11">
        <v>600</v>
      </c>
      <c r="K9" s="11">
        <v>36</v>
      </c>
      <c r="L9" s="11">
        <v>636</v>
      </c>
      <c r="N9" s="74">
        <f>SUMIFS(PAGOS!$E$3:$E$1048576,PAGOS!$A$3:$A$1048576,"&lt;&gt;INGRESO*",PAGOS!$A$3:$A$1048576,"&lt;&gt;EGRESO*",PAGOS!$D$3:$D$1048576,+MID('03'!B9,6,3)*1)</f>
        <v>600</v>
      </c>
      <c r="O9" s="74">
        <f>E9-N9</f>
        <v>0</v>
      </c>
      <c r="P9" s="74">
        <f>SUMIFS(PAGOS!$H$3:$H$1048576,PAGOS!$A$3:$A$1048576,"&lt;&gt;INGRESO*",PAGOS!$A$3:$A$1048576,"&lt;&gt;EGRESO*",PAGOS!$D$3:$D$1048576,+MID('03'!B9,6,3)*1)</f>
        <v>36</v>
      </c>
      <c r="Q9" s="74">
        <f>K9-P9</f>
        <v>0</v>
      </c>
    </row>
    <row r="10" spans="1:17" x14ac:dyDescent="0.3">
      <c r="A10" s="42">
        <v>4</v>
      </c>
      <c r="B10" s="42" t="s">
        <v>485</v>
      </c>
      <c r="C10" s="42" t="s">
        <v>13</v>
      </c>
      <c r="D10" s="38">
        <v>45910</v>
      </c>
      <c r="E10" s="109">
        <v>60</v>
      </c>
      <c r="F10" s="42">
        <v>2</v>
      </c>
      <c r="G10" s="11">
        <v>30</v>
      </c>
      <c r="H10" s="11">
        <v>1.2</v>
      </c>
      <c r="I10" s="146">
        <v>31.2</v>
      </c>
      <c r="J10" s="11">
        <v>60</v>
      </c>
      <c r="K10" s="11">
        <v>2.4</v>
      </c>
      <c r="L10" s="11">
        <v>62.4</v>
      </c>
      <c r="N10" s="74">
        <f>SUMIFS(PAGOS!$E$3:$E$1048576,PAGOS!$A$3:$A$1048576,"&lt;&gt;INGRESO*",PAGOS!$A$3:$A$1048576,"&lt;&gt;EGRESO*",PAGOS!$D$3:$D$1048576,+MID('03'!B10,6,3)*1)</f>
        <v>60</v>
      </c>
      <c r="O10" s="74">
        <f>E10-N10</f>
        <v>0</v>
      </c>
      <c r="P10" s="74">
        <f>SUMIFS(PAGOS!$H$3:$H$1048576,PAGOS!$A$3:$A$1048576,"&lt;&gt;INGRESO*",PAGOS!$A$3:$A$1048576,"&lt;&gt;EGRESO*",PAGOS!$D$3:$D$1048576,+MID('03'!B10,6,3)*1)</f>
        <v>2.4</v>
      </c>
      <c r="Q10" s="74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6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06" bestFit="1" customWidth="1"/>
    <col min="9" max="9" width="8.33203125" style="107" customWidth="1"/>
    <col min="10" max="10" width="11.33203125" style="106" customWidth="1"/>
    <col min="11" max="12" width="11.6640625" style="106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5000</v>
      </c>
      <c r="H3" s="79" t="s">
        <v>176</v>
      </c>
      <c r="I3" s="97">
        <f>SUM($P$7:$P$1048576)</f>
        <v>544</v>
      </c>
      <c r="J3" s="79" t="s">
        <v>177</v>
      </c>
      <c r="K3" s="98">
        <f>G3+I3</f>
        <v>5544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9" t="s">
        <v>45</v>
      </c>
      <c r="D5" s="42"/>
      <c r="E5" s="42"/>
      <c r="F5" s="42"/>
      <c r="G5" s="79" t="s">
        <v>47</v>
      </c>
      <c r="H5" s="233" t="s">
        <v>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4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09">
        <v>100</v>
      </c>
      <c r="F7" s="42">
        <v>2</v>
      </c>
      <c r="G7" s="109">
        <v>50</v>
      </c>
      <c r="H7" s="109">
        <v>2</v>
      </c>
      <c r="I7" s="110">
        <v>52</v>
      </c>
      <c r="J7" s="109">
        <v>100</v>
      </c>
      <c r="K7" s="109">
        <v>4</v>
      </c>
      <c r="L7" s="109">
        <v>104</v>
      </c>
      <c r="N7" s="74">
        <f>SUMIFS(PAGOS!$E$3:$E$1048576,PAGOS!$A$3:$A$1048576,"&lt;&gt;INGRESO*",PAGOS!$A$3:$A$1048576,"&lt;&gt;EGRESO*",PAGOS!$D$3:$D$1048576,+MID('05'!B7,6,3)*1)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SUMIFS(PAGOS!$H$3:$H$1048576,PAGOS!$A$3:$A$1048576,"&lt;&gt;INGRESO*",PAGOS!$A$3:$A$1048576,"&lt;&gt;EGRESO*",PAGOS!$D$3:$D$1048576,+MID('05'!B7,6,3)*1)</f>
        <v>4</v>
      </c>
      <c r="Q7" s="74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09">
        <v>300</v>
      </c>
      <c r="F8" s="42">
        <v>3</v>
      </c>
      <c r="G8" s="109">
        <v>100</v>
      </c>
      <c r="H8" s="109">
        <v>6</v>
      </c>
      <c r="I8" s="110">
        <v>106</v>
      </c>
      <c r="J8" s="109">
        <v>300</v>
      </c>
      <c r="K8" s="109">
        <v>18</v>
      </c>
      <c r="L8" s="109">
        <v>318</v>
      </c>
      <c r="N8" s="74">
        <f>SUMIFS(PAGOS!$E$3:$E$1048576,PAGOS!$A$3:$A$1048576,"&lt;&gt;INGRESO*",PAGOS!$A$3:$A$1048576,"&lt;&gt;EGRESO*",PAGOS!$D$3:$D$1048576,+MID('05'!B8,6,3)*1)</f>
        <v>300</v>
      </c>
      <c r="O8" s="74">
        <f t="shared" si="0"/>
        <v>0</v>
      </c>
      <c r="P8" s="74">
        <f>SUMIFS(PAGOS!$H$3:$H$1048576,PAGOS!$A$3:$A$1048576,"&lt;&gt;INGRESO*",PAGOS!$A$3:$A$1048576,"&lt;&gt;EGRESO*",PAGOS!$D$3:$D$1048576,+MID('05'!B8,6,3)*1)</f>
        <v>18</v>
      </c>
      <c r="Q8" s="74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09">
        <v>400</v>
      </c>
      <c r="F9" s="42">
        <v>4</v>
      </c>
      <c r="G9" s="109">
        <v>100</v>
      </c>
      <c r="H9" s="109">
        <v>8</v>
      </c>
      <c r="I9" s="110">
        <v>208</v>
      </c>
      <c r="J9" s="109">
        <v>400</v>
      </c>
      <c r="K9" s="109">
        <v>32</v>
      </c>
      <c r="L9" s="109">
        <v>432</v>
      </c>
      <c r="N9" s="74">
        <f>SUMIFS(PAGOS!$E$3:$E$1048576,PAGOS!$A$3:$A$1048576,"&lt;&gt;INGRESO*",PAGOS!$A$3:$A$1048576,"&lt;&gt;EGRESO*",PAGOS!$D$3:$D$1048576,+MID('05'!B9,6,3)*1)</f>
        <v>400</v>
      </c>
      <c r="O9" s="74">
        <f t="shared" si="0"/>
        <v>0</v>
      </c>
      <c r="P9" s="74">
        <f>SUMIFS(PAGOS!$H$3:$H$1048576,PAGOS!$A$3:$A$1048576,"&lt;&gt;INGRESO*",PAGOS!$A$3:$A$1048576,"&lt;&gt;EGRESO*",PAGOS!$D$3:$D$1048576,+MID('05'!B9,6,3)*1)</f>
        <v>32</v>
      </c>
      <c r="Q9" s="74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09">
        <v>200</v>
      </c>
      <c r="F10" s="42">
        <v>4</v>
      </c>
      <c r="G10" s="109">
        <v>50</v>
      </c>
      <c r="H10" s="109">
        <v>4</v>
      </c>
      <c r="I10" s="110">
        <v>54</v>
      </c>
      <c r="J10" s="109">
        <v>200</v>
      </c>
      <c r="K10" s="109">
        <v>16</v>
      </c>
      <c r="L10" s="109">
        <v>216</v>
      </c>
      <c r="N10" s="74">
        <f>SUMIFS(PAGOS!$E$3:$E$1048576,PAGOS!$A$3:$A$1048576,"&lt;&gt;INGRESO*",PAGOS!$A$3:$A$1048576,"&lt;&gt;EGRESO*",PAGOS!$D$3:$D$1048576,+MID('05'!B10,6,3)*1)</f>
        <v>200</v>
      </c>
      <c r="O10" s="74">
        <f t="shared" si="0"/>
        <v>0</v>
      </c>
      <c r="P10" s="74">
        <f>SUMIFS(PAGOS!$H$3:$H$1048576,PAGOS!$A$3:$A$1048576,"&lt;&gt;INGRESO*",PAGOS!$A$3:$A$1048576,"&lt;&gt;EGRESO*",PAGOS!$D$3:$D$1048576,+MID('05'!B10,6,3)*1)</f>
        <v>16</v>
      </c>
      <c r="Q10" s="74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14">
        <v>1000</v>
      </c>
      <c r="F11" s="42">
        <v>10</v>
      </c>
      <c r="G11" s="109">
        <v>100</v>
      </c>
      <c r="H11" s="109">
        <v>20</v>
      </c>
      <c r="I11" s="110">
        <v>120</v>
      </c>
      <c r="J11" s="109">
        <v>1000</v>
      </c>
      <c r="K11" s="109">
        <v>200</v>
      </c>
      <c r="L11" s="109">
        <v>1200</v>
      </c>
      <c r="N11" s="74">
        <f>SUMIFS(PAGOS!$E$3:$E$1048576,PAGOS!$A$3:$A$1048576,"&lt;&gt;INGRESO*",PAGOS!$A$3:$A$1048576,"&lt;&gt;EGRESO*",PAGOS!$D$3:$D$1048576,+MID('05'!B11,6,3)*1)</f>
        <v>1000</v>
      </c>
      <c r="O11" s="74">
        <f t="shared" si="0"/>
        <v>0</v>
      </c>
      <c r="P11" s="74">
        <f>SUMIFS(PAGOS!$H$3:$H$1048576,PAGOS!$A$3:$A$1048576,"&lt;&gt;INGRESO*",PAGOS!$A$3:$A$1048576,"&lt;&gt;EGRESO*",PAGOS!$D$3:$D$1048576,+MID('05'!B11,6,3)*1)</f>
        <v>200</v>
      </c>
      <c r="Q11" s="74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14">
        <v>500</v>
      </c>
      <c r="F12" s="42">
        <v>5</v>
      </c>
      <c r="G12" s="11">
        <v>100</v>
      </c>
      <c r="H12" s="11">
        <v>10</v>
      </c>
      <c r="I12" s="146">
        <v>110</v>
      </c>
      <c r="J12" s="109">
        <v>500</v>
      </c>
      <c r="K12" s="109">
        <v>50</v>
      </c>
      <c r="L12" s="109">
        <v>550</v>
      </c>
      <c r="N12" s="74">
        <f>SUMIFS(PAGOS!$E$3:$E$1048576,PAGOS!$A$3:$A$1048576,"&lt;&gt;INGRESO*",PAGOS!$A$3:$A$1048576,"&lt;&gt;EGRESO*",PAGOS!$D$3:$D$1048576,+MID('05'!B12,6,3)*1)</f>
        <v>500</v>
      </c>
      <c r="O12" s="74">
        <f t="shared" si="0"/>
        <v>0</v>
      </c>
      <c r="P12" s="74">
        <f>SUMIFS(PAGOS!$H$3:$H$1048576,PAGOS!$A$3:$A$1048576,"&lt;&gt;INGRESO*",PAGOS!$A$3:$A$1048576,"&lt;&gt;EGRESO*",PAGOS!$D$3:$D$1048576,+MID('05'!B12,6,3)*1)</f>
        <v>30</v>
      </c>
      <c r="Q12" s="74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14">
        <v>1200</v>
      </c>
      <c r="F13" s="42">
        <v>12</v>
      </c>
      <c r="G13" s="11">
        <v>100</v>
      </c>
      <c r="H13" s="11">
        <v>24</v>
      </c>
      <c r="I13" s="146">
        <v>124</v>
      </c>
      <c r="J13" s="109">
        <v>1200</v>
      </c>
      <c r="K13" s="109">
        <v>288</v>
      </c>
      <c r="L13" s="109">
        <v>1488</v>
      </c>
      <c r="N13" s="74">
        <f>SUMIFS(PAGOS!$E$3:$E$1048576,PAGOS!$A$3:$A$1048576,"&lt;&gt;INGRESO*",PAGOS!$A$3:$A$1048576,"&lt;&gt;EGRESO*",PAGOS!$D$3:$D$1048576,+MID('05'!B13,6,3)*1)</f>
        <v>1200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SUMIFS(PAGOS!$H$3:$H$1048576,PAGOS!$A$3:$A$1048576,"&lt;&gt;INGRESO*",PAGOS!$A$3:$A$1048576,"&lt;&gt;EGRESO*",PAGOS!$D$3:$D$1048576,+MID('05'!B13,6,3)*1)</f>
        <v>192</v>
      </c>
      <c r="Q13" s="74">
        <f t="shared" ref="Q13" si="3">K13-P13</f>
        <v>96</v>
      </c>
    </row>
    <row r="14" spans="1:17" x14ac:dyDescent="0.3">
      <c r="A14" s="42">
        <v>8</v>
      </c>
      <c r="B14" s="42" t="s">
        <v>484</v>
      </c>
      <c r="C14" s="42" t="s">
        <v>14</v>
      </c>
      <c r="D14" s="38">
        <v>45910</v>
      </c>
      <c r="E14" s="114">
        <v>100</v>
      </c>
      <c r="F14" s="42">
        <v>2</v>
      </c>
      <c r="G14" s="11">
        <v>50</v>
      </c>
      <c r="H14" s="11">
        <v>2</v>
      </c>
      <c r="I14" s="146">
        <v>52</v>
      </c>
      <c r="J14" s="109">
        <v>100</v>
      </c>
      <c r="K14" s="109">
        <v>4</v>
      </c>
      <c r="L14" s="109">
        <v>104</v>
      </c>
      <c r="N14" s="74">
        <f>SUMIFS(PAGOS!$E$3:$E$1048576,PAGOS!$A$3:$A$1048576,"&lt;&gt;INGRESO*",PAGOS!$A$3:$A$1048576,"&lt;&gt;EGRESO*",PAGOS!$D$3:$D$1048576,+MID('05'!B14,6,3)*1)</f>
        <v>100</v>
      </c>
      <c r="O14" s="74">
        <f t="shared" ref="O14" si="4">E14-N14</f>
        <v>0</v>
      </c>
      <c r="P14" s="74">
        <f>SUMIFS(PAGOS!$H$3:$H$1048576,PAGOS!$A$3:$A$1048576,"&lt;&gt;INGRESO*",PAGOS!$A$3:$A$1048576,"&lt;&gt;EGRESO*",PAGOS!$D$3:$D$1048576,+MID('05'!B14,6,3)*1)</f>
        <v>4</v>
      </c>
      <c r="Q14" s="74">
        <f t="shared" ref="Q14" si="5">K14-P14</f>
        <v>0</v>
      </c>
    </row>
    <row r="15" spans="1:17" x14ac:dyDescent="0.3">
      <c r="A15" s="42">
        <v>9</v>
      </c>
      <c r="B15" s="42" t="s">
        <v>558</v>
      </c>
      <c r="C15" s="42" t="s">
        <v>14</v>
      </c>
      <c r="D15" s="38">
        <v>46037</v>
      </c>
      <c r="E15" s="114">
        <v>1200</v>
      </c>
      <c r="F15" s="42">
        <v>12</v>
      </c>
      <c r="G15" s="11">
        <v>100</v>
      </c>
      <c r="H15" s="11">
        <v>24</v>
      </c>
      <c r="I15" s="146">
        <v>124</v>
      </c>
      <c r="J15" s="11">
        <v>1200</v>
      </c>
      <c r="K15" s="11">
        <v>288</v>
      </c>
      <c r="L15" s="11">
        <v>1488</v>
      </c>
      <c r="N15" s="74">
        <f>SUMIFS(PAGOS!$E$3:$E$1048576,PAGOS!$A$3:$A$1048576,"&lt;&gt;INGRESO*",PAGOS!$A$3:$A$1048576,"&lt;&gt;EGRESO*",PAGOS!$D$3:$D$1048576,+MID('05'!B15,6,3)*1)</f>
        <v>200</v>
      </c>
      <c r="O15" s="74">
        <f t="shared" ref="O15" si="6">E15-N15</f>
        <v>1000</v>
      </c>
      <c r="P15" s="74">
        <f>SUMIFS(PAGOS!$H$3:$H$1048576,PAGOS!$A$3:$A$1048576,"&lt;&gt;INGRESO*",PAGOS!$A$3:$A$1048576,"&lt;&gt;EGRESO*",PAGOS!$D$3:$D$1048576,+MID('05'!B15,6,3)*1)</f>
        <v>48</v>
      </c>
      <c r="Q15" s="74">
        <f t="shared" ref="Q15" si="7">K15-P15</f>
        <v>240</v>
      </c>
    </row>
    <row r="16" spans="1:17" x14ac:dyDescent="0.3">
      <c r="I16" s="106"/>
    </row>
    <row r="17" spans="9:9" x14ac:dyDescent="0.3">
      <c r="I17" s="106"/>
    </row>
    <row r="21" spans="9:9" x14ac:dyDescent="0.3">
      <c r="I21" s="106"/>
    </row>
    <row r="22" spans="9:9" x14ac:dyDescent="0.3">
      <c r="I22" s="106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M20" sqref="M20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06" customWidth="1"/>
    <col min="6" max="6" width="9.33203125" bestFit="1" customWidth="1"/>
    <col min="7" max="7" width="9.88671875" style="106" bestFit="1" customWidth="1"/>
    <col min="8" max="8" width="8" style="106" bestFit="1" customWidth="1"/>
    <col min="9" max="9" width="9.88671875" style="107" bestFit="1" customWidth="1"/>
    <col min="10" max="10" width="13.6640625" style="106" bestFit="1" customWidth="1"/>
    <col min="11" max="11" width="11.33203125" style="106" bestFit="1" customWidth="1"/>
    <col min="12" max="12" width="11.6640625" style="106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3850</v>
      </c>
      <c r="H3" s="79" t="s">
        <v>176</v>
      </c>
      <c r="I3" s="97">
        <f>SUM($P$7:$P$1048576)</f>
        <v>164</v>
      </c>
      <c r="J3" s="79" t="s">
        <v>177</v>
      </c>
      <c r="K3" s="98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08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6">
        <v>204</v>
      </c>
      <c r="J7" s="11">
        <v>200</v>
      </c>
      <c r="K7" s="11">
        <v>4</v>
      </c>
      <c r="L7" s="11">
        <v>204</v>
      </c>
      <c r="N7" s="74">
        <f>SUMIFS(PAGOS!$E$3:$E$1048576,PAGOS!$A$3:$A$1048576,"&lt;&gt;INGRESO*",PAGOS!$A$3:$A$1048576,"&lt;&gt;EGRESO*",PAGOS!$D$3:$D$1048576,B7)</f>
        <v>200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4</v>
      </c>
      <c r="Q7" s="74">
        <f t="shared" ref="Q7:Q13" si="1">K7-P7</f>
        <v>0</v>
      </c>
    </row>
    <row r="8" spans="1:17" x14ac:dyDescent="0.3">
      <c r="A8" s="42">
        <v>2</v>
      </c>
      <c r="B8" s="108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6">
        <v>108</v>
      </c>
      <c r="J8" s="11">
        <v>400</v>
      </c>
      <c r="K8" s="11">
        <v>32</v>
      </c>
      <c r="L8" s="11">
        <v>432</v>
      </c>
      <c r="N8" s="74">
        <f>SUMIFS(PAGOS!$E$3:$E$1048576,PAGOS!$A$3:$A$1048576,"&lt;&gt;INGRESO*",PAGOS!$A$3:$A$1048576,"&lt;&gt;EGRESO*",PAGOS!$D$3:$D$1048576,B8)</f>
        <v>400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32</v>
      </c>
      <c r="Q8" s="74">
        <f t="shared" si="1"/>
        <v>0</v>
      </c>
    </row>
    <row r="9" spans="1:17" x14ac:dyDescent="0.3">
      <c r="A9" s="42">
        <v>3</v>
      </c>
      <c r="B9" s="108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6">
        <v>204</v>
      </c>
      <c r="J9" s="11">
        <v>200</v>
      </c>
      <c r="K9" s="11">
        <v>4</v>
      </c>
      <c r="L9" s="11">
        <v>204</v>
      </c>
      <c r="N9" s="74">
        <f>SUMIFS(PAGOS!$E$3:$E$1048576,PAGOS!$A$3:$A$1048576,"&lt;&gt;INGRESO*",PAGOS!$A$3:$A$1048576,"&lt;&gt;EGRESO*",PAGOS!$D$3:$D$1048576,B9)</f>
        <v>200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4</v>
      </c>
      <c r="Q9" s="74">
        <f t="shared" si="1"/>
        <v>0</v>
      </c>
    </row>
    <row r="10" spans="1:17" x14ac:dyDescent="0.3">
      <c r="A10" s="42">
        <v>4</v>
      </c>
      <c r="B10" s="108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6">
        <v>102</v>
      </c>
      <c r="J10" s="11">
        <v>100</v>
      </c>
      <c r="K10" s="11">
        <v>2</v>
      </c>
      <c r="L10" s="11">
        <v>102</v>
      </c>
      <c r="N10" s="74">
        <f>SUMIFS(PAGOS!$E$3:$E$1048576,PAGOS!$A$3:$A$1048576,"&lt;&gt;INGRESO*",PAGOS!$A$3:$A$1048576,"&lt;&gt;EGRESO*",PAGOS!$D$3:$D$1048576,B10)</f>
        <v>100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2</v>
      </c>
      <c r="Q10" s="74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6">
        <v>108</v>
      </c>
      <c r="J11" s="11">
        <v>400</v>
      </c>
      <c r="K11" s="11">
        <v>32</v>
      </c>
      <c r="L11" s="11">
        <v>432</v>
      </c>
      <c r="N11" s="74">
        <f>SUMIFS(PAGOS!$E$3:$E$1048576,PAGOS!$A$3:$A$1048576,"&lt;&gt;INGRESO*",PAGOS!$A$3:$A$1048576,"&lt;&gt;EGRESO*",PAGOS!$D$3:$D$1048576,+MID('07'!B11,6,3)*1)</f>
        <v>400</v>
      </c>
      <c r="O11" s="74">
        <f t="shared" si="0"/>
        <v>0</v>
      </c>
      <c r="P11" s="74">
        <f>SUMIFS(PAGOS!$H$3:$H$1048576,PAGOS!$A$3:$A$1048576,"&lt;&gt;INGRESO*",PAGOS!$A$3:$A$1048576,"&lt;&gt;EGRESO*",PAGOS!$D$3:$D$1048576,+MID('07'!B11,6,3)*1)</f>
        <v>32</v>
      </c>
      <c r="Q11" s="74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6">
        <v>67.5</v>
      </c>
      <c r="J12" s="11">
        <v>250</v>
      </c>
      <c r="K12" s="11">
        <v>20</v>
      </c>
      <c r="L12" s="11">
        <v>270</v>
      </c>
      <c r="N12" s="74">
        <f>SUMIFS(PAGOS!$E$3:$E$1048576,PAGOS!$A$3:$A$1048576,"&lt;&gt;INGRESO*",PAGOS!$A$3:$A$1048576,"&lt;&gt;EGRESO*",PAGOS!$D$3:$D$1048576,+MID('07'!B12,6,3)*1)</f>
        <v>250</v>
      </c>
      <c r="O12" s="74">
        <f t="shared" si="0"/>
        <v>0</v>
      </c>
      <c r="P12" s="74">
        <f>SUMIFS(PAGOS!$H$3:$H$1048576,PAGOS!$A$3:$A$1048576,"&lt;&gt;INGRESO*",PAGOS!$A$3:$A$1048576,"&lt;&gt;EGRESO*",PAGOS!$D$3:$D$1048576,+MID('07'!B12,6,3)*1)</f>
        <v>20</v>
      </c>
      <c r="Q12" s="74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6">
        <v>1224</v>
      </c>
      <c r="J13" s="11">
        <v>1200</v>
      </c>
      <c r="K13" s="11">
        <v>24</v>
      </c>
      <c r="L13" s="11">
        <v>1224</v>
      </c>
      <c r="N13" s="74">
        <f>SUMIFS(PAGOS!$E$3:$E$1048576,PAGOS!$A$3:$A$1048576,"&lt;&gt;INGRESO*",PAGOS!$A$3:$A$1048576,"&lt;&gt;EGRESO*",PAGOS!$D$3:$D$1048576,+MID('07'!B13,6,3)*1)</f>
        <v>1200</v>
      </c>
      <c r="O13" s="74">
        <f t="shared" si="0"/>
        <v>0</v>
      </c>
      <c r="P13" s="74">
        <f>SUMIFS(PAGOS!$H$3:$H$1048576,PAGOS!$A$3:$A$1048576,"&lt;&gt;INGRESO*",PAGOS!$A$3:$A$1048576,"&lt;&gt;EGRESO*",PAGOS!$D$3:$D$1048576,+MID('07'!B13,6,3)*1)</f>
        <v>24</v>
      </c>
      <c r="Q13" s="74">
        <f t="shared" si="1"/>
        <v>0</v>
      </c>
    </row>
    <row r="14" spans="1:17" x14ac:dyDescent="0.3">
      <c r="A14" s="42">
        <v>8</v>
      </c>
      <c r="B14" s="36" t="s">
        <v>436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6">
        <v>108</v>
      </c>
      <c r="J14" s="11">
        <v>400</v>
      </c>
      <c r="K14" s="11">
        <v>32</v>
      </c>
      <c r="L14" s="11">
        <v>432</v>
      </c>
      <c r="N14" s="74">
        <f>SUMIFS(PAGOS!$E$3:$E$1048576,PAGOS!$A$3:$A$1048576,"&lt;&gt;INGRESO*",PAGOS!$A$3:$A$1048576,"&lt;&gt;EGRESO*",PAGOS!$D$3:$D$1048576,+MID('07'!B14,6,3)*1)</f>
        <v>400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SUMIFS(PAGOS!$H$3:$H$1048576,PAGOS!$A$3:$A$1048576,"&lt;&gt;INGRESO*",PAGOS!$A$3:$A$1048576,"&lt;&gt;EGRESO*",PAGOS!$D$3:$D$1048576,+MID('07'!B14,6,3)*1)</f>
        <v>32</v>
      </c>
      <c r="Q14" s="74">
        <f t="shared" ref="Q14" si="3">K14-P14</f>
        <v>0</v>
      </c>
    </row>
    <row r="15" spans="1:17" x14ac:dyDescent="0.3">
      <c r="A15" s="42">
        <v>9</v>
      </c>
      <c r="B15" s="36" t="s">
        <v>477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6">
        <v>204</v>
      </c>
      <c r="J15" s="11">
        <v>200</v>
      </c>
      <c r="K15" s="11">
        <v>4</v>
      </c>
      <c r="L15" s="11">
        <v>204</v>
      </c>
      <c r="N15" s="74">
        <f>SUMIFS(PAGOS!$E$3:$E$1048576,PAGOS!$A$3:$A$1048576,"&lt;&gt;INGRESO*",PAGOS!$A$3:$A$1048576,"&lt;&gt;EGRESO*",PAGOS!$D$3:$D$1048576,+MID('07'!B15,6,3)*1)</f>
        <v>200</v>
      </c>
      <c r="O15" s="74">
        <f t="shared" ref="O15:O17" si="4">E15-N15</f>
        <v>0</v>
      </c>
      <c r="P15" s="74">
        <f>SUMIFS(PAGOS!$H$3:$H$1048576,PAGOS!$A$3:$A$1048576,"&lt;&gt;INGRESO*",PAGOS!$A$3:$A$1048576,"&lt;&gt;EGRESO*",PAGOS!$D$3:$D$1048576,+MID('07'!B15,6,3)*1)</f>
        <v>4</v>
      </c>
      <c r="Q15" s="74">
        <f t="shared" ref="Q15:Q17" si="5">K15-P15</f>
        <v>0</v>
      </c>
    </row>
    <row r="16" spans="1:17" x14ac:dyDescent="0.3">
      <c r="A16" s="42">
        <v>10</v>
      </c>
      <c r="B16" s="36" t="s">
        <v>479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6">
        <v>102</v>
      </c>
      <c r="J16" s="11">
        <v>100</v>
      </c>
      <c r="K16" s="11">
        <v>2</v>
      </c>
      <c r="L16" s="11">
        <v>102</v>
      </c>
      <c r="N16" s="74">
        <f>SUMIFS(PAGOS!$E$3:$E$1048576,PAGOS!$A$3:$A$1048576,"&lt;&gt;INGRESO*",PAGOS!$A$3:$A$1048576,"&lt;&gt;EGRESO*",PAGOS!$D$3:$D$1048576,+MID('07'!B16,6,3)*1)</f>
        <v>100</v>
      </c>
      <c r="O16" s="74">
        <f t="shared" si="4"/>
        <v>0</v>
      </c>
      <c r="P16" s="74">
        <f>SUMIFS(PAGOS!$H$3:$H$1048576,PAGOS!$A$3:$A$1048576,"&lt;&gt;INGRESO*",PAGOS!$A$3:$A$1048576,"&lt;&gt;EGRESO*",PAGOS!$D$3:$D$1048576,+MID('07'!B16,6,3)*1)</f>
        <v>2</v>
      </c>
      <c r="Q16" s="74">
        <f t="shared" si="5"/>
        <v>0</v>
      </c>
    </row>
    <row r="17" spans="1:17" x14ac:dyDescent="0.3">
      <c r="A17" s="42">
        <v>11</v>
      </c>
      <c r="B17" s="36" t="s">
        <v>498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6">
        <v>306</v>
      </c>
      <c r="J17" s="11">
        <v>300</v>
      </c>
      <c r="K17" s="11">
        <v>6</v>
      </c>
      <c r="L17" s="11">
        <v>306</v>
      </c>
      <c r="N17" s="74">
        <f>SUMIFS(PAGOS!$E$3:$E$1048576,PAGOS!$A$3:$A$1048576,"&lt;&gt;INGRESO*",PAGOS!$A$3:$A$1048576,"&lt;&gt;EGRESO*",PAGOS!$D$3:$D$1048576,+MID('07'!B17,6,3)*1)</f>
        <v>300</v>
      </c>
      <c r="O17" s="74">
        <f t="shared" si="4"/>
        <v>0</v>
      </c>
      <c r="P17" s="74">
        <f>SUMIFS(PAGOS!$H$3:$H$1048576,PAGOS!$A$3:$A$1048576,"&lt;&gt;INGRESO*",PAGOS!$A$3:$A$1048576,"&lt;&gt;EGRESO*",PAGOS!$D$3:$D$1048576,+MID('07'!B17,6,3)*1)</f>
        <v>6</v>
      </c>
      <c r="Q17" s="74">
        <f t="shared" si="5"/>
        <v>0</v>
      </c>
    </row>
    <row r="18" spans="1:17" x14ac:dyDescent="0.3">
      <c r="A18" s="42">
        <v>12</v>
      </c>
      <c r="B18" s="36" t="s">
        <v>564</v>
      </c>
      <c r="C18" s="42" t="s">
        <v>403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6">
        <v>102</v>
      </c>
      <c r="J18" s="11">
        <v>100</v>
      </c>
      <c r="K18" s="11">
        <v>2</v>
      </c>
      <c r="L18" s="11">
        <v>102</v>
      </c>
      <c r="N18" s="74">
        <f>SUMIFS(PAGOS!$E$3:$E$1048576,PAGOS!$A$3:$A$1048576,"&lt;&gt;INGRESO*",PAGOS!$A$3:$A$1048576,"&lt;&gt;EGRESO*",PAGOS!$D$3:$D$1048576,+MID('07'!B18,6,3)*1)</f>
        <v>100</v>
      </c>
      <c r="O18" s="74">
        <f t="shared" ref="O18" si="6">E18-N18</f>
        <v>0</v>
      </c>
      <c r="P18" s="74">
        <f>SUMIFS(PAGOS!$H$3:$H$1048576,PAGOS!$A$3:$A$1048576,"&lt;&gt;INGRESO*",PAGOS!$A$3:$A$1048576,"&lt;&gt;EGRESO*",PAGOS!$D$3:$D$1048576,+MID('07'!B18,6,3)*1)</f>
        <v>2</v>
      </c>
      <c r="Q18" s="74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06" bestFit="1" customWidth="1"/>
    <col min="8" max="8" width="7.88671875" style="106" bestFit="1" customWidth="1"/>
    <col min="9" max="9" width="9.109375" style="107" customWidth="1"/>
    <col min="10" max="10" width="8.44140625" style="106" bestFit="1" customWidth="1"/>
    <col min="11" max="12" width="11.33203125" style="106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2750</v>
      </c>
      <c r="H3" s="79" t="s">
        <v>176</v>
      </c>
      <c r="I3" s="97">
        <f>SUM($P$7:$P$1048576)</f>
        <v>176</v>
      </c>
      <c r="J3" s="79" t="s">
        <v>177</v>
      </c>
      <c r="K3" s="98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08">
        <v>17</v>
      </c>
      <c r="C7" s="42" t="s">
        <v>16</v>
      </c>
      <c r="D7" s="38">
        <v>45061</v>
      </c>
      <c r="E7" s="109">
        <v>200</v>
      </c>
      <c r="F7" s="42">
        <v>2</v>
      </c>
      <c r="G7" s="109">
        <v>100</v>
      </c>
      <c r="H7" s="109">
        <v>4</v>
      </c>
      <c r="I7" s="110">
        <v>104</v>
      </c>
      <c r="J7" s="109">
        <v>200</v>
      </c>
      <c r="K7" s="109">
        <v>8</v>
      </c>
      <c r="L7" s="109">
        <v>208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8</v>
      </c>
      <c r="Q7" s="74">
        <f>K7-P7</f>
        <v>0</v>
      </c>
    </row>
    <row r="8" spans="1:17" x14ac:dyDescent="0.3">
      <c r="A8" s="42">
        <v>2</v>
      </c>
      <c r="B8" s="108">
        <v>24</v>
      </c>
      <c r="C8" s="42" t="s">
        <v>16</v>
      </c>
      <c r="D8" s="38">
        <v>45153</v>
      </c>
      <c r="E8" s="109">
        <v>200</v>
      </c>
      <c r="F8" s="42">
        <v>1</v>
      </c>
      <c r="G8" s="109">
        <v>200</v>
      </c>
      <c r="H8" s="109">
        <v>4</v>
      </c>
      <c r="I8" s="110">
        <v>204</v>
      </c>
      <c r="J8" s="109">
        <v>200</v>
      </c>
      <c r="K8" s="109">
        <v>4</v>
      </c>
      <c r="L8" s="109">
        <v>204</v>
      </c>
      <c r="N8" s="74">
        <f>SUMIFS(PAGOS!$E$3:$E$1048576,PAGOS!$A$3:$A$1048576,"&lt;&gt;INGRESO*",PAGOS!$A$3:$A$1048576,"&lt;&gt;EGRESO*",PAGOS!$D$3:$D$1048576,B8)</f>
        <v>200</v>
      </c>
      <c r="O8" s="74">
        <f>E8-N8</f>
        <v>0</v>
      </c>
      <c r="P8" s="74">
        <f>SUMIFS(PAGOS!$H$3:$H$1048576,PAGOS!$A$3:$A$1048576,"&lt;&gt;INGRESO*",PAGOS!$A$3:$A$1048576,"&lt;&gt;EGRESO*",PAGOS!$D$3:$D$1048576,B8)</f>
        <v>4</v>
      </c>
      <c r="Q8" s="74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14">
        <v>300</v>
      </c>
      <c r="F9" s="42">
        <v>3</v>
      </c>
      <c r="G9" s="109">
        <v>100</v>
      </c>
      <c r="H9" s="109">
        <v>6</v>
      </c>
      <c r="I9" s="110">
        <v>106</v>
      </c>
      <c r="J9" s="109">
        <v>300</v>
      </c>
      <c r="K9" s="109">
        <v>18</v>
      </c>
      <c r="L9" s="114">
        <v>318</v>
      </c>
      <c r="N9" s="74">
        <f>SUMIFS(PAGOS!$E$3:$E$1048576,PAGOS!$A$3:$A$1048576,"&lt;&gt;INGRESO*",PAGOS!$A$3:$A$1048576,"&lt;&gt;EGRESO*",PAGOS!$D$3:$D$1048576,+MID('08'!B9,6,3)*1)</f>
        <v>300</v>
      </c>
      <c r="O9" s="74">
        <f>E9-N9</f>
        <v>0</v>
      </c>
      <c r="P9" s="74">
        <f>SUMIFS(PAGOS!$H$3:$H$1048576,PAGOS!$A$3:$A$1048576,"&lt;&gt;INGRESO*",PAGOS!$A$3:$A$1048576,"&lt;&gt;EGRESO*",PAGOS!$D$3:$D$1048576,+MID('08'!B9,6,3)*1)</f>
        <v>18</v>
      </c>
      <c r="Q9" s="74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14">
        <v>250</v>
      </c>
      <c r="F10" s="42">
        <v>4</v>
      </c>
      <c r="G10" s="109">
        <v>62.5</v>
      </c>
      <c r="H10" s="109">
        <v>5</v>
      </c>
      <c r="I10" s="110">
        <v>67.5</v>
      </c>
      <c r="J10" s="109">
        <v>250</v>
      </c>
      <c r="K10" s="109">
        <v>20</v>
      </c>
      <c r="L10" s="114">
        <v>270</v>
      </c>
      <c r="N10" s="74">
        <f>SUMIFS(PAGOS!$E$3:$E$1048576,PAGOS!$A$3:$A$1048576,"&lt;&gt;INGRESO*",PAGOS!$A$3:$A$1048576,"&lt;&gt;EGRESO*",PAGOS!$D$3:$D$1048576,+MID('08'!B10,6,3)*1)</f>
        <v>250</v>
      </c>
      <c r="O10" s="74">
        <f>E10-N10</f>
        <v>0</v>
      </c>
      <c r="P10" s="74">
        <f>SUMIFS(PAGOS!$H$3:$H$1048576,PAGOS!$A$3:$A$1048576,"&lt;&gt;INGRESO*",PAGOS!$A$3:$A$1048576,"&lt;&gt;EGRESO*",PAGOS!$D$3:$D$1048576,+MID('08'!B10,6,3)*1)</f>
        <v>20</v>
      </c>
      <c r="Q10" s="74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14">
        <v>300</v>
      </c>
      <c r="F11" s="42">
        <v>3</v>
      </c>
      <c r="G11" s="11">
        <v>100</v>
      </c>
      <c r="H11" s="11">
        <v>6</v>
      </c>
      <c r="I11" s="146">
        <v>106</v>
      </c>
      <c r="J11" s="11">
        <v>300</v>
      </c>
      <c r="K11" s="11">
        <v>18</v>
      </c>
      <c r="L11" s="11">
        <v>318</v>
      </c>
      <c r="N11" s="74">
        <f>SUMIFS(PAGOS!$E$3:$E$1048576,PAGOS!$A$3:$A$1048576,"&lt;&gt;INGRESO*",PAGOS!$A$3:$A$1048576,"&lt;&gt;EGRESO*",PAGOS!$D$3:$D$1048576,+MID('08'!B11,6,3)*1)</f>
        <v>300</v>
      </c>
      <c r="O11" s="74">
        <f>E11-N11</f>
        <v>0</v>
      </c>
      <c r="P11" s="74">
        <f>SUMIFS(PAGOS!$H$3:$H$1048576,PAGOS!$A$3:$A$1048576,"&lt;&gt;INGRESO*",PAGOS!$A$3:$A$1048576,"&lt;&gt;EGRESO*",PAGOS!$D$3:$D$1048576,+MID('08'!B11,6,3)*1)</f>
        <v>12</v>
      </c>
      <c r="Q11" s="74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14">
        <v>500</v>
      </c>
      <c r="F12" s="42">
        <v>5</v>
      </c>
      <c r="G12" s="11">
        <v>100</v>
      </c>
      <c r="H12" s="11">
        <v>10</v>
      </c>
      <c r="I12" s="146">
        <v>110</v>
      </c>
      <c r="J12" s="11">
        <v>500</v>
      </c>
      <c r="K12" s="11">
        <v>50</v>
      </c>
      <c r="L12" s="11">
        <v>550</v>
      </c>
      <c r="N12" s="74">
        <f>SUMIFS(PAGOS!$E$3:$E$1048576,PAGOS!$A$3:$A$1048576,"&lt;&gt;INGRESO*",PAGOS!$A$3:$A$1048576,"&lt;&gt;EGRESO*",PAGOS!$D$3:$D$1048576,+MID('08'!B12,6,3)*1)</f>
        <v>500</v>
      </c>
      <c r="O12" s="74">
        <f t="shared" ref="O12:O13" si="0">E12-N12</f>
        <v>0</v>
      </c>
      <c r="P12" s="74">
        <f>SUMIFS(PAGOS!$H$3:$H$1048576,PAGOS!$A$3:$A$1048576,"&lt;&gt;INGRESO*",PAGOS!$A$3:$A$1048576,"&lt;&gt;EGRESO*",PAGOS!$D$3:$D$1048576,+MID('08'!B12,6,3)*1)</f>
        <v>40</v>
      </c>
      <c r="Q12" s="74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14">
        <v>300</v>
      </c>
      <c r="F13" s="42">
        <v>2</v>
      </c>
      <c r="G13" s="11">
        <v>150</v>
      </c>
      <c r="H13" s="11">
        <v>6</v>
      </c>
      <c r="I13" s="146">
        <v>156</v>
      </c>
      <c r="J13" s="11">
        <v>300</v>
      </c>
      <c r="K13" s="11">
        <v>12</v>
      </c>
      <c r="L13" s="11">
        <v>312</v>
      </c>
      <c r="N13" s="74">
        <f>SUMIFS(PAGOS!$E$3:$E$1048576,PAGOS!$A$3:$A$1048576,"&lt;&gt;INGRESO*",PAGOS!$A$3:$A$1048576,"&lt;&gt;EGRESO*",PAGOS!$D$3:$D$1048576,+MID('08'!B13,6,3)*1)</f>
        <v>200</v>
      </c>
      <c r="O13" s="74">
        <f t="shared" si="0"/>
        <v>100</v>
      </c>
      <c r="P13" s="74">
        <f>SUMIFS(PAGOS!$H$3:$H$1048576,PAGOS!$A$3:$A$1048576,"&lt;&gt;INGRESO*",PAGOS!$A$3:$A$1048576,"&lt;&gt;EGRESO*",PAGOS!$D$3:$D$1048576,+MID('08'!B13,6,3)*1)</f>
        <v>4</v>
      </c>
      <c r="Q13" s="74">
        <f t="shared" si="1"/>
        <v>8</v>
      </c>
    </row>
    <row r="14" spans="1:17" x14ac:dyDescent="0.3">
      <c r="A14" s="42">
        <v>8</v>
      </c>
      <c r="B14" s="36" t="s">
        <v>494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46">
        <v>154</v>
      </c>
      <c r="J14" s="11">
        <v>700</v>
      </c>
      <c r="K14" s="11">
        <v>70</v>
      </c>
      <c r="L14" s="11">
        <v>770</v>
      </c>
      <c r="N14" s="74">
        <f>SUMIFS(PAGOS!$E$3:$E$1048576,PAGOS!$A$3:$A$1048576,"&lt;&gt;INGRESO*",PAGOS!$A$3:$A$1048576,"&lt;&gt;EGRESO*",PAGOS!$D$3:$D$1048576,+MID('08'!B14,6,3)*1)</f>
        <v>700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SUMIFS(PAGOS!$H$3:$H$1048576,PAGOS!$A$3:$A$1048576,"&lt;&gt;INGRESO*",PAGOS!$A$3:$A$1048576,"&lt;&gt;EGRESO*",PAGOS!$D$3:$D$1048576,+MID('08'!B14,6,3)*1)</f>
        <v>70</v>
      </c>
      <c r="Q14" s="74">
        <f t="shared" ref="Q14" si="3">K14-P14</f>
        <v>0</v>
      </c>
    </row>
    <row r="16" spans="1:17" x14ac:dyDescent="0.3">
      <c r="I16" s="106"/>
    </row>
    <row r="17" spans="9:9" x14ac:dyDescent="0.3">
      <c r="I17" s="106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77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D3" s="79" t="s">
        <v>174</v>
      </c>
      <c r="E3" s="99"/>
      <c r="F3" s="79" t="s">
        <v>175</v>
      </c>
      <c r="G3" s="97">
        <f>SUM(E7:E1048576)</f>
        <v>3360</v>
      </c>
      <c r="H3" s="79" t="s">
        <v>176</v>
      </c>
      <c r="I3" s="97">
        <f>SUM($P$7:$P$1048576)</f>
        <v>306.39999999999998</v>
      </c>
      <c r="J3" s="79" t="s">
        <v>177</v>
      </c>
      <c r="K3" s="98">
        <f>G3+I3</f>
        <v>3666.4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08">
        <v>1</v>
      </c>
      <c r="C7" s="42" t="s">
        <v>17</v>
      </c>
      <c r="D7" s="38">
        <v>44788</v>
      </c>
      <c r="E7" s="109">
        <v>60</v>
      </c>
      <c r="F7" s="42">
        <v>2</v>
      </c>
      <c r="G7" s="109">
        <v>30</v>
      </c>
      <c r="H7" s="109">
        <v>1.2</v>
      </c>
      <c r="I7" s="110">
        <v>31.2</v>
      </c>
      <c r="J7" s="109">
        <v>60</v>
      </c>
      <c r="K7" s="109">
        <v>2.4</v>
      </c>
      <c r="L7" s="109">
        <v>62.4</v>
      </c>
      <c r="N7" s="74">
        <f>SUMIFS(PAGOS!$E$3:$E$1048576,PAGOS!$A$3:$A$1048576,"&lt;&gt;INGRESO*",PAGOS!$A$3:$A$1048576,"&lt;&gt;EGRESO*",PAGOS!$D$3:$D$1048576,B7)</f>
        <v>60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2.4</v>
      </c>
      <c r="Q7" s="74">
        <f t="shared" ref="Q7:Q13" si="1">K7-P7</f>
        <v>0</v>
      </c>
    </row>
    <row r="8" spans="1:17" x14ac:dyDescent="0.3">
      <c r="A8" s="42">
        <v>2</v>
      </c>
      <c r="B8" s="108">
        <v>10</v>
      </c>
      <c r="C8" s="42" t="s">
        <v>17</v>
      </c>
      <c r="D8" s="38">
        <v>44941</v>
      </c>
      <c r="E8" s="109">
        <v>100</v>
      </c>
      <c r="F8" s="42">
        <v>4</v>
      </c>
      <c r="G8" s="109">
        <v>25</v>
      </c>
      <c r="H8" s="109">
        <v>2</v>
      </c>
      <c r="I8" s="110">
        <v>27</v>
      </c>
      <c r="J8" s="109">
        <v>100</v>
      </c>
      <c r="K8" s="109">
        <v>8</v>
      </c>
      <c r="L8" s="109">
        <v>108</v>
      </c>
      <c r="N8" s="74">
        <f>SUMIFS(PAGOS!$E$3:$E$1048576,PAGOS!$A$3:$A$1048576,"&lt;&gt;INGRESO*",PAGOS!$A$3:$A$1048576,"&lt;&gt;EGRESO*",PAGOS!$D$3:$D$1048576,B8)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8</v>
      </c>
      <c r="Q8" s="74">
        <f t="shared" si="1"/>
        <v>0</v>
      </c>
    </row>
    <row r="9" spans="1:17" x14ac:dyDescent="0.3">
      <c r="A9" s="42">
        <v>3</v>
      </c>
      <c r="B9" s="108">
        <v>18</v>
      </c>
      <c r="C9" s="42" t="s">
        <v>17</v>
      </c>
      <c r="D9" s="38">
        <v>45061</v>
      </c>
      <c r="E9" s="109">
        <v>100</v>
      </c>
      <c r="F9" s="42">
        <v>4</v>
      </c>
      <c r="G9" s="109">
        <v>25</v>
      </c>
      <c r="H9" s="109">
        <v>2</v>
      </c>
      <c r="I9" s="110">
        <v>27</v>
      </c>
      <c r="J9" s="109">
        <v>100</v>
      </c>
      <c r="K9" s="109">
        <v>8</v>
      </c>
      <c r="L9" s="109">
        <v>108</v>
      </c>
      <c r="N9" s="74">
        <f>SUMIFS(PAGOS!$E$3:$E$1048576,PAGOS!$A$3:$A$1048576,"&lt;&gt;INGRESO*",PAGOS!$A$3:$A$1048576,"&lt;&gt;EGRESO*",PAGOS!$D$3:$D$1048576,B9)</f>
        <v>100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8</v>
      </c>
      <c r="Q9" s="74">
        <f t="shared" si="1"/>
        <v>0</v>
      </c>
    </row>
    <row r="10" spans="1:17" x14ac:dyDescent="0.3">
      <c r="A10" s="42">
        <v>4</v>
      </c>
      <c r="B10" s="108">
        <v>28</v>
      </c>
      <c r="C10" s="42" t="s">
        <v>17</v>
      </c>
      <c r="D10" s="38">
        <v>45214</v>
      </c>
      <c r="E10" s="109">
        <v>600</v>
      </c>
      <c r="F10" s="42">
        <v>4</v>
      </c>
      <c r="G10" s="109">
        <v>150</v>
      </c>
      <c r="H10" s="109">
        <v>12</v>
      </c>
      <c r="I10" s="110">
        <v>162</v>
      </c>
      <c r="J10" s="109">
        <v>600</v>
      </c>
      <c r="K10" s="109">
        <v>48</v>
      </c>
      <c r="L10" s="109">
        <v>648</v>
      </c>
      <c r="N10" s="74">
        <f>SUMIFS(PAGOS!$E$3:$E$1048576,PAGOS!$A$3:$A$1048576,"&lt;&gt;INGRESO*",PAGOS!$A$3:$A$1048576,"&lt;&gt;EGRESO*",PAGOS!$D$3:$D$1048576,B10)</f>
        <v>600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48</v>
      </c>
      <c r="Q10" s="74">
        <f t="shared" si="1"/>
        <v>0</v>
      </c>
    </row>
    <row r="11" spans="1:17" x14ac:dyDescent="0.3">
      <c r="A11" s="42">
        <v>5</v>
      </c>
      <c r="B11" s="108">
        <v>35</v>
      </c>
      <c r="C11" s="42" t="s">
        <v>17</v>
      </c>
      <c r="D11" s="38">
        <v>45337</v>
      </c>
      <c r="E11" s="109">
        <v>600</v>
      </c>
      <c r="F11" s="42">
        <v>5</v>
      </c>
      <c r="G11" s="109">
        <v>120</v>
      </c>
      <c r="H11" s="109">
        <v>12</v>
      </c>
      <c r="I11" s="110">
        <v>132</v>
      </c>
      <c r="J11" s="109">
        <v>600</v>
      </c>
      <c r="K11" s="109">
        <v>60</v>
      </c>
      <c r="L11" s="109">
        <v>660</v>
      </c>
      <c r="N11" s="74">
        <f>SUMIFS(PAGOS!$E$3:$E$1048576,PAGOS!$A$3:$A$1048576,"&lt;&gt;INGRESO*",PAGOS!$A$3:$A$1048576,"&lt;&gt;EGRESO*",PAGOS!$D$3:$D$1048576,B11)</f>
        <v>600</v>
      </c>
      <c r="O11" s="74">
        <f t="shared" si="0"/>
        <v>0</v>
      </c>
      <c r="P11" s="74">
        <f>SUMIFS(PAGOS!$H$3:$H$1048576,PAGOS!$A$3:$A$1048576,"&lt;&gt;INGRESO*",PAGOS!$A$3:$A$1048576,"&lt;&gt;EGRESO*",PAGOS!$D$3:$D$1048576,B11)</f>
        <v>60</v>
      </c>
      <c r="Q11" s="74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14">
        <v>600</v>
      </c>
      <c r="F12" s="42">
        <v>6</v>
      </c>
      <c r="G12" s="109">
        <v>100</v>
      </c>
      <c r="H12" s="109">
        <v>12</v>
      </c>
      <c r="I12" s="110">
        <v>112</v>
      </c>
      <c r="J12" s="109">
        <v>600</v>
      </c>
      <c r="K12" s="109">
        <v>72</v>
      </c>
      <c r="L12" s="114">
        <v>672</v>
      </c>
      <c r="N12" s="74">
        <f>SUMIFS(PAGOS!$E$3:$E$1048576,PAGOS!$A$3:$A$1048576,"&lt;&gt;INGRESO*",PAGOS!$A$3:$A$1048576,"&lt;&gt;EGRESO*",PAGOS!$D$3:$D$1048576,+MID('09'!B12,6,3)*1)</f>
        <v>600</v>
      </c>
      <c r="O12" s="74">
        <f t="shared" si="0"/>
        <v>0</v>
      </c>
      <c r="P12" s="74">
        <f>SUMIFS(PAGOS!$H$3:$H$1048576,PAGOS!$A$3:$A$1048576,"&lt;&gt;INGRESO*",PAGOS!$A$3:$A$1048576,"&lt;&gt;EGRESO*",PAGOS!$D$3:$D$1048576,+MID('09'!B12,6,3)*1)</f>
        <v>48</v>
      </c>
      <c r="Q12" s="74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14">
        <v>700</v>
      </c>
      <c r="F13" s="42">
        <v>7</v>
      </c>
      <c r="G13" s="114">
        <v>100</v>
      </c>
      <c r="H13" s="114">
        <v>14</v>
      </c>
      <c r="I13" s="110">
        <v>114</v>
      </c>
      <c r="J13" s="109">
        <v>700</v>
      </c>
      <c r="K13" s="109">
        <v>98</v>
      </c>
      <c r="L13" s="109">
        <v>798</v>
      </c>
      <c r="N13" s="74">
        <f>SUMIFS(PAGOS!$E$3:$E$1048576,PAGOS!$A$3:$A$1048576,"&lt;&gt;INGRESO*",PAGOS!$A$3:$A$1048576,"&lt;&gt;EGRESO*",PAGOS!$D$3:$D$1048576,+MID('09'!B13,6,3)*1)</f>
        <v>700</v>
      </c>
      <c r="O13" s="74">
        <f t="shared" si="0"/>
        <v>0</v>
      </c>
      <c r="P13" s="74">
        <f>SUMIFS(PAGOS!$H$3:$H$1048576,PAGOS!$A$3:$A$1048576,"&lt;&gt;INGRESO*",PAGOS!$A$3:$A$1048576,"&lt;&gt;EGRESO*",PAGOS!$D$3:$D$1048576,+MID('09'!B13,6,3)*1)</f>
        <v>98</v>
      </c>
      <c r="Q13" s="74">
        <f t="shared" si="1"/>
        <v>0</v>
      </c>
    </row>
    <row r="14" spans="1:17" x14ac:dyDescent="0.3">
      <c r="A14" s="42">
        <v>8</v>
      </c>
      <c r="B14" s="36" t="s">
        <v>483</v>
      </c>
      <c r="C14" s="42" t="s">
        <v>17</v>
      </c>
      <c r="D14" s="38">
        <v>45900</v>
      </c>
      <c r="E14" s="114">
        <v>100</v>
      </c>
      <c r="F14" s="42">
        <v>2</v>
      </c>
      <c r="G14" s="114">
        <v>50</v>
      </c>
      <c r="H14" s="114">
        <v>2</v>
      </c>
      <c r="I14" s="110">
        <v>52</v>
      </c>
      <c r="J14" s="109">
        <v>100</v>
      </c>
      <c r="K14" s="109">
        <v>4</v>
      </c>
      <c r="L14" s="109">
        <v>104</v>
      </c>
      <c r="N14" s="74">
        <f>SUMIFS(PAGOS!$E$3:$E$1048576,PAGOS!$A$3:$A$1048576,"&lt;&gt;INGRESO*",PAGOS!$A$3:$A$1048576,"&lt;&gt;EGRESO*",PAGOS!$D$3:$D$1048576,+MID('09'!B14,6,3)*1)</f>
        <v>100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SUMIFS(PAGOS!$H$3:$H$1048576,PAGOS!$A$3:$A$1048576,"&lt;&gt;INGRESO*",PAGOS!$A$3:$A$1048576,"&lt;&gt;EGRESO*",PAGOS!$D$3:$D$1048576,+MID('09'!B14,6,3)*1)</f>
        <v>4</v>
      </c>
      <c r="Q14" s="74">
        <f t="shared" ref="Q14" si="3">K14-P14</f>
        <v>0</v>
      </c>
    </row>
    <row r="15" spans="1:17" x14ac:dyDescent="0.3">
      <c r="A15" s="42">
        <v>9</v>
      </c>
      <c r="B15" s="36" t="s">
        <v>541</v>
      </c>
      <c r="C15" s="42" t="s">
        <v>17</v>
      </c>
      <c r="D15" s="38">
        <v>46008</v>
      </c>
      <c r="E15" s="114">
        <v>500</v>
      </c>
      <c r="F15" s="42">
        <v>5</v>
      </c>
      <c r="G15" s="114">
        <v>100</v>
      </c>
      <c r="H15" s="114">
        <v>10</v>
      </c>
      <c r="I15" s="110">
        <v>110</v>
      </c>
      <c r="J15" s="109">
        <v>500</v>
      </c>
      <c r="K15" s="109">
        <v>50</v>
      </c>
      <c r="L15" s="109">
        <v>550</v>
      </c>
      <c r="N15" s="74">
        <f>SUMIFS(PAGOS!$E$3:$E$1048576,PAGOS!$A$3:$A$1048576,"&lt;&gt;INGRESO*",PAGOS!$A$3:$A$1048576,"&lt;&gt;EGRESO*",PAGOS!$D$3:$D$1048576,+MID('09'!B15,6,3)*1)</f>
        <v>300</v>
      </c>
      <c r="O15" s="74">
        <f t="shared" ref="O15" si="4">E15-N15</f>
        <v>200</v>
      </c>
      <c r="P15" s="74">
        <f>SUMIFS(PAGOS!$H$3:$H$1048576,PAGOS!$A$3:$A$1048576,"&lt;&gt;INGRESO*",PAGOS!$A$3:$A$1048576,"&lt;&gt;EGRESO*",PAGOS!$D$3:$D$1048576,+MID('09'!B15,6,3)*1)</f>
        <v>30</v>
      </c>
      <c r="Q15" s="74">
        <f t="shared" ref="Q15" si="5">K15-P15</f>
        <v>20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76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D3" s="79" t="s">
        <v>174</v>
      </c>
      <c r="E3" s="99"/>
      <c r="F3" s="79" t="s">
        <v>175</v>
      </c>
      <c r="G3" s="97">
        <f>SUM(E7:E1048576)</f>
        <v>950</v>
      </c>
      <c r="H3" s="79" t="s">
        <v>176</v>
      </c>
      <c r="I3" s="97">
        <f>SUM($P$7:$P$1048576)</f>
        <v>59</v>
      </c>
      <c r="J3" s="79" t="s">
        <v>177</v>
      </c>
      <c r="K3" s="98">
        <f>G3+I3</f>
        <v>1009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2">_xlfn.SEQUENCE(COUNTA(C7:C1048576))</f>
        <v>1</v>
      </c>
      <c r="B7" s="108">
        <v>12</v>
      </c>
      <c r="C7" s="42" t="s">
        <v>18</v>
      </c>
      <c r="D7" s="38">
        <v>44972</v>
      </c>
      <c r="E7" s="109">
        <v>100</v>
      </c>
      <c r="F7" s="42">
        <v>4</v>
      </c>
      <c r="G7" s="109">
        <v>25</v>
      </c>
      <c r="H7" s="109">
        <v>2</v>
      </c>
      <c r="I7" s="110">
        <v>27</v>
      </c>
      <c r="J7" s="109">
        <v>100</v>
      </c>
      <c r="K7" s="109">
        <v>8</v>
      </c>
      <c r="L7" s="109">
        <v>108</v>
      </c>
      <c r="N7" s="74">
        <f>SUMIFS(PAGOS!$E$3:$E$1048576,PAGOS!$A$3:$A$1048576,"&lt;&gt;INGRESO*",PAGOS!$A$3:$A$1048576,"&lt;&gt;EGRESO*",PAGOS!$D$3:$D$1048576,B7)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2" si="1"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14">
        <v>100</v>
      </c>
      <c r="F8" s="42">
        <v>5</v>
      </c>
      <c r="G8" s="109">
        <v>20</v>
      </c>
      <c r="H8" s="109">
        <v>2</v>
      </c>
      <c r="I8" s="110">
        <v>22</v>
      </c>
      <c r="J8" s="109">
        <v>100</v>
      </c>
      <c r="K8" s="109">
        <v>10</v>
      </c>
      <c r="L8" s="109">
        <v>110</v>
      </c>
      <c r="N8" s="74">
        <f>SUMIFS(PAGOS!$E$3:$E$1048576,PAGOS!$A$3:$A$1048576,"&lt;&gt;INGRESO*",PAGOS!$A$3:$A$1048576,"&lt;&gt;EGRESO*",PAGOS!$D$3:$D$1048576,+MID('10'!B8,6,3)*1)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SUMIFS(PAGOS!$H$3:$H$1048576,PAGOS!$A$3:$A$1048576,"&lt;&gt;INGRESO*",PAGOS!$A$3:$A$1048576,"&lt;&gt;EGRESO*",PAGOS!$D$3:$D$1048576,+MID('10'!B8,6,3)*1)</f>
        <v>10</v>
      </c>
      <c r="Q8" s="74">
        <f t="shared" si="1"/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14">
        <v>200</v>
      </c>
      <c r="F9" s="42">
        <v>5</v>
      </c>
      <c r="G9" s="109">
        <v>40</v>
      </c>
      <c r="H9" s="109">
        <v>4</v>
      </c>
      <c r="I9" s="110">
        <v>44</v>
      </c>
      <c r="J9" s="109">
        <v>200</v>
      </c>
      <c r="K9" s="109">
        <v>20</v>
      </c>
      <c r="L9" s="109">
        <v>220</v>
      </c>
      <c r="N9" s="74">
        <f>SUMIFS(PAGOS!$E$3:$E$1048576,PAGOS!$A$3:$A$1048576,"&lt;&gt;INGRESO*",PAGOS!$A$3:$A$1048576,"&lt;&gt;EGRESO*",PAGOS!$D$3:$D$1048576,+MID('10'!B9,6,3)*1)</f>
        <v>200</v>
      </c>
      <c r="O9" s="74">
        <f t="shared" si="0"/>
        <v>0</v>
      </c>
      <c r="P9" s="74">
        <f>SUMIFS(PAGOS!$H$3:$H$1048576,PAGOS!$A$3:$A$1048576,"&lt;&gt;INGRESO*",PAGOS!$A$3:$A$1048576,"&lt;&gt;EGRESO*",PAGOS!$D$3:$D$1048576,+MID('10'!B9,6,3)*1)</f>
        <v>12</v>
      </c>
      <c r="Q9" s="74">
        <f t="shared" si="1"/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14">
        <v>200</v>
      </c>
      <c r="F10" s="42">
        <v>5</v>
      </c>
      <c r="G10" s="109">
        <v>40</v>
      </c>
      <c r="H10" s="109">
        <v>4</v>
      </c>
      <c r="I10" s="110">
        <v>44</v>
      </c>
      <c r="J10" s="109">
        <v>200</v>
      </c>
      <c r="K10" s="109">
        <v>20</v>
      </c>
      <c r="L10" s="114">
        <v>220</v>
      </c>
      <c r="N10" s="74">
        <f>SUMIFS(PAGOS!$E$3:$E$1048576,PAGOS!$A$3:$A$1048576,"&lt;&gt;INGRESO*",PAGOS!$A$3:$A$1048576,"&lt;&gt;EGRESO*",PAGOS!$D$3:$D$1048576,+MID('10'!B10,6,3)*1)</f>
        <v>200</v>
      </c>
      <c r="O10" s="74">
        <f t="shared" si="0"/>
        <v>0</v>
      </c>
      <c r="P10" s="74">
        <f>SUMIFS(PAGOS!$H$3:$H$1048576,PAGOS!$A$3:$A$1048576,"&lt;&gt;INGRESO*",PAGOS!$A$3:$A$1048576,"&lt;&gt;EGRESO*",PAGOS!$D$3:$D$1048576,+MID('10'!B10,6,3)*1)</f>
        <v>20</v>
      </c>
      <c r="Q10" s="74">
        <f t="shared" si="1"/>
        <v>0</v>
      </c>
    </row>
    <row r="11" spans="1:17" x14ac:dyDescent="0.3">
      <c r="A11" s="42">
        <v>5</v>
      </c>
      <c r="B11" s="36" t="s">
        <v>508</v>
      </c>
      <c r="C11" s="42" t="s">
        <v>18</v>
      </c>
      <c r="D11" s="38">
        <v>45945</v>
      </c>
      <c r="E11" s="114">
        <v>150</v>
      </c>
      <c r="F11" s="42">
        <v>3</v>
      </c>
      <c r="G11" s="109">
        <v>50</v>
      </c>
      <c r="H11" s="109">
        <v>3</v>
      </c>
      <c r="I11" s="110">
        <v>53</v>
      </c>
      <c r="J11" s="109">
        <v>150</v>
      </c>
      <c r="K11" s="109">
        <v>9</v>
      </c>
      <c r="L11" s="109">
        <v>159</v>
      </c>
      <c r="N11" s="74">
        <f>SUMIFS(PAGOS!$E$3:$E$1048576,PAGOS!$A$3:$A$1048576,"&lt;&gt;INGRESO*",PAGOS!$A$3:$A$1048576,"&lt;&gt;EGRESO*",PAGOS!$D$3:$D$1048576,+MID('10'!B11,6,3)*1)</f>
        <v>150</v>
      </c>
      <c r="O11" s="74">
        <f t="shared" si="0"/>
        <v>0</v>
      </c>
      <c r="P11" s="74">
        <f>SUMIFS(PAGOS!$H$3:$H$1048576,PAGOS!$A$3:$A$1048576,"&lt;&gt;INGRESO*",PAGOS!$A$3:$A$1048576,"&lt;&gt;EGRESO*",PAGOS!$D$3:$D$1048576,+MID('10'!B11,6,3)*1)</f>
        <v>9</v>
      </c>
      <c r="Q11" s="74">
        <f t="shared" si="1"/>
        <v>0</v>
      </c>
    </row>
    <row r="12" spans="1:17" x14ac:dyDescent="0.3">
      <c r="A12" s="42">
        <v>6</v>
      </c>
      <c r="B12" s="36" t="s">
        <v>601</v>
      </c>
      <c r="C12" s="42" t="s">
        <v>18</v>
      </c>
      <c r="D12" s="38">
        <v>46086</v>
      </c>
      <c r="E12" s="114">
        <v>200</v>
      </c>
      <c r="F12" s="42">
        <v>1</v>
      </c>
      <c r="G12" s="114">
        <v>200</v>
      </c>
      <c r="H12" s="114">
        <v>4</v>
      </c>
      <c r="I12" s="301">
        <v>204</v>
      </c>
      <c r="J12" s="109">
        <v>200</v>
      </c>
      <c r="K12" s="109">
        <v>4</v>
      </c>
      <c r="L12" s="109">
        <v>204</v>
      </c>
      <c r="N12" s="74">
        <f>SUMIFS(PAGOS!$E$3:$E$1048576,PAGOS!$A$3:$A$1048576,"&lt;&gt;INGRESO*",PAGOS!$A$3:$A$1048576,"&lt;&gt;EGRESO*",PAGOS!$D$3:$D$1048576,+MID('10'!B12,6,3)*1)</f>
        <v>0</v>
      </c>
      <c r="O12" s="74">
        <f t="shared" si="0"/>
        <v>200</v>
      </c>
      <c r="P12" s="74">
        <f>SUMIFS(PAGOS!$H$3:$H$1048576,PAGOS!$A$3:$A$1048576,"&lt;&gt;INGRESO*",PAGOS!$A$3:$A$1048576,"&lt;&gt;EGRESO*",PAGOS!$D$3:$D$1048576,+MID('10'!B12,6,3)*1)</f>
        <v>0</v>
      </c>
      <c r="Q12" s="74">
        <f t="shared" si="1"/>
        <v>4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06" bestFit="1" customWidth="1"/>
    <col min="8" max="8" width="7.6640625" style="106" bestFit="1" customWidth="1"/>
    <col min="9" max="9" width="9.88671875" style="107" customWidth="1"/>
    <col min="10" max="10" width="13.5546875" style="106" bestFit="1" customWidth="1"/>
    <col min="11" max="12" width="11.6640625" style="106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>
        <v>45960</v>
      </c>
      <c r="F3" s="79" t="s">
        <v>175</v>
      </c>
      <c r="G3" s="97">
        <f>SUM(E7:E1048576)</f>
        <v>1600</v>
      </c>
      <c r="H3" s="79" t="s">
        <v>176</v>
      </c>
      <c r="I3" s="97">
        <f>SUM($P$7:$P$1048576)</f>
        <v>112</v>
      </c>
      <c r="J3" s="79" t="s">
        <v>177</v>
      </c>
      <c r="K3" s="98">
        <f>G3+I3</f>
        <v>1712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08">
        <v>5</v>
      </c>
      <c r="C7" s="42" t="s">
        <v>19</v>
      </c>
      <c r="D7" s="38">
        <v>44910</v>
      </c>
      <c r="E7" s="109">
        <v>200</v>
      </c>
      <c r="F7" s="42">
        <v>1</v>
      </c>
      <c r="G7" s="109">
        <v>200</v>
      </c>
      <c r="H7" s="109">
        <v>4</v>
      </c>
      <c r="I7" s="110">
        <v>204</v>
      </c>
      <c r="J7" s="109">
        <v>200</v>
      </c>
      <c r="K7" s="109">
        <v>4</v>
      </c>
      <c r="L7" s="109">
        <v>204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4</v>
      </c>
      <c r="Q7" s="74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14">
        <v>400</v>
      </c>
      <c r="F8" s="42">
        <v>4</v>
      </c>
      <c r="G8" s="109">
        <v>100</v>
      </c>
      <c r="H8" s="109">
        <v>8</v>
      </c>
      <c r="I8" s="110">
        <v>108</v>
      </c>
      <c r="J8" s="109">
        <v>400</v>
      </c>
      <c r="K8" s="109">
        <v>32</v>
      </c>
      <c r="L8" s="114">
        <v>432</v>
      </c>
      <c r="N8" s="74">
        <f>SUMIFS(PAGOS!$E$3:$E$1048576,PAGOS!$A$3:$A$1048576,"&lt;&gt;INGRESO*",PAGOS!$A$3:$A$1048576,"&lt;&gt;EGRESO*",PAGOS!$D$3:$D$1048576,+MID('11'!B8,6,3)*1)</f>
        <v>400</v>
      </c>
      <c r="O8" s="74">
        <f>E8-N8</f>
        <v>0</v>
      </c>
      <c r="P8" s="74">
        <f>SUMIFS(PAGOS!$H$3:$H$1048576,PAGOS!$A$3:$A$1048576,"&lt;&gt;INGRESO*",PAGOS!$A$3:$A$1048576,"&lt;&gt;EGRESO*",PAGOS!$D$3:$D$1048576,+MID('11'!B8,6,3)*1)</f>
        <v>24</v>
      </c>
      <c r="Q8" s="74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14">
        <v>500</v>
      </c>
      <c r="F9" s="42">
        <v>5</v>
      </c>
      <c r="G9" s="11">
        <v>100</v>
      </c>
      <c r="H9" s="11">
        <v>10</v>
      </c>
      <c r="I9" s="146">
        <v>110</v>
      </c>
      <c r="J9" s="11">
        <v>500</v>
      </c>
      <c r="K9" s="11">
        <v>50</v>
      </c>
      <c r="L9" s="11">
        <v>550</v>
      </c>
      <c r="N9" s="74">
        <f>SUMIFS(PAGOS!$E$3:$E$1048576,PAGOS!$A$3:$A$1048576,"&lt;&gt;INGRESO*",PAGOS!$A$3:$A$1048576,"&lt;&gt;EGRESO*",PAGOS!$D$3:$D$1048576,+MID('11'!B9,6,3)*1)</f>
        <v>500</v>
      </c>
      <c r="O9" s="74">
        <f>E9-N9</f>
        <v>0</v>
      </c>
      <c r="P9" s="74">
        <f>SUMIFS(PAGOS!$H$3:$H$1048576,PAGOS!$A$3:$A$1048576,"&lt;&gt;INGRESO*",PAGOS!$A$3:$A$1048576,"&lt;&gt;EGRESO*",PAGOS!$D$3:$D$1048576,+MID('11'!B9,6,3)*1)</f>
        <v>50</v>
      </c>
      <c r="Q9" s="74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14">
        <v>300</v>
      </c>
      <c r="F10" s="42">
        <v>3</v>
      </c>
      <c r="G10" s="11">
        <v>100</v>
      </c>
      <c r="H10" s="11">
        <v>6</v>
      </c>
      <c r="I10" s="146">
        <v>106</v>
      </c>
      <c r="J10" s="11">
        <v>300</v>
      </c>
      <c r="K10" s="11">
        <v>18</v>
      </c>
      <c r="L10" s="11">
        <v>318</v>
      </c>
      <c r="N10" s="74">
        <f>SUMIFS(PAGOS!$E$3:$E$1048576,PAGOS!$A$3:$A$1048576,"&lt;&gt;INGRESO*",PAGOS!$A$3:$A$1048576,"&lt;&gt;EGRESO*",PAGOS!$D$3:$D$1048576,+MID('11'!B10,6,3)*1)</f>
        <v>300</v>
      </c>
      <c r="O10" s="74">
        <f>E10-N10</f>
        <v>0</v>
      </c>
      <c r="P10" s="74">
        <f>SUMIFS(PAGOS!$H$3:$H$1048576,PAGOS!$A$3:$A$1048576,"&lt;&gt;INGRESO*",PAGOS!$A$3:$A$1048576,"&lt;&gt;EGRESO*",PAGOS!$D$3:$D$1048576,+MID('11'!B10,6,3)*1)</f>
        <v>18</v>
      </c>
      <c r="Q10" s="74">
        <f>K10-P10</f>
        <v>0</v>
      </c>
    </row>
    <row r="11" spans="1:17" x14ac:dyDescent="0.3">
      <c r="A11" s="42">
        <v>5</v>
      </c>
      <c r="B11" s="36" t="s">
        <v>525</v>
      </c>
      <c r="C11" s="42" t="s">
        <v>19</v>
      </c>
      <c r="D11" s="38">
        <v>45976</v>
      </c>
      <c r="E11" s="114">
        <v>200</v>
      </c>
      <c r="F11" s="42">
        <v>6</v>
      </c>
      <c r="G11" s="11">
        <v>33.333333333333336</v>
      </c>
      <c r="H11" s="11">
        <v>4</v>
      </c>
      <c r="I11" s="146">
        <v>37.333333333333336</v>
      </c>
      <c r="J11" s="11">
        <v>200</v>
      </c>
      <c r="K11" s="11">
        <v>24</v>
      </c>
      <c r="L11" s="11">
        <v>224</v>
      </c>
      <c r="N11" s="74">
        <f>SUMIFS(PAGOS!$E$3:$E$1048576,PAGOS!$A$3:$A$1048576,"&lt;&gt;INGRESO*",PAGOS!$A$3:$A$1048576,"&lt;&gt;EGRESO*",PAGOS!$D$3:$D$1048576,+MID('11'!B11,6,3)*1)</f>
        <v>133.32</v>
      </c>
      <c r="O11" s="74">
        <f>E11-N11</f>
        <v>66.680000000000007</v>
      </c>
      <c r="P11" s="74">
        <f>SUMIFS(PAGOS!$H$3:$H$1048576,PAGOS!$A$3:$A$1048576,"&lt;&gt;INGRESO*",PAGOS!$A$3:$A$1048576,"&lt;&gt;EGRESO*",PAGOS!$D$3:$D$1048576,+MID('11'!B11,6,3)*1)</f>
        <v>16</v>
      </c>
      <c r="Q11" s="74">
        <f>K11-P11</f>
        <v>8</v>
      </c>
    </row>
    <row r="14" spans="1:17" x14ac:dyDescent="0.3">
      <c r="I14" s="106"/>
    </row>
    <row r="15" spans="1:17" x14ac:dyDescent="0.3">
      <c r="I15" s="106"/>
    </row>
    <row r="16" spans="1:17" x14ac:dyDescent="0.3">
      <c r="I16" s="106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06" customWidth="1"/>
    <col min="6" max="6" width="9.33203125" bestFit="1" customWidth="1"/>
    <col min="7" max="7" width="11.88671875" style="106" bestFit="1" customWidth="1"/>
    <col min="8" max="8" width="7.6640625" style="106" bestFit="1" customWidth="1"/>
    <col min="9" max="9" width="8.44140625" style="107" bestFit="1" customWidth="1"/>
    <col min="10" max="10" width="13.5546875" style="106" bestFit="1" customWidth="1"/>
    <col min="11" max="12" width="11.6640625" style="106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5000</v>
      </c>
      <c r="H3" s="79" t="s">
        <v>176</v>
      </c>
      <c r="I3" s="97">
        <f>SUM($P$7:$P$1048576)</f>
        <v>498</v>
      </c>
      <c r="J3" s="79" t="s">
        <v>177</v>
      </c>
      <c r="K3" s="98">
        <f>G3+I3</f>
        <v>5498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08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6">
        <v>27</v>
      </c>
      <c r="J7" s="11">
        <v>100</v>
      </c>
      <c r="K7" s="11">
        <v>8</v>
      </c>
      <c r="L7" s="11">
        <v>108</v>
      </c>
      <c r="N7" s="74">
        <f>SUMIFS(PAGOS!$E$3:$E$1048576,PAGOS!$A$3:$A$1048576,"&lt;&gt;INGRESO*",PAGOS!$A$3:$A$1048576,"&lt;&gt;EGRESO*",PAGOS!$D$3:$D$1048576,B7)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2" si="1">K7-P7</f>
        <v>0</v>
      </c>
    </row>
    <row r="8" spans="1:17" x14ac:dyDescent="0.3">
      <c r="A8" s="42">
        <v>2</v>
      </c>
      <c r="B8" s="108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16</v>
      </c>
      <c r="Q8" s="74">
        <f t="shared" si="1"/>
        <v>0</v>
      </c>
    </row>
    <row r="9" spans="1:17" x14ac:dyDescent="0.3">
      <c r="A9" s="42">
        <v>3</v>
      </c>
      <c r="B9" s="108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6">
        <v>65.142857142857139</v>
      </c>
      <c r="J9" s="11">
        <v>400</v>
      </c>
      <c r="K9" s="11">
        <v>56</v>
      </c>
      <c r="L9" s="11">
        <v>456</v>
      </c>
      <c r="N9" s="74">
        <f>SUMIFS(PAGOS!$E$3:$E$1048576,PAGOS!$A$3:$A$1048576,"&lt;&gt;INGRESO*",PAGOS!$A$3:$A$1048576,"&lt;&gt;EGRESO*",PAGOS!$D$3:$D$1048576,B9)</f>
        <v>399.99999999999994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56</v>
      </c>
      <c r="Q9" s="74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6">
        <v>97.714285714285708</v>
      </c>
      <c r="J10" s="11">
        <v>600</v>
      </c>
      <c r="K10" s="11">
        <v>84</v>
      </c>
      <c r="L10" s="11">
        <v>684</v>
      </c>
      <c r="N10" s="74">
        <f>SUMIFS(PAGOS!$E$3:$E$1048576,PAGOS!$A$3:$A$1048576,"&lt;&gt;INGRESO*",PAGOS!$A$3:$A$1048576,"&lt;&gt;EGRESO*",PAGOS!$D$3:$D$1048576,+MID('12'!B10,6,3)*1)</f>
        <v>600</v>
      </c>
      <c r="O10" s="74">
        <f t="shared" si="0"/>
        <v>0</v>
      </c>
      <c r="P10" s="74">
        <f>SUMIFS(PAGOS!$H$3:$H$1048576,PAGOS!$A$3:$A$1048576,"&lt;&gt;INGRESO*",PAGOS!$A$3:$A$1048576,"&lt;&gt;EGRESO*",PAGOS!$D$3:$D$1048576,+MID('12'!B10,6,3)*1)</f>
        <v>72</v>
      </c>
      <c r="Q10" s="74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6">
        <v>120</v>
      </c>
      <c r="J11" s="11">
        <v>1000</v>
      </c>
      <c r="K11" s="11">
        <v>200</v>
      </c>
      <c r="L11" s="11">
        <v>1200</v>
      </c>
      <c r="N11" s="74">
        <f>SUMIFS(PAGOS!$E$3:$E$1048576,PAGOS!$A$3:$A$1048576,"&lt;&gt;INGRESO*",PAGOS!$A$3:$A$1048576,"&lt;&gt;EGRESO*",PAGOS!$D$3:$D$1048576,+MID('12'!B11,6,3)*1)</f>
        <v>1000</v>
      </c>
      <c r="O11" s="74">
        <f t="shared" si="0"/>
        <v>0</v>
      </c>
      <c r="P11" s="74">
        <f>SUMIFS(PAGOS!$H$3:$H$1048576,PAGOS!$A$3:$A$1048576,"&lt;&gt;INGRESO*",PAGOS!$A$3:$A$1048576,"&lt;&gt;EGRESO*",PAGOS!$D$3:$D$1048576,+MID('12'!B11,6,3)*1)</f>
        <v>180</v>
      </c>
      <c r="Q11" s="74">
        <f t="shared" si="1"/>
        <v>20</v>
      </c>
    </row>
    <row r="12" spans="1:17" x14ac:dyDescent="0.3">
      <c r="A12" s="42">
        <v>6</v>
      </c>
      <c r="B12" s="36" t="s">
        <v>437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6">
        <v>132</v>
      </c>
      <c r="J12" s="11">
        <v>1100</v>
      </c>
      <c r="K12" s="11">
        <v>220</v>
      </c>
      <c r="L12" s="11">
        <v>1320</v>
      </c>
      <c r="N12" s="74">
        <f>SUMIFS(PAGOS!$E$3:$E$1048576,PAGOS!$A$3:$A$1048576,"&lt;&gt;INGRESO*",PAGOS!$A$3:$A$1048576,"&lt;&gt;EGRESO*",PAGOS!$D$3:$D$1048576,+MID('12'!B12,6,3)*1)</f>
        <v>1100</v>
      </c>
      <c r="O12" s="74">
        <f t="shared" si="0"/>
        <v>0</v>
      </c>
      <c r="P12" s="74">
        <f>SUMIFS(PAGOS!$H$3:$H$1048576,PAGOS!$A$3:$A$1048576,"&lt;&gt;INGRESO*",PAGOS!$A$3:$A$1048576,"&lt;&gt;EGRESO*",PAGOS!$D$3:$D$1048576,+MID('12'!B12,6,3)*1)</f>
        <v>132</v>
      </c>
      <c r="Q12" s="74">
        <f t="shared" si="1"/>
        <v>88</v>
      </c>
    </row>
    <row r="13" spans="1:17" x14ac:dyDescent="0.3">
      <c r="A13" s="42">
        <v>7</v>
      </c>
      <c r="B13" s="36" t="s">
        <v>482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6">
        <v>52</v>
      </c>
      <c r="J13" s="11">
        <v>100</v>
      </c>
      <c r="K13" s="11">
        <v>4</v>
      </c>
      <c r="L13" s="11">
        <v>104</v>
      </c>
      <c r="N13" s="74">
        <f>SUMIFS(PAGOS!$E$3:$E$1048576,PAGOS!$A$3:$A$1048576,"&lt;&gt;INGRESO*",PAGOS!$A$3:$A$1048576,"&lt;&gt;EGRESO*",PAGOS!$D$3:$D$1048576,+MID('12'!B13,6,3)*1)</f>
        <v>100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SUMIFS(PAGOS!$H$3:$H$1048576,PAGOS!$A$3:$A$1048576,"&lt;&gt;INGRESO*",PAGOS!$A$3:$A$1048576,"&lt;&gt;EGRESO*",PAGOS!$D$3:$D$1048576,+MID('12'!B13,6,3)*1)</f>
        <v>4</v>
      </c>
      <c r="Q13" s="74">
        <f t="shared" ref="Q13" si="3">K13-P13</f>
        <v>0</v>
      </c>
    </row>
    <row r="14" spans="1:17" x14ac:dyDescent="0.3">
      <c r="A14" s="42">
        <v>8</v>
      </c>
      <c r="B14" s="36" t="s">
        <v>587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6">
        <v>155</v>
      </c>
      <c r="J14" s="11">
        <v>1500</v>
      </c>
      <c r="K14" s="11">
        <v>360</v>
      </c>
      <c r="L14" s="11">
        <v>1860</v>
      </c>
      <c r="N14" s="74">
        <f>SUMIFS(PAGOS!$E$3:$E$1048576,PAGOS!$A$3:$A$1048576,"&lt;&gt;INGRESO*",PAGOS!$A$3:$A$1048576,"&lt;&gt;EGRESO*",PAGOS!$D$3:$D$1048576,+MID('12'!B14,6,3)*1)</f>
        <v>125</v>
      </c>
      <c r="O14" s="74">
        <f t="shared" ref="O14" si="4">E14-N14</f>
        <v>1375</v>
      </c>
      <c r="P14" s="74">
        <f>SUMIFS(PAGOS!$H$3:$H$1048576,PAGOS!$A$3:$A$1048576,"&lt;&gt;INGRESO*",PAGOS!$A$3:$A$1048576,"&lt;&gt;EGRESO*",PAGOS!$D$3:$D$1048576,+MID('12'!B14,6,3)*1)</f>
        <v>30</v>
      </c>
      <c r="Q14" s="74">
        <f t="shared" ref="Q14" si="5">K14-P14</f>
        <v>330</v>
      </c>
    </row>
    <row r="15" spans="1:17" x14ac:dyDescent="0.3">
      <c r="I15" s="106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76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D3" s="79" t="s">
        <v>174</v>
      </c>
      <c r="E3" s="99"/>
      <c r="F3" s="79" t="s">
        <v>175</v>
      </c>
      <c r="G3" s="97">
        <f>SUM(E7:E1048576)</f>
        <v>5620</v>
      </c>
      <c r="H3" s="79" t="s">
        <v>176</v>
      </c>
      <c r="I3" s="97">
        <f>SUM($P$7:$P$1048576)</f>
        <v>407</v>
      </c>
      <c r="J3" s="79" t="s">
        <v>177</v>
      </c>
      <c r="K3" s="98">
        <f>G3+I3</f>
        <v>6027</v>
      </c>
    </row>
    <row r="4" spans="1:17" x14ac:dyDescent="0.3">
      <c r="I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161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08">
        <v>8</v>
      </c>
      <c r="C7" s="42" t="s">
        <v>21</v>
      </c>
      <c r="D7" s="38">
        <v>44910</v>
      </c>
      <c r="E7" s="109">
        <v>170</v>
      </c>
      <c r="F7" s="42">
        <v>5</v>
      </c>
      <c r="G7" s="109">
        <v>34</v>
      </c>
      <c r="H7" s="109">
        <v>3.4</v>
      </c>
      <c r="I7" s="110">
        <v>37.4</v>
      </c>
      <c r="J7" s="109">
        <v>170</v>
      </c>
      <c r="K7" s="109">
        <v>17</v>
      </c>
      <c r="L7" s="109">
        <v>187</v>
      </c>
      <c r="N7" s="74">
        <f>SUMIFS(PAGOS!$E$3:$E$1048576,PAGOS!$A$3:$A$1048576,"&lt;&gt;INGRESO*",PAGOS!$A$3:$A$1048576,"&lt;&gt;EGRESO*",PAGOS!$D$3:$D$1048576,B7)</f>
        <v>170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17</v>
      </c>
      <c r="Q7" s="74">
        <f t="shared" ref="Q7:Q13" si="1">K7-P7</f>
        <v>0</v>
      </c>
    </row>
    <row r="8" spans="1:17" x14ac:dyDescent="0.3">
      <c r="A8" s="42">
        <v>2</v>
      </c>
      <c r="B8" s="108">
        <v>19</v>
      </c>
      <c r="C8" s="42" t="s">
        <v>21</v>
      </c>
      <c r="D8" s="38">
        <v>45092</v>
      </c>
      <c r="E8" s="109">
        <v>400</v>
      </c>
      <c r="F8" s="42">
        <v>4</v>
      </c>
      <c r="G8" s="109">
        <v>100</v>
      </c>
      <c r="H8" s="109">
        <v>8</v>
      </c>
      <c r="I8" s="110">
        <v>108</v>
      </c>
      <c r="J8" s="109">
        <v>400</v>
      </c>
      <c r="K8" s="109">
        <v>32</v>
      </c>
      <c r="L8" s="109">
        <v>432</v>
      </c>
      <c r="N8" s="74">
        <f>SUMIFS(PAGOS!$E$3:$E$1048576,PAGOS!$A$3:$A$1048576,"&lt;&gt;INGRESO*",PAGOS!$A$3:$A$1048576,"&lt;&gt;EGRESO*",PAGOS!$D$3:$D$1048576,B8)</f>
        <v>400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32</v>
      </c>
      <c r="Q8" s="74">
        <f t="shared" si="1"/>
        <v>0</v>
      </c>
    </row>
    <row r="9" spans="1:17" x14ac:dyDescent="0.3">
      <c r="A9" s="42">
        <v>3</v>
      </c>
      <c r="B9" s="108">
        <v>32</v>
      </c>
      <c r="C9" s="42" t="s">
        <v>21</v>
      </c>
      <c r="D9" s="38">
        <v>45245</v>
      </c>
      <c r="E9" s="109">
        <v>250</v>
      </c>
      <c r="F9" s="42">
        <v>4</v>
      </c>
      <c r="G9" s="109">
        <v>62.5</v>
      </c>
      <c r="H9" s="109">
        <v>5</v>
      </c>
      <c r="I9" s="110">
        <v>67.5</v>
      </c>
      <c r="J9" s="109">
        <v>250</v>
      </c>
      <c r="K9" s="109">
        <v>20</v>
      </c>
      <c r="L9" s="109">
        <v>270</v>
      </c>
      <c r="N9" s="74">
        <f>SUMIFS(PAGOS!$E$3:$E$1048576,PAGOS!$A$3:$A$1048576,"&lt;&gt;INGRESO*",PAGOS!$A$3:$A$1048576,"&lt;&gt;EGRESO*",PAGOS!$D$3:$D$1048576,B9)</f>
        <v>250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10</v>
      </c>
      <c r="Q9" s="74">
        <f t="shared" si="1"/>
        <v>10</v>
      </c>
    </row>
    <row r="10" spans="1:17" x14ac:dyDescent="0.3">
      <c r="A10" s="42">
        <v>4</v>
      </c>
      <c r="B10" s="108">
        <v>33</v>
      </c>
      <c r="C10" s="42" t="s">
        <v>21</v>
      </c>
      <c r="D10" s="38">
        <v>45306</v>
      </c>
      <c r="E10" s="109">
        <v>500</v>
      </c>
      <c r="F10" s="42">
        <v>2</v>
      </c>
      <c r="G10" s="109">
        <v>250</v>
      </c>
      <c r="H10" s="109">
        <v>10</v>
      </c>
      <c r="I10" s="110">
        <v>260</v>
      </c>
      <c r="J10" s="109">
        <v>500</v>
      </c>
      <c r="K10" s="109">
        <v>20</v>
      </c>
      <c r="L10" s="109">
        <v>520</v>
      </c>
      <c r="N10" s="74">
        <f>SUMIFS(PAGOS!$E$3:$E$1048576,PAGOS!$A$3:$A$1048576,"&lt;&gt;INGRESO*",PAGOS!$A$3:$A$1048576,"&lt;&gt;EGRESO*",PAGOS!$D$3:$D$1048576,B10)</f>
        <v>500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20</v>
      </c>
      <c r="Q10" s="74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14">
        <v>400</v>
      </c>
      <c r="F11" s="42">
        <v>4</v>
      </c>
      <c r="G11" s="109">
        <v>100</v>
      </c>
      <c r="H11" s="109">
        <v>8</v>
      </c>
      <c r="I11" s="110">
        <v>108</v>
      </c>
      <c r="J11" s="109">
        <v>400</v>
      </c>
      <c r="K11" s="109">
        <v>32</v>
      </c>
      <c r="L11" s="114">
        <v>432</v>
      </c>
      <c r="N11" s="74">
        <f>SUMIFS(PAGOS!$E$3:$E$1048576,PAGOS!$A$3:$A$1048576,"&lt;&gt;INGRESO*",PAGOS!$A$3:$A$1048576,"&lt;&gt;EGRESO*",PAGOS!$D$3:$D$1048576,+MID('14'!B11,6,3)*1)</f>
        <v>400</v>
      </c>
      <c r="O11" s="74">
        <f t="shared" si="0"/>
        <v>0</v>
      </c>
      <c r="P11" s="74">
        <f>SUMIFS(PAGOS!$H$3:$H$1048576,PAGOS!$A$3:$A$1048576,"&lt;&gt;INGRESO*",PAGOS!$A$3:$A$1048576,"&lt;&gt;EGRESO*",PAGOS!$D$3:$D$1048576,+MID('14'!B11,6,3)*1)</f>
        <v>24</v>
      </c>
      <c r="Q11" s="74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14">
        <v>700</v>
      </c>
      <c r="F12" s="42">
        <v>5</v>
      </c>
      <c r="G12" s="109">
        <v>140</v>
      </c>
      <c r="H12" s="109">
        <v>14</v>
      </c>
      <c r="I12" s="110">
        <v>154</v>
      </c>
      <c r="J12" s="109">
        <v>700</v>
      </c>
      <c r="K12" s="109">
        <v>70</v>
      </c>
      <c r="L12" s="114">
        <v>770</v>
      </c>
      <c r="N12" s="74">
        <f>SUMIFS(PAGOS!$E$3:$E$1048576,PAGOS!$A$3:$A$1048576,"&lt;&gt;INGRESO*",PAGOS!$A$3:$A$1048576,"&lt;&gt;EGRESO*",PAGOS!$D$3:$D$1048576,+MID('14'!B12,6,3)*1)</f>
        <v>700</v>
      </c>
      <c r="O12" s="74">
        <f t="shared" si="0"/>
        <v>0</v>
      </c>
      <c r="P12" s="74">
        <f>SUMIFS(PAGOS!$H$3:$H$1048576,PAGOS!$A$3:$A$1048576,"&lt;&gt;INGRESO*",PAGOS!$A$3:$A$1048576,"&lt;&gt;EGRESO*",PAGOS!$D$3:$D$1048576,+MID('14'!B12,6,3)*1)</f>
        <v>56</v>
      </c>
      <c r="Q12" s="74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14">
        <v>500</v>
      </c>
      <c r="F13" s="42">
        <v>4</v>
      </c>
      <c r="G13" s="109">
        <v>125</v>
      </c>
      <c r="H13" s="109">
        <v>10</v>
      </c>
      <c r="I13" s="110">
        <v>135</v>
      </c>
      <c r="J13" s="109">
        <v>500</v>
      </c>
      <c r="K13" s="109">
        <v>40</v>
      </c>
      <c r="L13" s="114">
        <v>540</v>
      </c>
      <c r="N13" s="74">
        <f>SUMIFS(PAGOS!$E$3:$E$1048576,PAGOS!$A$3:$A$1048576,"&lt;&gt;INGRESO*",PAGOS!$A$3:$A$1048576,"&lt;&gt;EGRESO*",PAGOS!$D$3:$D$1048576,+MID('14'!B13,6,3)*1)</f>
        <v>500</v>
      </c>
      <c r="O13" s="74">
        <f t="shared" si="0"/>
        <v>0</v>
      </c>
      <c r="P13" s="74">
        <f>SUMIFS(PAGOS!$H$3:$H$1048576,PAGOS!$A$3:$A$1048576,"&lt;&gt;INGRESO*",PAGOS!$A$3:$A$1048576,"&lt;&gt;EGRESO*",PAGOS!$D$3:$D$1048576,+MID('14'!B13,6,3)*1)</f>
        <v>30</v>
      </c>
      <c r="Q13" s="74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14">
        <v>700</v>
      </c>
      <c r="F14" s="42">
        <v>7</v>
      </c>
      <c r="G14" s="109">
        <v>100</v>
      </c>
      <c r="H14" s="109">
        <v>14</v>
      </c>
      <c r="I14" s="110">
        <v>114</v>
      </c>
      <c r="J14" s="109">
        <v>700</v>
      </c>
      <c r="K14" s="109">
        <v>98</v>
      </c>
      <c r="L14" s="109">
        <v>798</v>
      </c>
      <c r="N14" s="74">
        <f>SUMIFS(PAGOS!$E$3:$E$1048576,PAGOS!$A$3:$A$1048576,"&lt;&gt;INGRESO*",PAGOS!$A$3:$A$1048576,"&lt;&gt;EGRESO*",PAGOS!$D$3:$D$1048576,+MID('14'!B14,6,3)*1)</f>
        <v>700</v>
      </c>
      <c r="O14" s="74">
        <f>E14-N14</f>
        <v>0</v>
      </c>
      <c r="P14" s="74">
        <f>SUMIFS(PAGOS!$H$3:$H$1048576,PAGOS!$A$3:$A$1048576,"&lt;&gt;INGRESO*",PAGOS!$A$3:$A$1048576,"&lt;&gt;EGRESO*",PAGOS!$D$3:$D$1048576,+MID('14'!B14,6,3)*1)</f>
        <v>98</v>
      </c>
      <c r="Q14" s="74">
        <f>K14-P14</f>
        <v>0</v>
      </c>
    </row>
    <row r="15" spans="1:17" x14ac:dyDescent="0.3">
      <c r="A15" s="42">
        <v>9</v>
      </c>
      <c r="B15" s="36" t="s">
        <v>542</v>
      </c>
      <c r="C15" s="42" t="s">
        <v>21</v>
      </c>
      <c r="D15" s="38">
        <v>46008</v>
      </c>
      <c r="E15" s="114">
        <v>2000</v>
      </c>
      <c r="F15" s="42">
        <v>18</v>
      </c>
      <c r="G15" s="109">
        <v>111.11111111111111</v>
      </c>
      <c r="H15" s="109">
        <v>40</v>
      </c>
      <c r="I15" s="110">
        <v>151.11111111111111</v>
      </c>
      <c r="J15" s="109">
        <v>2000</v>
      </c>
      <c r="K15" s="109">
        <v>720</v>
      </c>
      <c r="L15" s="109">
        <v>2720</v>
      </c>
      <c r="N15" s="74">
        <f>SUMIFS(PAGOS!$E$3:$E$1048576,PAGOS!$A$3:$A$1048576,"&lt;&gt;INGRESO*",PAGOS!$A$3:$A$1048576,"&lt;&gt;EGRESO*",PAGOS!$D$3:$D$1048576,+MID('14'!B15,6,3)*1)</f>
        <v>333.33</v>
      </c>
      <c r="O15" s="74">
        <f>E15-N15</f>
        <v>1666.67</v>
      </c>
      <c r="P15" s="74">
        <f>SUMIFS(PAGOS!$H$3:$H$1048576,PAGOS!$A$3:$A$1048576,"&lt;&gt;INGRESO*",PAGOS!$A$3:$A$1048576,"&lt;&gt;EGRESO*",PAGOS!$D$3:$D$1048576,+MID('14'!B15,6,3)*1)</f>
        <v>120</v>
      </c>
      <c r="Q15" s="74">
        <f>K15-P15</f>
        <v>600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06" customWidth="1"/>
    <col min="6" max="6" width="9.33203125" bestFit="1" customWidth="1"/>
    <col min="7" max="7" width="12" style="106" bestFit="1" customWidth="1"/>
    <col min="8" max="8" width="7.88671875" style="106" bestFit="1" customWidth="1"/>
    <col min="9" max="9" width="8.6640625" style="107" customWidth="1"/>
    <col min="10" max="10" width="13.6640625" style="106" bestFit="1" customWidth="1"/>
    <col min="11" max="12" width="11.109375" style="106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1800</v>
      </c>
      <c r="H3" s="79" t="s">
        <v>176</v>
      </c>
      <c r="I3" s="97">
        <f>SUM($P$7:$P$1048576)</f>
        <v>274</v>
      </c>
      <c r="J3" s="79" t="s">
        <v>177</v>
      </c>
      <c r="K3" s="98">
        <f>G3+I3</f>
        <v>2074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08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6">
        <v>70.666666666666671</v>
      </c>
      <c r="J7" s="11">
        <v>200</v>
      </c>
      <c r="K7" s="11">
        <v>12</v>
      </c>
      <c r="L7" s="11">
        <v>212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12</v>
      </c>
      <c r="Q7" s="74">
        <f>K7-P7</f>
        <v>0</v>
      </c>
    </row>
    <row r="8" spans="1:17" x14ac:dyDescent="0.3">
      <c r="A8" s="42">
        <v>2</v>
      </c>
      <c r="B8" s="108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>E8-N8</f>
        <v>0</v>
      </c>
      <c r="P8" s="74">
        <f>SUMIFS(PAGOS!$H$3:$H$1048576,PAGOS!$A$3:$A$1048576,"&lt;&gt;INGRESO*",PAGOS!$A$3:$A$1048576,"&lt;&gt;EGRESO*",PAGOS!$D$3:$D$1048576,B8)</f>
        <v>16</v>
      </c>
      <c r="Q8" s="74">
        <f>K8-P8</f>
        <v>0</v>
      </c>
    </row>
    <row r="9" spans="1:17" x14ac:dyDescent="0.3">
      <c r="A9" s="42">
        <v>3</v>
      </c>
      <c r="B9" s="108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6">
        <v>22</v>
      </c>
      <c r="J9" s="11">
        <v>100</v>
      </c>
      <c r="K9" s="11">
        <v>10</v>
      </c>
      <c r="L9" s="11">
        <v>110</v>
      </c>
      <c r="N9" s="74">
        <f>SUMIFS(PAGOS!$E$3:$E$1048576,PAGOS!$A$3:$A$1048576,"&lt;&gt;INGRESO*",PAGOS!$A$3:$A$1048576,"&lt;&gt;EGRESO*",PAGOS!$D$3:$D$1048576,B9)</f>
        <v>100</v>
      </c>
      <c r="O9" s="74">
        <f>E9-N9</f>
        <v>0</v>
      </c>
      <c r="P9" s="74">
        <f>SUMIFS(PAGOS!$H$3:$H$1048576,PAGOS!$A$3:$A$1048576,"&lt;&gt;INGRESO*",PAGOS!$A$3:$A$1048576,"&lt;&gt;EGRESO*",PAGOS!$D$3:$D$1048576,B9)</f>
        <v>4</v>
      </c>
      <c r="Q9" s="74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6">
        <v>62</v>
      </c>
      <c r="J10" s="11">
        <v>600</v>
      </c>
      <c r="K10" s="11">
        <v>144</v>
      </c>
      <c r="L10" s="11">
        <v>744</v>
      </c>
      <c r="N10" s="74">
        <f>SUMIFS(PAGOS!$E$3:$E$1048576,PAGOS!$A$3:$A$1048576,"&lt;&gt;INGRESO*",PAGOS!$A$3:$A$1048576,"&lt;&gt;EGRESO*",PAGOS!$D$3:$D$1048576,+MID('15'!B10,6,3)*1)</f>
        <v>600</v>
      </c>
      <c r="O10" s="74">
        <f>E10-N10</f>
        <v>0</v>
      </c>
      <c r="P10" s="74">
        <f>SUMIFS(PAGOS!$H$3:$H$1048576,PAGOS!$A$3:$A$1048576,"&lt;&gt;INGRESO*",PAGOS!$A$3:$A$1048576,"&lt;&gt;EGRESO*",PAGOS!$D$3:$D$1048576,+MID('15'!B10,6,3)*1)</f>
        <v>144</v>
      </c>
      <c r="Q10" s="74">
        <f>K10-P10</f>
        <v>0</v>
      </c>
    </row>
    <row r="11" spans="1:17" x14ac:dyDescent="0.3">
      <c r="A11" s="42">
        <v>5</v>
      </c>
      <c r="B11" s="36" t="s">
        <v>432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6">
        <v>114</v>
      </c>
      <c r="J11" s="11">
        <v>700</v>
      </c>
      <c r="K11" s="11">
        <v>98</v>
      </c>
      <c r="L11" s="11">
        <v>798</v>
      </c>
      <c r="N11" s="74">
        <f>SUMIFS(PAGOS!$E$3:$E$1048576,PAGOS!$A$3:$A$1048576,"&lt;&gt;INGRESO*",PAGOS!$A$3:$A$1048576,"&lt;&gt;EGRESO*",PAGOS!$D$3:$D$1048576,+MID('15'!B11,6,3)*1)</f>
        <v>700</v>
      </c>
      <c r="O11" s="74">
        <f>E11-N11</f>
        <v>0</v>
      </c>
      <c r="P11" s="74">
        <f>SUMIFS(PAGOS!$H$3:$H$1048576,PAGOS!$A$3:$A$1048576,"&lt;&gt;INGRESO*",PAGOS!$A$3:$A$1048576,"&lt;&gt;EGRESO*",PAGOS!$D$3:$D$1048576,+MID('15'!B11,6,3)*1)</f>
        <v>98</v>
      </c>
      <c r="Q11" s="74">
        <f>K11-P11</f>
        <v>0</v>
      </c>
    </row>
    <row r="15" spans="1:17" x14ac:dyDescent="0.3">
      <c r="I15" s="106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8"/>
  <sheetViews>
    <sheetView zoomScale="102" zoomScaleNormal="100" workbookViewId="0">
      <selection activeCell="E24" sqref="E24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1.33203125" bestFit="1" customWidth="1"/>
    <col min="5" max="5" width="10.5546875" style="106" customWidth="1"/>
    <col min="6" max="6" width="9.33203125" bestFit="1" customWidth="1"/>
    <col min="7" max="7" width="9.6640625" style="106" bestFit="1" customWidth="1"/>
    <col min="8" max="8" width="7.6640625" style="106" bestFit="1" customWidth="1"/>
    <col min="9" max="9" width="8.88671875" style="107" bestFit="1" customWidth="1"/>
    <col min="10" max="10" width="9.88671875" style="106" bestFit="1" customWidth="1"/>
    <col min="11" max="12" width="11.6640625" style="106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4500</v>
      </c>
      <c r="H3" s="79" t="s">
        <v>176</v>
      </c>
      <c r="I3" s="97">
        <f>SUM($P$7:$P$1048576)</f>
        <v>239.4</v>
      </c>
      <c r="J3" s="79" t="s">
        <v>177</v>
      </c>
      <c r="K3" s="98">
        <f>G3+I3</f>
        <v>4739.3999999999996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8">_xlfn.SEQUENCE(COUNTA(C7:C1048576))</f>
        <v>1</v>
      </c>
      <c r="B7" s="108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6">
        <v>104</v>
      </c>
      <c r="J7" s="11">
        <v>200</v>
      </c>
      <c r="K7" s="11">
        <v>8</v>
      </c>
      <c r="L7" s="11">
        <v>208</v>
      </c>
      <c r="N7" s="74">
        <f>SUMIFS(PAGOS!$E$3:$E$1048576,PAGOS!$A$3:$A$1048576,"&lt;&gt;INGRESO*",PAGOS!$A$3:$A$1048576,"&lt;&gt;EGRESO*",PAGOS!$D$3:$D$1048576,B7)</f>
        <v>200</v>
      </c>
      <c r="O7" s="74">
        <f t="shared" ref="O7:O15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5" si="1">K7-P7</f>
        <v>0</v>
      </c>
    </row>
    <row r="8" spans="1:17" x14ac:dyDescent="0.3">
      <c r="A8" s="42">
        <v>2</v>
      </c>
      <c r="B8" s="108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16</v>
      </c>
      <c r="Q8" s="74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6">
        <v>53</v>
      </c>
      <c r="J9" s="11">
        <v>150</v>
      </c>
      <c r="K9" s="11">
        <v>9</v>
      </c>
      <c r="L9" s="11">
        <v>159</v>
      </c>
      <c r="N9" s="74">
        <f>SUMIFS(PAGOS!$E$3:$E$1048576,PAGOS!$A$3:$A$1048576,"&lt;&gt;INGRESO*",PAGOS!$A$3:$A$1048576,"&lt;&gt;EGRESO*",PAGOS!$D$3:$D$1048576,+MID('16'!B9,6,3)*1)</f>
        <v>150</v>
      </c>
      <c r="O9" s="74">
        <f t="shared" si="0"/>
        <v>0</v>
      </c>
      <c r="P9" s="74">
        <f>SUMIFS(PAGOS!$H$3:$H$1048576,PAGOS!$A$3:$A$1048576,"&lt;&gt;INGRESO*",PAGOS!$A$3:$A$1048576,"&lt;&gt;EGRESO*",PAGOS!$D$3:$D$1048576,+MID('16'!B9,6,3)*1)</f>
        <v>9</v>
      </c>
      <c r="Q9" s="74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6">
        <v>51.666666666666664</v>
      </c>
      <c r="J10" s="11">
        <v>500</v>
      </c>
      <c r="K10" s="11">
        <v>120</v>
      </c>
      <c r="L10" s="11">
        <v>620</v>
      </c>
      <c r="N10" s="74">
        <f>SUMIFS(PAGOS!$E$3:$E$1048576,PAGOS!$A$3:$A$1048576,"&lt;&gt;INGRESO*",PAGOS!$A$3:$A$1048576,"&lt;&gt;EGRESO*",PAGOS!$D$3:$D$1048576,+MID('16'!B10,6,3)*1)</f>
        <v>500.04000000000013</v>
      </c>
      <c r="O10" s="74">
        <f t="shared" si="0"/>
        <v>-4.000000000013415E-2</v>
      </c>
      <c r="P10" s="74">
        <f>SUMIFS(PAGOS!$H$3:$H$1048576,PAGOS!$A$3:$A$1048576,"&lt;&gt;INGRESO*",PAGOS!$A$3:$A$1048576,"&lt;&gt;EGRESO*",PAGOS!$D$3:$D$1048576,+MID('16'!B10,6,3)*1)</f>
        <v>120</v>
      </c>
      <c r="Q10" s="74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6">
        <v>81.599999999999994</v>
      </c>
      <c r="J11" s="11">
        <v>80</v>
      </c>
      <c r="K11" s="11">
        <v>1.6</v>
      </c>
      <c r="L11" s="11">
        <v>81.599999999999994</v>
      </c>
      <c r="N11" s="74">
        <f>SUMIFS(PAGOS!$E$3:$E$1048576,PAGOS!$A$3:$A$1048576,"&lt;&gt;INGRESO*",PAGOS!$A$3:$A$1048576,"&lt;&gt;EGRESO*",PAGOS!$D$3:$D$1048576,+MID('16'!B11,6,3)*1)</f>
        <v>80</v>
      </c>
      <c r="O11" s="74">
        <f t="shared" si="0"/>
        <v>0</v>
      </c>
      <c r="P11" s="74">
        <f>SUMIFS(PAGOS!$H$3:$H$1048576,PAGOS!$A$3:$A$1048576,"&lt;&gt;INGRESO*",PAGOS!$A$3:$A$1048576,"&lt;&gt;EGRESO*",PAGOS!$D$3:$D$1048576,+MID('16'!B11,6,3)*1)</f>
        <v>1.6</v>
      </c>
      <c r="Q11" s="74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6">
        <v>78</v>
      </c>
      <c r="J12" s="11">
        <v>150</v>
      </c>
      <c r="K12" s="11">
        <v>6</v>
      </c>
      <c r="L12" s="11">
        <v>156</v>
      </c>
      <c r="N12" s="74">
        <f>SUMIFS(PAGOS!$E$3:$E$1048576,PAGOS!$A$3:$A$1048576,"&lt;&gt;INGRESO*",PAGOS!$A$3:$A$1048576,"&lt;&gt;EGRESO*",PAGOS!$D$3:$D$1048576,+MID('16'!B12,6,3)*1)</f>
        <v>150</v>
      </c>
      <c r="O12" s="74">
        <f t="shared" si="0"/>
        <v>0</v>
      </c>
      <c r="P12" s="74">
        <f>SUMIFS(PAGOS!$H$3:$H$1048576,PAGOS!$A$3:$A$1048576,"&lt;&gt;INGRESO*",PAGOS!$A$3:$A$1048576,"&lt;&gt;EGRESO*",PAGOS!$D$3:$D$1048576,+MID('16'!B12,6,3)*1)</f>
        <v>6</v>
      </c>
      <c r="Q12" s="74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6">
        <v>408</v>
      </c>
      <c r="J13" s="11">
        <v>400</v>
      </c>
      <c r="K13" s="11">
        <v>8</v>
      </c>
      <c r="L13" s="11">
        <v>408</v>
      </c>
      <c r="N13" s="74">
        <f>SUMIFS(PAGOS!$E$3:$E$1048576,PAGOS!$A$3:$A$1048576,"&lt;&gt;INGRESO*",PAGOS!$A$3:$A$1048576,"&lt;&gt;EGRESO*",PAGOS!$D$3:$D$1048576,+MID('16'!B13,6,3)*1)</f>
        <v>400</v>
      </c>
      <c r="O13" s="74">
        <f t="shared" si="0"/>
        <v>0</v>
      </c>
      <c r="P13" s="74">
        <f>SUMIFS(PAGOS!$H$3:$H$1048576,PAGOS!$A$3:$A$1048576,"&lt;&gt;INGRESO*",PAGOS!$A$3:$A$1048576,"&lt;&gt;EGRESO*",PAGOS!$D$3:$D$1048576,+MID('16'!B13,6,3)*1)</f>
        <v>8</v>
      </c>
      <c r="Q13" s="74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6">
        <v>40.799999999999997</v>
      </c>
      <c r="J14" s="11">
        <v>40</v>
      </c>
      <c r="K14" s="11">
        <v>0.8</v>
      </c>
      <c r="L14" s="11">
        <v>40.799999999999997</v>
      </c>
      <c r="N14" s="74">
        <f>SUMIFS(PAGOS!$E$3:$E$1048576,PAGOS!$A$3:$A$1048576,"&lt;&gt;INGRESO*",PAGOS!$A$3:$A$1048576,"&lt;&gt;EGRESO*",PAGOS!$D$3:$D$1048576,+MID('16'!B14,6,3)*1)</f>
        <v>40</v>
      </c>
      <c r="O14" s="74">
        <f t="shared" si="0"/>
        <v>0</v>
      </c>
      <c r="P14" s="74">
        <f>SUMIFS(PAGOS!$H$3:$H$1048576,PAGOS!$A$3:$A$1048576,"&lt;&gt;INGRESO*",PAGOS!$A$3:$A$1048576,"&lt;&gt;EGRESO*",PAGOS!$D$3:$D$1048576,+MID('16'!B14,6,3)*1)</f>
        <v>0.8</v>
      </c>
      <c r="Q14" s="74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6">
        <v>102</v>
      </c>
      <c r="J15" s="11">
        <v>100</v>
      </c>
      <c r="K15" s="11">
        <v>2</v>
      </c>
      <c r="L15" s="11">
        <v>102</v>
      </c>
      <c r="N15" s="74">
        <f>SUMIFS(PAGOS!$E$3:$E$1048576,PAGOS!$A$3:$A$1048576,"&lt;&gt;INGRESO*",PAGOS!$A$3:$A$1048576,"&lt;&gt;EGRESO*",PAGOS!$D$3:$D$1048576,+MID('16'!B15,6,3)*1)</f>
        <v>100</v>
      </c>
      <c r="O15" s="74">
        <f t="shared" si="0"/>
        <v>0</v>
      </c>
      <c r="P15" s="74">
        <f>SUMIFS(PAGOS!$H$3:$H$1048576,PAGOS!$A$3:$A$1048576,"&lt;&gt;INGRESO*",PAGOS!$A$3:$A$1048576,"&lt;&gt;EGRESO*",PAGOS!$D$3:$D$1048576,+MID('16'!B15,6,3)*1)</f>
        <v>2</v>
      </c>
      <c r="Q15" s="74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6">
        <v>204</v>
      </c>
      <c r="J16" s="11">
        <v>200</v>
      </c>
      <c r="K16" s="11">
        <v>4</v>
      </c>
      <c r="L16" s="11">
        <v>204</v>
      </c>
      <c r="N16" s="74">
        <f>SUMIFS(PAGOS!$E$3:$E$1048576,PAGOS!$A$3:$A$1048576,"&lt;&gt;INGRESO*",PAGOS!$A$3:$A$1048576,"&lt;&gt;EGRESO*",PAGOS!$D$3:$D$1048576,+MID('16'!B16,6,3)*1)</f>
        <v>200</v>
      </c>
      <c r="O16" s="74">
        <f t="shared" ref="O16" si="2">E16-N16</f>
        <v>0</v>
      </c>
      <c r="P16" s="74">
        <f>SUMIFS(PAGOS!$H$3:$H$1048576,PAGOS!$A$3:$A$1048576,"&lt;&gt;INGRESO*",PAGOS!$A$3:$A$1048576,"&lt;&gt;EGRESO*",PAGOS!$D$3:$D$1048576,+MID('16'!B16,6,3)*1)</f>
        <v>4</v>
      </c>
      <c r="Q16" s="74">
        <f t="shared" ref="Q16" si="3">K16-P16</f>
        <v>0</v>
      </c>
    </row>
    <row r="17" spans="1:17" x14ac:dyDescent="0.3">
      <c r="A17" s="42">
        <v>11</v>
      </c>
      <c r="B17" s="36" t="s">
        <v>480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6">
        <v>40.799999999999997</v>
      </c>
      <c r="J17" s="11">
        <v>40</v>
      </c>
      <c r="K17" s="11">
        <v>0.8</v>
      </c>
      <c r="L17" s="11">
        <v>40.799999999999997</v>
      </c>
      <c r="N17" s="74">
        <f>SUMIFS(PAGOS!$E$3:$E$1048576,PAGOS!$A$3:$A$1048576,"&lt;&gt;INGRESO*",PAGOS!$A$3:$A$1048576,"&lt;&gt;EGRESO*",PAGOS!$D$3:$D$1048576,+MID('16'!B17,6,3)*1)</f>
        <v>40</v>
      </c>
      <c r="O17" s="74">
        <f t="shared" ref="O17:O18" si="4">E17-N17</f>
        <v>0</v>
      </c>
      <c r="P17" s="74">
        <f>SUMIFS(PAGOS!$H$3:$H$1048576,PAGOS!$A$3:$A$1048576,"&lt;&gt;INGRESO*",PAGOS!$A$3:$A$1048576,"&lt;&gt;EGRESO*",PAGOS!$D$3:$D$1048576,+MID('16'!B17,6,3)*1)</f>
        <v>0.8</v>
      </c>
      <c r="Q17" s="74">
        <f t="shared" ref="Q17:Q18" si="5">K17-P17</f>
        <v>0</v>
      </c>
    </row>
    <row r="18" spans="1:17" x14ac:dyDescent="0.3">
      <c r="A18" s="42">
        <v>12</v>
      </c>
      <c r="B18" s="36" t="s">
        <v>487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6">
        <v>53</v>
      </c>
      <c r="J18" s="11">
        <v>150</v>
      </c>
      <c r="K18" s="11">
        <v>9</v>
      </c>
      <c r="L18" s="11">
        <v>159</v>
      </c>
      <c r="N18" s="74">
        <f>SUMIFS(PAGOS!$E$3:$E$1048576,PAGOS!$A$3:$A$1048576,"&lt;&gt;INGRESO*",PAGOS!$A$3:$A$1048576,"&lt;&gt;EGRESO*",PAGOS!$D$3:$D$1048576,+MID('16'!B18,6,3)*1)</f>
        <v>150</v>
      </c>
      <c r="O18" s="74">
        <f t="shared" si="4"/>
        <v>0</v>
      </c>
      <c r="P18" s="74">
        <f>SUMIFS(PAGOS!$H$3:$H$1048576,PAGOS!$A$3:$A$1048576,"&lt;&gt;INGRESO*",PAGOS!$A$3:$A$1048576,"&lt;&gt;EGRESO*",PAGOS!$D$3:$D$1048576,+MID('16'!B18,6,3)*1)</f>
        <v>9</v>
      </c>
      <c r="Q18" s="74">
        <f t="shared" si="5"/>
        <v>0</v>
      </c>
    </row>
    <row r="19" spans="1:17" x14ac:dyDescent="0.3">
      <c r="A19" s="42">
        <v>13</v>
      </c>
      <c r="B19" s="36" t="s">
        <v>502</v>
      </c>
      <c r="C19" s="42" t="s">
        <v>501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6">
        <v>70.666666666666671</v>
      </c>
      <c r="J19" s="11">
        <v>200</v>
      </c>
      <c r="K19" s="11">
        <v>12</v>
      </c>
      <c r="L19" s="11">
        <v>212</v>
      </c>
      <c r="N19" s="74">
        <f>SUMIFS(PAGOS!$E$3:$E$1048576,PAGOS!$A$3:$A$1048576,"&lt;&gt;INGRESO*",PAGOS!$A$3:$A$1048576,"&lt;&gt;EGRESO*",PAGOS!$D$3:$D$1048576,+MID('16'!B19,6,3)*1)</f>
        <v>200</v>
      </c>
      <c r="O19" s="74">
        <f t="shared" ref="O19" si="6">E19-N19</f>
        <v>0</v>
      </c>
      <c r="P19" s="74">
        <f>SUMIFS(PAGOS!$H$3:$H$1048576,PAGOS!$A$3:$A$1048576,"&lt;&gt;INGRESO*",PAGOS!$A$3:$A$1048576,"&lt;&gt;EGRESO*",PAGOS!$D$3:$D$1048576,+MID('16'!B19,6,3)*1)</f>
        <v>12</v>
      </c>
      <c r="Q19" s="74">
        <f t="shared" ref="Q19" si="7">K19-P19</f>
        <v>0</v>
      </c>
    </row>
    <row r="20" spans="1:17" x14ac:dyDescent="0.3">
      <c r="A20" s="42">
        <v>14</v>
      </c>
      <c r="B20" s="36" t="s">
        <v>516</v>
      </c>
      <c r="C20" s="42" t="s">
        <v>515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6">
        <v>54</v>
      </c>
      <c r="J20" s="11">
        <v>200</v>
      </c>
      <c r="K20" s="11">
        <v>16</v>
      </c>
      <c r="L20" s="11">
        <v>216</v>
      </c>
      <c r="N20" s="74">
        <f>SUMIFS(PAGOS!$E$3:$E$1048576,PAGOS!$A$3:$A$1048576,"&lt;&gt;INGRESO*",PAGOS!$A$3:$A$1048576,"&lt;&gt;EGRESO*",PAGOS!$D$3:$D$1048576,+MID('16'!B20,6,3)*1)</f>
        <v>200</v>
      </c>
      <c r="O20" s="74">
        <f t="shared" ref="O20" si="8">E20-N20</f>
        <v>0</v>
      </c>
      <c r="P20" s="74">
        <f>SUMIFS(PAGOS!$H$3:$H$1048576,PAGOS!$A$3:$A$1048576,"&lt;&gt;INGRESO*",PAGOS!$A$3:$A$1048576,"&lt;&gt;EGRESO*",PAGOS!$D$3:$D$1048576,+MID('16'!B20,6,3)*1)</f>
        <v>16</v>
      </c>
      <c r="Q20" s="74">
        <f t="shared" ref="Q20" si="9">K20-P20</f>
        <v>0</v>
      </c>
    </row>
    <row r="21" spans="1:17" x14ac:dyDescent="0.3">
      <c r="A21" s="42">
        <v>15</v>
      </c>
      <c r="B21" s="36" t="s">
        <v>549</v>
      </c>
      <c r="C21" s="42" t="s">
        <v>515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6">
        <v>106</v>
      </c>
      <c r="J21" s="11">
        <v>300</v>
      </c>
      <c r="K21" s="11">
        <v>18</v>
      </c>
      <c r="L21" s="11">
        <v>318</v>
      </c>
      <c r="N21" s="74">
        <f>SUMIFS(PAGOS!$E$3:$E$1048576,PAGOS!$A$3:$A$1048576,"&lt;&gt;INGRESO*",PAGOS!$A$3:$A$1048576,"&lt;&gt;EGRESO*",PAGOS!$D$3:$D$1048576,+MID('16'!B21,6,3)*1)</f>
        <v>300</v>
      </c>
      <c r="O21" s="74">
        <f t="shared" ref="O21" si="10">E21-N21</f>
        <v>0</v>
      </c>
      <c r="P21" s="74">
        <f>SUMIFS(PAGOS!$H$3:$H$1048576,PAGOS!$A$3:$A$1048576,"&lt;&gt;INGRESO*",PAGOS!$A$3:$A$1048576,"&lt;&gt;EGRESO*",PAGOS!$D$3:$D$1048576,+MID('16'!B21,6,3)*1)</f>
        <v>18</v>
      </c>
      <c r="Q21" s="74">
        <f t="shared" ref="Q21" si="11">K21-P21</f>
        <v>0</v>
      </c>
    </row>
    <row r="22" spans="1:17" x14ac:dyDescent="0.3">
      <c r="A22" s="42">
        <v>16</v>
      </c>
      <c r="B22" s="36" t="s">
        <v>559</v>
      </c>
      <c r="C22" s="42" t="s">
        <v>515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6">
        <v>41.6</v>
      </c>
      <c r="J22" s="11">
        <v>80</v>
      </c>
      <c r="K22" s="11">
        <v>3.2</v>
      </c>
      <c r="L22" s="11">
        <v>83.2</v>
      </c>
      <c r="N22" s="74">
        <f>SUMIFS(PAGOS!$E$3:$E$1048576,PAGOS!$A$3:$A$1048576,"&lt;&gt;INGRESO*",PAGOS!$A$3:$A$1048576,"&lt;&gt;EGRESO*",PAGOS!$D$3:$D$1048576,+MID('16'!B22,6,3)*1)</f>
        <v>80</v>
      </c>
      <c r="O22" s="74">
        <f t="shared" ref="O22" si="12">E22-N22</f>
        <v>0</v>
      </c>
      <c r="P22" s="74">
        <f>SUMIFS(PAGOS!$H$3:$H$1048576,PAGOS!$A$3:$A$1048576,"&lt;&gt;INGRESO*",PAGOS!$A$3:$A$1048576,"&lt;&gt;EGRESO*",PAGOS!$D$3:$D$1048576,+MID('16'!B22,6,3)*1)</f>
        <v>3.2</v>
      </c>
      <c r="Q22" s="74">
        <f t="shared" ref="Q22" si="13">K22-P22</f>
        <v>0</v>
      </c>
    </row>
    <row r="23" spans="1:17" x14ac:dyDescent="0.3">
      <c r="A23" s="42">
        <v>17</v>
      </c>
      <c r="B23" s="36" t="s">
        <v>577</v>
      </c>
      <c r="C23" s="42" t="s">
        <v>419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6">
        <v>102</v>
      </c>
      <c r="J23" s="11">
        <v>100</v>
      </c>
      <c r="K23" s="11">
        <v>2</v>
      </c>
      <c r="L23" s="11">
        <v>102</v>
      </c>
      <c r="N23" s="74">
        <f>SUMIFS(PAGOS!$E$3:$E$1048576,PAGOS!$A$3:$A$1048576,"&lt;&gt;INGRESO*",PAGOS!$A$3:$A$1048576,"&lt;&gt;EGRESO*",PAGOS!$D$3:$D$1048576,+MID('16'!B23,6,3)*1)</f>
        <v>100</v>
      </c>
      <c r="O23" s="74">
        <f t="shared" ref="O23:O24" si="14">E23-N23</f>
        <v>0</v>
      </c>
      <c r="P23" s="74">
        <f>SUMIFS(PAGOS!$H$3:$H$1048576,PAGOS!$A$3:$A$1048576,"&lt;&gt;INGRESO*",PAGOS!$A$3:$A$1048576,"&lt;&gt;EGRESO*",PAGOS!$D$3:$D$1048576,+MID('16'!B23,6,3)*1)</f>
        <v>2</v>
      </c>
      <c r="Q23" s="74">
        <f t="shared" ref="Q23:Q24" si="15">K23-P23</f>
        <v>0</v>
      </c>
    </row>
    <row r="24" spans="1:17" x14ac:dyDescent="0.3">
      <c r="A24" s="42">
        <v>18</v>
      </c>
      <c r="B24" s="36" t="s">
        <v>580</v>
      </c>
      <c r="C24" s="42" t="s">
        <v>579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6">
        <v>104</v>
      </c>
      <c r="J24" s="11">
        <v>200</v>
      </c>
      <c r="K24" s="11">
        <v>8</v>
      </c>
      <c r="L24" s="11">
        <v>208</v>
      </c>
      <c r="N24" s="74">
        <f>SUMIFS(PAGOS!$E$3:$E$1048576,PAGOS!$A$3:$A$1048576,"&lt;&gt;INGRESO*",PAGOS!$A$3:$A$1048576,"&lt;&gt;EGRESO*",PAGOS!$D$3:$D$1048576,+MID('16'!B24,6,3)*1)</f>
        <v>0</v>
      </c>
      <c r="O24" s="74">
        <f t="shared" si="14"/>
        <v>200</v>
      </c>
      <c r="P24" s="74">
        <f>SUMIFS(PAGOS!$H$3:$H$1048576,PAGOS!$A$3:$A$1048576,"&lt;&gt;INGRESO*",PAGOS!$A$3:$A$1048576,"&lt;&gt;EGRESO*",PAGOS!$D$3:$D$1048576,+MID('16'!B24,6,3)*1)</f>
        <v>0</v>
      </c>
      <c r="Q24" s="74">
        <f t="shared" si="15"/>
        <v>8</v>
      </c>
    </row>
    <row r="25" spans="1:17" x14ac:dyDescent="0.3">
      <c r="A25" s="42">
        <v>19</v>
      </c>
      <c r="B25" s="36" t="s">
        <v>597</v>
      </c>
      <c r="C25" s="42" t="s">
        <v>596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6">
        <v>53</v>
      </c>
      <c r="J25" s="11">
        <v>150</v>
      </c>
      <c r="K25" s="11">
        <v>9</v>
      </c>
      <c r="L25" s="11">
        <v>159</v>
      </c>
      <c r="N25" s="74">
        <f>SUMIFS(PAGOS!$E$3:$E$1048576,PAGOS!$A$3:$A$1048576,"&lt;&gt;INGRESO*",PAGOS!$A$3:$A$1048576,"&lt;&gt;EGRESO*",PAGOS!$D$3:$D$1048576,+MID('16'!B25,6,3)*1)</f>
        <v>50</v>
      </c>
      <c r="O25" s="74">
        <f t="shared" ref="O25" si="16">E25-N25</f>
        <v>100</v>
      </c>
      <c r="P25" s="74">
        <f>SUMIFS(PAGOS!$H$3:$H$1048576,PAGOS!$A$3:$A$1048576,"&lt;&gt;INGRESO*",PAGOS!$A$3:$A$1048576,"&lt;&gt;EGRESO*",PAGOS!$D$3:$D$1048576,+MID('16'!B25,6,3)*1)</f>
        <v>3</v>
      </c>
      <c r="Q25" s="74">
        <f t="shared" ref="Q25" si="17">K25-P25</f>
        <v>6</v>
      </c>
    </row>
    <row r="26" spans="1:17" x14ac:dyDescent="0.3">
      <c r="A26" s="42">
        <v>20</v>
      </c>
      <c r="B26" s="36" t="s">
        <v>602</v>
      </c>
      <c r="C26" s="42" t="s">
        <v>515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6">
        <v>208</v>
      </c>
      <c r="J26" s="11">
        <v>400</v>
      </c>
      <c r="K26" s="11">
        <v>16</v>
      </c>
      <c r="L26" s="11">
        <v>416</v>
      </c>
      <c r="N26" s="74">
        <f>SUMIFS(PAGOS!$E$3:$E$1048576,PAGOS!$A$3:$A$1048576,"&lt;&gt;INGRESO*",PAGOS!$A$3:$A$1048576,"&lt;&gt;EGRESO*",PAGOS!$D$3:$D$1048576,+MID('16'!B26,6,3)*1)</f>
        <v>0</v>
      </c>
      <c r="O26" s="74">
        <f t="shared" ref="O26" si="18">E26-N26</f>
        <v>400</v>
      </c>
      <c r="P26" s="74">
        <f>SUMIFS(PAGOS!$H$3:$H$1048576,PAGOS!$A$3:$A$1048576,"&lt;&gt;INGRESO*",PAGOS!$A$3:$A$1048576,"&lt;&gt;EGRESO*",PAGOS!$D$3:$D$1048576,+MID('16'!B26,6,3)*1)</f>
        <v>0</v>
      </c>
      <c r="Q26" s="74">
        <f t="shared" ref="Q26" si="19">K26-P26</f>
        <v>16</v>
      </c>
    </row>
    <row r="27" spans="1:17" x14ac:dyDescent="0.3">
      <c r="A27" s="42">
        <v>21</v>
      </c>
      <c r="B27" s="36" t="s">
        <v>613</v>
      </c>
      <c r="C27" s="42" t="s">
        <v>419</v>
      </c>
      <c r="D27" s="38">
        <v>46100</v>
      </c>
      <c r="E27" s="11">
        <v>100</v>
      </c>
      <c r="F27" s="42">
        <v>1</v>
      </c>
      <c r="G27" s="11">
        <v>100</v>
      </c>
      <c r="H27" s="11">
        <v>2</v>
      </c>
      <c r="I27" s="146">
        <v>102</v>
      </c>
      <c r="J27" s="11">
        <v>100</v>
      </c>
      <c r="K27" s="11">
        <v>2</v>
      </c>
      <c r="L27" s="11">
        <v>102</v>
      </c>
      <c r="N27" s="74">
        <f>SUMIFS(PAGOS!$E$3:$E$1048576,PAGOS!$A$3:$A$1048576,"&lt;&gt;INGRESO*",PAGOS!$A$3:$A$1048576,"&lt;&gt;EGRESO*",PAGOS!$D$3:$D$1048576,+MID('16'!B27,6,3)*1)</f>
        <v>0</v>
      </c>
      <c r="O27" s="74">
        <f t="shared" ref="O27:O28" si="20">E27-N27</f>
        <v>100</v>
      </c>
      <c r="P27" s="74">
        <f>SUMIFS(PAGOS!$H$3:$H$1048576,PAGOS!$A$3:$A$1048576,"&lt;&gt;INGRESO*",PAGOS!$A$3:$A$1048576,"&lt;&gt;EGRESO*",PAGOS!$D$3:$D$1048576,+MID('16'!B27,6,3)*1)</f>
        <v>0</v>
      </c>
      <c r="Q27" s="74">
        <f t="shared" ref="Q27:Q28" si="21">K27-P27</f>
        <v>2</v>
      </c>
    </row>
    <row r="28" spans="1:17" x14ac:dyDescent="0.3">
      <c r="A28" s="42">
        <v>22</v>
      </c>
      <c r="B28" s="36" t="s">
        <v>615</v>
      </c>
      <c r="C28" s="42" t="s">
        <v>515</v>
      </c>
      <c r="D28" s="38">
        <v>46103</v>
      </c>
      <c r="E28" s="11">
        <v>560</v>
      </c>
      <c r="F28" s="42">
        <v>4</v>
      </c>
      <c r="G28" s="11">
        <v>140</v>
      </c>
      <c r="H28" s="11">
        <v>11.200000000000001</v>
      </c>
      <c r="I28" s="146">
        <v>151.19999999999999</v>
      </c>
      <c r="J28" s="11">
        <v>560</v>
      </c>
      <c r="K28" s="11">
        <v>44.800000000000004</v>
      </c>
      <c r="L28" s="11">
        <v>604.79999999999995</v>
      </c>
      <c r="N28" s="74">
        <f>SUMIFS(PAGOS!$E$3:$E$1048576,PAGOS!$A$3:$A$1048576,"&lt;&gt;INGRESO*",PAGOS!$A$3:$A$1048576,"&lt;&gt;EGRESO*",PAGOS!$D$3:$D$1048576,+MID('16'!B28,6,3)*1)</f>
        <v>0</v>
      </c>
      <c r="O28" s="74">
        <f t="shared" si="20"/>
        <v>560</v>
      </c>
      <c r="P28" s="74">
        <f>SUMIFS(PAGOS!$H$3:$H$1048576,PAGOS!$A$3:$A$1048576,"&lt;&gt;INGRESO*",PAGOS!$A$3:$A$1048576,"&lt;&gt;EGRESO*",PAGOS!$D$3:$D$1048576,+MID('16'!B28,6,3)*1)</f>
        <v>0</v>
      </c>
      <c r="Q28" s="74">
        <f t="shared" si="21"/>
        <v>44.800000000000004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06" customWidth="1"/>
    <col min="6" max="6" width="9.33203125" bestFit="1" customWidth="1"/>
    <col min="7" max="7" width="10.109375" style="106" bestFit="1" customWidth="1"/>
    <col min="8" max="8" width="7.88671875" style="106" bestFit="1" customWidth="1"/>
    <col min="9" max="9" width="8.33203125" style="107" customWidth="1"/>
    <col min="10" max="10" width="13.6640625" style="106" bestFit="1" customWidth="1"/>
    <col min="11" max="12" width="11.109375" style="106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4180</v>
      </c>
      <c r="H3" s="79" t="s">
        <v>176</v>
      </c>
      <c r="I3" s="97">
        <f>SUM($P$7:$P$1048576)</f>
        <v>453.6</v>
      </c>
      <c r="J3" s="79" t="s">
        <v>177</v>
      </c>
      <c r="K3" s="98">
        <f>G3+I3</f>
        <v>4633.6000000000004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08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6">
        <v>81.599999999999994</v>
      </c>
      <c r="J7" s="11">
        <v>80</v>
      </c>
      <c r="K7" s="11">
        <v>1.6</v>
      </c>
      <c r="L7" s="11">
        <v>81.599999999999994</v>
      </c>
      <c r="N7" s="74">
        <f>SUMIFS(PAGOS!$E$3:$E$1048576,PAGOS!$A$3:$A$1048576,"&lt;&gt;INGRESO*",PAGOS!$A$3:$A$1048576,"&lt;&gt;EGRESO*",PAGOS!$D$3:$D$1048576,B7)</f>
        <v>80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1.6</v>
      </c>
      <c r="Q7" s="74">
        <f t="shared" ref="Q7:Q12" si="1">K7-P7</f>
        <v>0</v>
      </c>
    </row>
    <row r="8" spans="1:17" x14ac:dyDescent="0.3">
      <c r="A8" s="42">
        <v>2</v>
      </c>
      <c r="B8" s="108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6">
        <v>93.333333333333329</v>
      </c>
      <c r="J8" s="11">
        <v>500</v>
      </c>
      <c r="K8" s="11">
        <v>60</v>
      </c>
      <c r="L8" s="11">
        <v>560</v>
      </c>
      <c r="N8" s="74">
        <f>SUMIFS(PAGOS!$E$3:$E$1048576,PAGOS!$A$3:$A$1048576,"&lt;&gt;INGRESO*",PAGOS!$A$3:$A$1048576,"&lt;&gt;EGRESO*",PAGOS!$D$3:$D$1048576,B8)</f>
        <v>500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60</v>
      </c>
      <c r="Q8" s="74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6">
        <v>110</v>
      </c>
      <c r="J9" s="11">
        <v>500</v>
      </c>
      <c r="K9" s="11">
        <v>50</v>
      </c>
      <c r="L9" s="11">
        <v>550</v>
      </c>
      <c r="N9" s="74">
        <f>SUMIFS(PAGOS!$E$3:$E$1048576,PAGOS!$A$3:$A$1048576,"&lt;&gt;INGRESO*",PAGOS!$A$3:$A$1048576,"&lt;&gt;EGRESO*",PAGOS!$D$3:$D$1048576,+MID('06'!B9,6,3)*1)</f>
        <v>500</v>
      </c>
      <c r="O9" s="74">
        <f t="shared" si="0"/>
        <v>0</v>
      </c>
      <c r="P9" s="74">
        <f>SUMIFS(PAGOS!$H$3:$H$1048576,PAGOS!$A$3:$A$1048576,"&lt;&gt;INGRESO*",PAGOS!$A$3:$A$1048576,"&lt;&gt;EGRESO*",PAGOS!$D$3:$D$1048576,+MID('06'!B9,6,3)*1)</f>
        <v>40</v>
      </c>
      <c r="Q9" s="74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6">
        <v>120</v>
      </c>
      <c r="J10" s="11">
        <v>1000</v>
      </c>
      <c r="K10" s="11">
        <v>200</v>
      </c>
      <c r="L10" s="11">
        <v>1200</v>
      </c>
      <c r="N10" s="74">
        <f>SUMIFS(PAGOS!$E$3:$E$1048576,PAGOS!$A$3:$A$1048576,"&lt;&gt;INGRESO*",PAGOS!$A$3:$A$1048576,"&lt;&gt;EGRESO*",PAGOS!$D$3:$D$1048576,+MID('06'!B10,6,3)*1)</f>
        <v>1000</v>
      </c>
      <c r="O10" s="74">
        <f t="shared" si="0"/>
        <v>0</v>
      </c>
      <c r="P10" s="74">
        <f>SUMIFS(PAGOS!$H$3:$H$1048576,PAGOS!$A$3:$A$1048576,"&lt;&gt;INGRESO*",PAGOS!$A$3:$A$1048576,"&lt;&gt;EGRESO*",PAGOS!$D$3:$D$1048576,+MID('06'!B10,6,3)*1)</f>
        <v>160</v>
      </c>
      <c r="Q10" s="74">
        <f t="shared" si="1"/>
        <v>40</v>
      </c>
    </row>
    <row r="11" spans="1:17" x14ac:dyDescent="0.3">
      <c r="A11" s="42">
        <v>5</v>
      </c>
      <c r="B11" s="36" t="s">
        <v>430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6">
        <v>124</v>
      </c>
      <c r="J11" s="11">
        <v>1200</v>
      </c>
      <c r="K11" s="11">
        <v>288</v>
      </c>
      <c r="L11" s="11">
        <v>1488</v>
      </c>
      <c r="N11" s="74">
        <f>SUMIFS(PAGOS!$E$3:$E$1048576,PAGOS!$A$3:$A$1048576,"&lt;&gt;INGRESO*",PAGOS!$A$3:$A$1048576,"&lt;&gt;EGRESO*",PAGOS!$D$3:$D$1048576,+MID('06'!B11,6,3)*1)</f>
        <v>700</v>
      </c>
      <c r="O11" s="74">
        <f t="shared" si="0"/>
        <v>500</v>
      </c>
      <c r="P11" s="74">
        <f>SUMIFS(PAGOS!$H$3:$H$1048576,PAGOS!$A$3:$A$1048576,"&lt;&gt;INGRESO*",PAGOS!$A$3:$A$1048576,"&lt;&gt;EGRESO*",PAGOS!$D$3:$D$1048576,+MID('06'!B11,6,3)*1)</f>
        <v>168</v>
      </c>
      <c r="Q11" s="74">
        <f t="shared" si="1"/>
        <v>120</v>
      </c>
    </row>
    <row r="12" spans="1:17" x14ac:dyDescent="0.3">
      <c r="A12" s="42">
        <v>6</v>
      </c>
      <c r="B12" s="36" t="s">
        <v>546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6">
        <v>56</v>
      </c>
      <c r="J12" s="11">
        <v>300</v>
      </c>
      <c r="K12" s="11">
        <v>36</v>
      </c>
      <c r="L12" s="11">
        <v>336</v>
      </c>
      <c r="N12" s="74">
        <f>SUMIFS(PAGOS!$E$3:$E$1048576,PAGOS!$A$3:$A$1048576,"&lt;&gt;INGRESO*",PAGOS!$A$3:$A$1048576,"&lt;&gt;EGRESO*",PAGOS!$D$3:$D$1048576,+MID('06'!B12,6,3)*1)</f>
        <v>300</v>
      </c>
      <c r="O12" s="74">
        <f t="shared" si="0"/>
        <v>0</v>
      </c>
      <c r="P12" s="74">
        <f>SUMIFS(PAGOS!$H$3:$H$1048576,PAGOS!$A$3:$A$1048576,"&lt;&gt;INGRESO*",PAGOS!$A$3:$A$1048576,"&lt;&gt;EGRESO*",PAGOS!$D$3:$D$1048576,+MID('06'!B12,6,3)*1)</f>
        <v>12</v>
      </c>
      <c r="Q12" s="74">
        <f t="shared" si="1"/>
        <v>24</v>
      </c>
    </row>
    <row r="13" spans="1:17" x14ac:dyDescent="0.3">
      <c r="A13" s="42">
        <v>7</v>
      </c>
      <c r="B13" s="36" t="s">
        <v>592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6">
        <v>72</v>
      </c>
      <c r="J13" s="11">
        <v>600</v>
      </c>
      <c r="K13" s="11">
        <v>120</v>
      </c>
      <c r="L13" s="11">
        <v>720</v>
      </c>
      <c r="N13" s="74">
        <f>SUMIFS(PAGOS!$E$3:$E$1048576,PAGOS!$A$3:$A$1048576,"&lt;&gt;INGRESO*",PAGOS!$A$3:$A$1048576,"&lt;&gt;EGRESO*",PAGOS!$D$3:$D$1048576,+MID('06'!B13,6,3)*1)</f>
        <v>60</v>
      </c>
      <c r="O13" s="74">
        <f t="shared" ref="O13" si="2">E13-N13</f>
        <v>540</v>
      </c>
      <c r="P13" s="74">
        <f>SUMIFS(PAGOS!$H$3:$H$1048576,PAGOS!$A$3:$A$1048576,"&lt;&gt;INGRESO*",PAGOS!$A$3:$A$1048576,"&lt;&gt;EGRESO*",PAGOS!$D$3:$D$1048576,+MID('06'!B13,6,3)*1)</f>
        <v>12</v>
      </c>
      <c r="Q13" s="74">
        <f t="shared" ref="Q13" si="3">K13-P13</f>
        <v>108</v>
      </c>
    </row>
    <row r="15" spans="1:17" x14ac:dyDescent="0.3">
      <c r="I15" s="106"/>
    </row>
    <row r="16" spans="1:17" x14ac:dyDescent="0.3">
      <c r="I16" s="106"/>
    </row>
    <row r="26" spans="9:9" x14ac:dyDescent="0.3">
      <c r="I26" s="106"/>
    </row>
    <row r="27" spans="9:9" x14ac:dyDescent="0.3">
      <c r="I27" s="106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A28830D5-EA88-4415-8641-5FA92227B1CF}">
  <ds:schemaRefs/>
</ds:datastoreItem>
</file>

<file path=customXml/itemProps2.xml><?xml version="1.0" encoding="utf-8"?>
<ds:datastoreItem xmlns:ds="http://schemas.openxmlformats.org/officeDocument/2006/customXml" ds:itemID="{97E1DBCD-AC0D-458A-8D28-BA2F02059B64}">
  <ds:schemaRefs/>
</ds:datastoreItem>
</file>

<file path=customXml/itemProps3.xml><?xml version="1.0" encoding="utf-8"?>
<ds:datastoreItem xmlns:ds="http://schemas.openxmlformats.org/officeDocument/2006/customXml" ds:itemID="{955A7C4F-825D-4FE6-9AD2-D409438C3D5D}">
  <ds:schemaRefs/>
</ds:datastoreItem>
</file>

<file path=customXml/itemProps4.xml><?xml version="1.0" encoding="utf-8"?>
<ds:datastoreItem xmlns:ds="http://schemas.openxmlformats.org/officeDocument/2006/customXml" ds:itemID="{534F9A1D-BFE5-494F-A922-7C62EFB068ED}">
  <ds:schemaRefs/>
</ds:datastoreItem>
</file>

<file path=customXml/itemProps5.xml><?xml version="1.0" encoding="utf-8"?>
<ds:datastoreItem xmlns:ds="http://schemas.openxmlformats.org/officeDocument/2006/customXml" ds:itemID="{12E6C9B4-C406-4DBA-BDA9-CB28F7BA0F27}">
  <ds:schemaRefs/>
</ds:datastoreItem>
</file>

<file path=customXml/itemProps6.xml><?xml version="1.0" encoding="utf-8"?>
<ds:datastoreItem xmlns:ds="http://schemas.openxmlformats.org/officeDocument/2006/customXml" ds:itemID="{1EC8139C-0445-42B8-83DE-6C9E5DF257A4}">
  <ds:schemaRefs/>
</ds:datastoreItem>
</file>

<file path=customXml/itemProps7.xml><?xml version="1.0" encoding="utf-8"?>
<ds:datastoreItem xmlns:ds="http://schemas.openxmlformats.org/officeDocument/2006/customXml" ds:itemID="{B41D8EFD-3A32-4151-9111-9D1B3D59D808}">
  <ds:schemaRefs/>
</ds:datastoreItem>
</file>

<file path=customXml/itemProps8.xml><?xml version="1.0" encoding="utf-8"?>
<ds:datastoreItem xmlns:ds="http://schemas.openxmlformats.org/officeDocument/2006/customXml" ds:itemID="{6FACA953-6097-4604-A6ED-E95603AC46F9}">
  <ds:schemaRefs/>
</ds:datastoreItem>
</file>

<file path=customXml/itemProps9.xml><?xml version="1.0" encoding="utf-8"?>
<ds:datastoreItem xmlns:ds="http://schemas.openxmlformats.org/officeDocument/2006/customXml" ds:itemID="{4794A331-D7C0-48C9-A64A-2F708E40918C}">
  <ds:schemaRefs/>
</ds:datastoreItem>
</file>

<file path=customXml/itemProps10.xml><?xml version="1.0" encoding="utf-8"?>
<ds:datastoreItem xmlns:ds="http://schemas.openxmlformats.org/officeDocument/2006/customXml" ds:itemID="{24EFC8E0-F5AA-4930-AD6C-411769E6EED5}">
  <ds:schemaRefs/>
</ds:datastoreItem>
</file>

<file path=customXml/itemProps11.xml><?xml version="1.0" encoding="utf-8"?>
<ds:datastoreItem xmlns:ds="http://schemas.openxmlformats.org/officeDocument/2006/customXml" ds:itemID="{970D74BA-31C1-4589-8419-C43A52CE3BC7}">
  <ds:schemaRefs/>
</ds:datastoreItem>
</file>

<file path=customXml/itemProps12.xml><?xml version="1.0" encoding="utf-8"?>
<ds:datastoreItem xmlns:ds="http://schemas.openxmlformats.org/officeDocument/2006/customXml" ds:itemID="{54414082-E515-4251-B822-C9A98D18339A}">
  <ds:schemaRefs/>
</ds:datastoreItem>
</file>

<file path=customXml/itemProps13.xml><?xml version="1.0" encoding="utf-8"?>
<ds:datastoreItem xmlns:ds="http://schemas.openxmlformats.org/officeDocument/2006/customXml" ds:itemID="{0AF9AE0E-3BD4-4E99-AEF5-94B0341FFF37}">
  <ds:schemaRefs/>
</ds:datastoreItem>
</file>

<file path=customXml/itemProps14.xml><?xml version="1.0" encoding="utf-8"?>
<ds:datastoreItem xmlns:ds="http://schemas.openxmlformats.org/officeDocument/2006/customXml" ds:itemID="{A9F909EB-F002-45AB-894E-17267888885D}">
  <ds:schemaRefs/>
</ds:datastoreItem>
</file>

<file path=customXml/itemProps15.xml><?xml version="1.0" encoding="utf-8"?>
<ds:datastoreItem xmlns:ds="http://schemas.openxmlformats.org/officeDocument/2006/customXml" ds:itemID="{F4B64C65-FDE9-48C7-BFC1-1F5E0CA796BC}">
  <ds:schemaRefs/>
</ds:datastoreItem>
</file>

<file path=customXml/itemProps16.xml><?xml version="1.0" encoding="utf-8"?>
<ds:datastoreItem xmlns:ds="http://schemas.openxmlformats.org/officeDocument/2006/customXml" ds:itemID="{56977713-5519-4DDE-A98E-ED694EEEE002}">
  <ds:schemaRefs/>
</ds:datastoreItem>
</file>

<file path=customXml/itemProps17.xml><?xml version="1.0" encoding="utf-8"?>
<ds:datastoreItem xmlns:ds="http://schemas.openxmlformats.org/officeDocument/2006/customXml" ds:itemID="{EA8ECFC1-1041-46A5-AC72-47EFFDA40917}">
  <ds:schemaRefs/>
</ds:datastoreItem>
</file>

<file path=customXml/itemProps18.xml><?xml version="1.0" encoding="utf-8"?>
<ds:datastoreItem xmlns:ds="http://schemas.openxmlformats.org/officeDocument/2006/customXml" ds:itemID="{2F104506-0E2E-4D3E-B344-CE10980C0B1D}">
  <ds:schemaRefs/>
</ds:datastoreItem>
</file>

<file path=customXml/itemProps19.xml><?xml version="1.0" encoding="utf-8"?>
<ds:datastoreItem xmlns:ds="http://schemas.openxmlformats.org/officeDocument/2006/customXml" ds:itemID="{CCC2BFEA-1C63-45CB-998F-867C60539D8E}">
  <ds:schemaRefs/>
</ds:datastoreItem>
</file>

<file path=customXml/itemProps20.xml><?xml version="1.0" encoding="utf-8"?>
<ds:datastoreItem xmlns:ds="http://schemas.openxmlformats.org/officeDocument/2006/customXml" ds:itemID="{504DB1F8-1600-4022-BDB4-8099180D3EF9}">
  <ds:schemaRefs/>
</ds:datastoreItem>
</file>

<file path=customXml/itemProps21.xml><?xml version="1.0" encoding="utf-8"?>
<ds:datastoreItem xmlns:ds="http://schemas.openxmlformats.org/officeDocument/2006/customXml" ds:itemID="{340873D7-D046-4561-83BB-0AF814B7A895}">
  <ds:schemaRefs/>
</ds:datastoreItem>
</file>

<file path=customXml/itemProps22.xml><?xml version="1.0" encoding="utf-8"?>
<ds:datastoreItem xmlns:ds="http://schemas.openxmlformats.org/officeDocument/2006/customXml" ds:itemID="{EAAAD0B9-D380-40DE-B138-5E3E3F10337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2026-03-22T20:53:41Z</cp:lastPrinted>
  <dcterms:created xsi:type="dcterms:W3CDTF">2023-09-09T22:17:43Z</dcterms:created>
  <dcterms:modified xsi:type="dcterms:W3CDTF">2026-04-05T07:37:14Z</dcterms:modified>
</cp:coreProperties>
</file>