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CF936C8B-9FA0-4C03-A3B2-180C231F73AA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PAGOS!$A$2:$L$485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3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5" i="3" l="1"/>
  <c r="J125" i="3" s="1"/>
  <c r="L125" i="3"/>
  <c r="M125" i="3"/>
  <c r="M485" i="18"/>
  <c r="M484" i="18"/>
  <c r="M483" i="18"/>
  <c r="I124" i="3"/>
  <c r="J124" i="3"/>
  <c r="L124" i="3"/>
  <c r="M124" i="3"/>
  <c r="M482" i="18"/>
  <c r="M481" i="18"/>
  <c r="M480" i="18"/>
  <c r="M479" i="18"/>
  <c r="M478" i="18"/>
  <c r="M477" i="18"/>
  <c r="M476" i="18"/>
  <c r="M475" i="18"/>
  <c r="M474" i="18"/>
  <c r="M473" i="18"/>
  <c r="M472" i="18"/>
  <c r="M471" i="18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<sst xmlns="http://schemas.openxmlformats.org/spreadsheetml/2006/main" count="5829" uniqueCount="568">
  <si>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</si>
  <si>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</si>
  <si>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</si>
  <si>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</si>
  <si>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</si>
  <si>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</si>
  <si>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</si>
  <si>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</si>
  <si>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</si>
  <si>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</si>
  <si>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</si>
  <si>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</si>
  <si>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</si>
  <si>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</si>
  <si>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</si>
  <si>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</si>
  <si>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</si>
  <si>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</si>
  <si>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</si>
  <si>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</si>
  <si>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</si>
  <si>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</si>
  <si>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</si>
  <si>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</si>
  <si>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</si>
  <si>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</si>
  <si>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</si>
  <si>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</si>
  <si>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</si>
  <si>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</si>
  <si>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</si>
  <si>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</si>
  <si>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</si>
  <si>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</si>
  <si>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</si>
  <si>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</si>
  <si>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</si>
  <si>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</si>
  <si>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</si>
  <si>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</si>
  <si>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</si>
  <si>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</si>
  <si>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</si>
  <si>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</si>
  <si>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</si>
  <si>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</si>
  <si>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</si>
  <si>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</si>
  <si>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</si>
  <si>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</si>
  <si>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</si>
  <si>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</si>
  <si>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</si>
  <si>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</si>
  <si>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</si>
  <si>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</si>
  <si>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</si>
  <si>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</si>
  <si>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</si>
  <si>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</si>
  <si>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</si>
  <si>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</si>
  <si>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</si>
  <si>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</si>
  <si>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</si>
  <si>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</si>
  <si>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</si>
  <si>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</si>
  <si>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</si>
  <si>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</si>
  <si>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</si>
  <si>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</si>
  <si>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</si>
  <si>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</si>
  <si>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</si>
  <si>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</si>
  <si>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</si>
  <si>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</si>
  <si>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</si>
  <si>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</si>
  <si>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</si>
  <si>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</si>
  <si>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</si>
  <si>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</si>
  <si>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</si>
  <si>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</si>
  <si>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</si>
  <si>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</si>
  <si>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</si>
  <si>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</si>
  <si>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</si>
  <si>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</si>
  <si>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</si>
  <si>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</si>
  <si>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</si>
  <si>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</si>
  <si>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</si>
  <si>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</si>
  <si>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</si>
  <si>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</si>
  <si>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</si>
  <si>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</si>
  <si>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</si>
  <si>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</si>
  <si>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</si>
  <si>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</si>
  <si>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</si>
  <si>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</si>
  <si>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</si>
  <si>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</si>
  <si>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</si>
  <si>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</si>
  <si>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</si>
  <si>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</si>
  <si>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</si>
  <si>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</si>
  <si>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</si>
  <si>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</si>
  <si>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</si>
  <si>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</si>
  <si>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</si>
  <si>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</si>
  <si>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</si>
  <si>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</si>
  <si>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</si>
  <si>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</si>
  <si>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</si>
  <si>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</si>
  <si>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</si>
  <si>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</si>
  <si>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</si>
  <si>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</si>
  <si>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</si>
  <si>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</si>
  <si>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</si>
  <si>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</si>
  <si>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</si>
  <si>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</si>
  <si>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</si>
  <si>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</si>
  <si>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</si>
  <si>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</si>
  <si>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</si>
  <si>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</si>
  <si>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</si>
  <si>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</si>
  <si>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</si>
  <si>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</si>
  <si>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</si>
  <si>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</si>
  <si>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</si>
  <si>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</si>
  <si>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</si>
  <si>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</si>
  <si>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</si>
  <si>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</si>
  <si>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</si>
  <si>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</si>
  <si>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</si>
  <si>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</si>
  <si>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</si>
  <si>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</si>
  <si>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</si>
  <si>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</si>
  <si>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</si>
  <si>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</si>
  <si>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</si>
  <si>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</si>
  <si>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</si>
  <si>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</si>
  <si>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</si>
  <si>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</si>
  <si>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</si>
  <si>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</si>
  <si>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</si>
  <si>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</si>
  <si>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</si>
  <si>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</si>
  <si>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</si>
  <si>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</si>
  <si>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</si>
  <si>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</si>
  <si>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</si>
  <si>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</si>
  <si>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</si>
  <si>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</si>
  <si>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</si>
  <si>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</si>
  <si>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</si>
  <si>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</si>
  <si>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</si>
  <si>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</si>
  <si>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</si>
  <si>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</si>
  <si>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</si>
  <si>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</si>
  <si>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</si>
  <si>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</si>
  <si>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</si>
  <si>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</si>
  <si>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</si>
  <si>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</si>
  <si>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</si>
  <si>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</si>
  <si>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</si>
  <si>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</si>
  <si>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</si>
  <si>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</si>
  <si>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</si>
  <si>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</si>
  <si>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</si>
  <si>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</si>
  <si>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</si>
  <si>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</si>
  <si>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</si>
  <si>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</si>
  <si>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</si>
  <si>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</si>
  <si>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</si>
  <si>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</si>
  <si>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</si>
  <si>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</si>
  <si>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</si>
  <si>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</si>
  <si>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</si>
  <si>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</si>
  <si>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</si>
  <si>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</si>
  <si>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</si>
  <si>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</si>
  <si>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</si>
  <si>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</si>
  <si>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</si>
  <si>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</si>
  <si>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</si>
  <si>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</si>
  <si>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</si>
  <si>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</si>
  <si>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</si>
  <si>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</si>
  <si>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</si>
  <si>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</si>
  <si>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</si>
  <si>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</si>
  <si>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</si>
  <si>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</si>
  <si>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</si>
  <si>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</si>
  <si>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</si>
  <si>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</si>
  <si>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</si>
  <si>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</si>
  <si>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</si>
  <si>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</si>
  <si>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</si>
  <si>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</si>
  <si>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</si>
  <si>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</si>
  <si>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</si>
  <si>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</si>
  <si>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</si>
  <si>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</si>
  <si>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</si>
  <si>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</si>
  <si>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</si>
  <si>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</si>
  <si>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</si>
  <si>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</si>
  <si>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</si>
  <si>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</si>
  <si>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</si>
  <si>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</si>
  <si>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</si>
  <si>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</si>
  <si>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</si>
  <si>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</si>
  <si>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</si>
  <si>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</si>
  <si>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</si>
  <si>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</si>
  <si>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</si>
  <si>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</si>
  <si>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</si>
  <si>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</si>
  <si>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</si>
  <si>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</si>
  <si>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</si>
  <si>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</si>
  <si>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</si>
  <si>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</si>
  <si>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</si>
  <si>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</si>
  <si>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</si>
  <si>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</si>
  <si>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</si>
  <si>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</si>
  <si>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</si>
  <si>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</si>
  <si>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</si>
  <si>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</si>
  <si>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</si>
  <si>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</si>
  <si>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</si>
  <si>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</si>
  <si>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</si>
  <si>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</si>
  <si>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</si>
  <si>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</si>
  <si>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</si>
  <si>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</si>
  <si>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</si>
  <si>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</si>
  <si>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</si>
  <si>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</si>
  <si>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</si>
  <si>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</si>
  <si>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</si>
  <si>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</si>
  <si>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</si>
  <si>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</si>
  <si>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</si>
  <si>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</si>
  <si>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</si>
  <si>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</si>
  <si>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</si>
  <si>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</si>
  <si>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</si>
  <si>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</si>
  <si>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</si>
  <si>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</si>
  <si>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</si>
  <si>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</si>
  <si>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</si>
  <si>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</si>
  <si>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</si>
  <si>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</si>
  <si>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</si>
  <si>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</si>
  <si>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</si>
  <si>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</si>
  <si>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</si>
  <si>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</si>
  <si>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</si>
  <si>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</si>
  <si>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</si>
  <si>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</si>
  <si>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</si>
  <si>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</si>
  <si>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</si>
  <si>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</si>
  <si>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</si>
  <si>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</si>
  <si>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</si>
  <si>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</si>
  <si>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</si>
  <si>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</si>
  <si>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</si>
  <si>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</si>
  <si>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</si>
  <si>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</si>
  <si>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</si>
  <si>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</si>
  <si>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</si>
  <si>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</si>
  <si>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</si>
  <si>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</si>
  <si>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</si>
  <si>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</si>
  <si>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</si>
  <si>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</si>
  <si>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</si>
  <si>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</si>
  <si>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</si>
  <si>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</si>
  <si>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</si>
  <si>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</si>
  <si>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</si>
  <si>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</si>
  <si>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</si>
  <si>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</si>
  <si>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</si>
  <si>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</si>
  <si>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</si>
  <si>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</si>
  <si>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</si>
  <si>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</si>
  <si>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</si>
  <si>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</si>
  <si>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</si>
  <si>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</si>
  <si>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</si>
  <si>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</si>
  <si>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</si>
  <si>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</si>
  <si>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</si>
  <si>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</si>
  <si>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</si>
  <si>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</si>
  <si>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</si>
  <si>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</si>
  <si>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</si>
  <si>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</si>
  <si>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</si>
  <si>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</si>
  <si>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</si>
  <si>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</si>
  <si>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</si>
  <si>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</si>
  <si>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</si>
  <si>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</si>
  <si>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</si>
  <si>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</si>
  <si>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</si>
  <si>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</si>
  <si>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</si>
  <si>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</si>
  <si>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</si>
  <si>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</si>
  <si>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</si>
  <si>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</si>
  <si>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</si>
  <si>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</si>
  <si>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</si>
  <si>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</si>
  <si>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</si>
  <si>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</si>
  <si>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</si>
  <si>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</si>
  <si>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</si>
  <si>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</si>
  <si>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</si>
  <si>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</si>
  <si>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</si>
  <si>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</si>
  <si>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</si>
  <si>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</si>
  <si>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</si>
  <si>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</si>
  <si>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</si>
  <si>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</si>
  <si>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</si>
  <si>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</si>
  <si>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</si>
  <si>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</si>
  <si>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</si>
  <si>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</si>
  <si>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</si>
  <si>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</si>
  <si>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</si>
  <si>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</si>
  <si>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</si>
  <si>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</si>
  <si>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</si>
  <si>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</si>
  <si>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</si>
  <si>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</si>
  <si>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</si>
  <si>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</si>
  <si>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</si>
  <si>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</si>
  <si>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</si>
  <si>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</si>
  <si>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</si>
  <si>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</si>
  <si>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</si>
  <si>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</si>
  <si>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</si>
  <si>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</si>
  <si>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</si>
  <si>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</si>
  <si>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</si>
  <si>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</si>
  <si>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</si>
  <si>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</si>
  <si>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</si>
  <si>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</si>
  <si>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</si>
  <si>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</si>
  <si>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</si>
  <si>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</si>
  <si>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</si>
  <si>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</si>
  <si>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</si>
  <si>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</si>
  <si>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</si>
  <si>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</si>
  <si>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</si>
  <si>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</si>
  <si>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</si>
  <si>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</si>
  <si>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</si>
  <si>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</si>
  <si>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</si>
  <si>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</si>
  <si>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</si>
  <si>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</si>
  <si>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</si>
  <si>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</si>
  <si>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</si>
  <si>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</si>
  <si>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</si>
  <si>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</si>
  <si>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</si>
  <si>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</si>
  <si>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</si>
  <si>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</si>
  <si>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</si>
  <si>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</si>
  <si>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</si>
  <si>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</si>
  <si>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</si>
  <si>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</si>
  <si>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</si>
  <si>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</si>
  <si>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</si>
  <si>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</si>
  <si>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</si>
  <si>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</si>
  <si>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</si>
  <si>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</si>
  <si>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</si>
  <si>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</si>
  <si>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</si>
  <si>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INGRESO POR INTERES POR NOMINA</t>
  </si>
  <si>
    <t>EDITABLE MAYRA REPONER 140$</t>
  </si>
  <si>
    <t>PREST114</t>
  </si>
  <si>
    <t>PREST115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</si>
  <si>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</si>
  <si>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</si>
  <si>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</si>
  <si>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</si>
  <si>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</si>
  <si>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</si>
  <si>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</si>
  <si>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</si>
  <si>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</si>
  <si>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</si>
  <si>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</si>
  <si>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</si>
  <si>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</si>
  <si>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</si>
  <si>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</si>
  <si>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</si>
  <si>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</si>
  <si>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</si>
  <si>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</si>
  <si>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</si>
  <si>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</si>
  <si>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</si>
  <si>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</si>
  <si>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</si>
  <si>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</si>
  <si>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</si>
  <si>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</si>
  <si>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</si>
  <si>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</si>
  <si>
    <t>PREST122</t>
  </si>
  <si>
    <t>PAGO CON TRANSFERENCIA</t>
  </si>
  <si>
    <t>PAGO DE LA LETRA #4 PAGO CON TRANSFERENCIA</t>
  </si>
  <si>
    <t>PAGO DE LA LETRA #2 50 EN TRANSFERENCIA</t>
  </si>
  <si>
    <t>INTERES POR NOMINA</t>
  </si>
  <si>
    <t>AMORTIZACION FAMILIAR - PRESTAMO PAGO DE LETRAS MENSUALES (REPRESTAMO)</t>
  </si>
  <si>
    <t>PAGO DE LA LETRA #1 CON REEPRESTAMO</t>
  </si>
  <si>
    <t>GASTO PARA LA FANESCA DE LOS SOCIOS</t>
  </si>
  <si>
    <t>AMORTIZACION FAMILIAR - PAGOS MENSUALES USO PARA FIESTAS DEL BARRIO</t>
  </si>
  <si>
    <t>PREST123</t>
  </si>
  <si>
    <t>EDITABLE</t>
  </si>
  <si>
    <t xml:space="preserve">MAYRA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</si>
</sst>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  <numFmt numFmtId="188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188" fontId="0" fillId="2" borderId="1" xfId="0" applyNumberFormat="1" applyFill="1" applyBorder="1" applyAlignment="1">
      <alignment horizontal="right"/>
    </xf>
    <xf numFmtId="188" fontId="2" fillId="2" borderId="1" xfId="0" applyNumberFormat="1" applyFont="1" applyFill="1" applyBorder="1" applyAlignment="1">
      <alignment horizontal="left"/>
    </xf>
    <xf numFmtId="184" fontId="0" fillId="0" borderId="1" xfId="0" applyNumberFormat="1" applyBorder="1" applyAlignment="1">
      <alignment horizontal="right"/>
    </xf>
    <xf numFmtId="188" fontId="0" fillId="2" borderId="1" xfId="0" applyNumberFormat="1" applyFill="1" applyBorder="1" applyAlignment="1">
      <alignment horizontal="right" wrapText="1"/>
    </xf>
    <xf numFmtId="188" fontId="0" fillId="0" borderId="37" xfId="0" applyNumberFormat="1" applyBorder="1"/>
    <xf numFmtId="188" fontId="0" fillId="0" borderId="1" xfId="0" applyNumberFormat="1" applyBorder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0" fillId="0" borderId="0" xfId="0" pivotButton="1" applyProtection="1"/>
    <xf numFmtId="0" fontId="0" fillId="0" borderId="0" xfId="0" applyProtection="1"/>
    <xf numFmtId="0" fontId="0" fillId="0" borderId="49" xfId="0" applyBorder="1" applyProtection="1"/>
    <xf numFmtId="0" fontId="0" fillId="0" borderId="49" xfId="0" applyNumberFormat="1" applyBorder="1" applyProtection="1"/>
    <xf numFmtId="0" fontId="0" fillId="0" borderId="0" xfId="0" applyNumberFormat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7.950997453707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3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30" totalsRowShown="0" headerRowDxfId="98" headerRowBorderDxfId="97" tableBorderDxfId="96" totalsRowBorderDxfId="95">
  <autoFilter ref="F4:K630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5" totalsRowShown="0" headerRowDxfId="85" dataDxfId="84" tableBorderDxfId="83">
  <autoFilter ref="A2:M125" xr:uid="{1EF07585-15E8-4C19-B5D8-0E7A84F4DBB0}"/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85" totalsRowShown="0" headerRowDxfId="69" dataDxfId="68" tableBorderDxfId="67">
  <autoFilter ref="A2:M485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6" totalsRowShown="0" headerRowDxfId="53" headerRowBorderDxfId="52" tableBorderDxfId="51" totalsRowBorderDxfId="50">
  <autoFilter ref="A1:D46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23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30"/>
  <sheetViews>
    <sheetView workbookViewId="0">
      <pane xSplit="5" ySplit="4" topLeftCell="F602" activePane="bottomRight" state="frozen"/>
      <selection pane="topRight" activeCell="F1" sqref="F1"/>
      <selection pane="bottomLeft" activeCell="A5" sqref="A5"/>
      <selection pane="bottomRight" activeCell="H617" sqref="H617:H630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490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490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490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490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490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490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490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490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490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490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490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490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490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490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7800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  <row r="617" spans="6:11" x14ac:dyDescent="0.3">
      <c r="F617" s="246">
        <v>613</v>
      </c>
      <c r="G617" s="370">
        <v>46127</v>
      </c>
      <c r="H617" s="3">
        <v>20</v>
      </c>
      <c r="I617" s="195">
        <v>3</v>
      </c>
      <c r="J617" s="181" t="s">
        <v>13</v>
      </c>
      <c r="K617" s="185" t="s">
        <v>167</v>
      </c>
    </row>
    <row r="618" spans="6:11" x14ac:dyDescent="0.3">
      <c r="F618" s="246">
        <v>614</v>
      </c>
      <c r="G618" s="370">
        <v>46127</v>
      </c>
      <c r="H618" s="3">
        <v>20</v>
      </c>
      <c r="I618" s="195">
        <v>11</v>
      </c>
      <c r="J618" s="181" t="s">
        <v>19</v>
      </c>
      <c r="K618" s="185" t="s">
        <v>167</v>
      </c>
    </row>
    <row r="619" spans="6:11" x14ac:dyDescent="0.3">
      <c r="F619" s="246">
        <v>615</v>
      </c>
      <c r="G619" s="370">
        <v>46127</v>
      </c>
      <c r="H619" s="3">
        <v>20</v>
      </c>
      <c r="I619" s="195">
        <v>4</v>
      </c>
      <c r="J619" s="181" t="s">
        <v>12</v>
      </c>
      <c r="K619" s="185" t="s">
        <v>167</v>
      </c>
    </row>
    <row r="620" spans="6:11" x14ac:dyDescent="0.3">
      <c r="F620" s="246">
        <v>616</v>
      </c>
      <c r="G620" s="370">
        <v>46127</v>
      </c>
      <c r="H620" s="3">
        <v>20</v>
      </c>
      <c r="I620" s="195">
        <v>5</v>
      </c>
      <c r="J620" s="181" t="s">
        <v>14</v>
      </c>
      <c r="K620" s="185" t="s">
        <v>167</v>
      </c>
    </row>
    <row r="621" spans="6:11" x14ac:dyDescent="0.3">
      <c r="F621" s="246">
        <v>617</v>
      </c>
      <c r="G621" s="370">
        <v>46127</v>
      </c>
      <c r="H621" s="3">
        <v>20</v>
      </c>
      <c r="I621" s="195">
        <v>6</v>
      </c>
      <c r="J621" s="181" t="s">
        <v>24</v>
      </c>
      <c r="K621" s="185"/>
    </row>
    <row r="622" spans="6:11" x14ac:dyDescent="0.3">
      <c r="F622" s="246">
        <v>618</v>
      </c>
      <c r="G622" s="370">
        <v>46127</v>
      </c>
      <c r="H622" s="3">
        <v>20</v>
      </c>
      <c r="I622" s="195">
        <v>7</v>
      </c>
      <c r="J622" s="181" t="s">
        <v>355</v>
      </c>
      <c r="K622" s="185" t="s">
        <v>167</v>
      </c>
    </row>
    <row r="623" spans="6:11" x14ac:dyDescent="0.3">
      <c r="F623" s="246">
        <v>619</v>
      </c>
      <c r="G623" s="370">
        <v>46127</v>
      </c>
      <c r="H623" s="3">
        <v>20</v>
      </c>
      <c r="I623" s="195">
        <v>8</v>
      </c>
      <c r="J623" s="181" t="s">
        <v>356</v>
      </c>
      <c r="K623" s="185" t="s">
        <v>167</v>
      </c>
    </row>
    <row r="624" spans="6:11" x14ac:dyDescent="0.3">
      <c r="F624" s="246">
        <v>620</v>
      </c>
      <c r="G624" s="370">
        <v>46127</v>
      </c>
      <c r="H624" s="3">
        <v>20</v>
      </c>
      <c r="I624" s="195">
        <v>16</v>
      </c>
      <c r="J624" s="181" t="s">
        <v>23</v>
      </c>
      <c r="K624" s="185" t="s">
        <v>167</v>
      </c>
    </row>
    <row r="625" spans="6:11" x14ac:dyDescent="0.3">
      <c r="F625" s="246">
        <v>621</v>
      </c>
      <c r="G625" s="370">
        <v>46127</v>
      </c>
      <c r="H625" s="3">
        <v>20</v>
      </c>
      <c r="I625" s="195">
        <v>12</v>
      </c>
      <c r="J625" s="181" t="s">
        <v>20</v>
      </c>
      <c r="K625" s="185" t="s">
        <v>167</v>
      </c>
    </row>
    <row r="626" spans="6:11" x14ac:dyDescent="0.3">
      <c r="F626" s="246">
        <v>622</v>
      </c>
      <c r="G626" s="370">
        <v>46127</v>
      </c>
      <c r="H626" s="3">
        <v>20</v>
      </c>
      <c r="I626" s="195">
        <v>13</v>
      </c>
      <c r="J626" s="181" t="s">
        <v>301</v>
      </c>
      <c r="K626" s="185" t="s">
        <v>167</v>
      </c>
    </row>
    <row r="627" spans="6:11" x14ac:dyDescent="0.3">
      <c r="F627" s="246">
        <v>623</v>
      </c>
      <c r="G627" s="370">
        <v>46127</v>
      </c>
      <c r="H627" s="3">
        <v>20</v>
      </c>
      <c r="I627" s="195">
        <v>14</v>
      </c>
      <c r="J627" s="181" t="s">
        <v>21</v>
      </c>
      <c r="K627" s="185" t="s">
        <v>557</v>
      </c>
    </row>
    <row r="628" spans="6:11" x14ac:dyDescent="0.3">
      <c r="F628" s="246">
        <v>624</v>
      </c>
      <c r="G628" s="370">
        <v>46127</v>
      </c>
      <c r="H628" s="3">
        <v>20</v>
      </c>
      <c r="I628" s="195">
        <v>15</v>
      </c>
      <c r="J628" s="181" t="s">
        <v>22</v>
      </c>
      <c r="K628" s="185" t="s">
        <v>557</v>
      </c>
    </row>
    <row r="629" spans="6:11" x14ac:dyDescent="0.3">
      <c r="F629" s="246">
        <v>625</v>
      </c>
      <c r="G629" s="370">
        <v>46127</v>
      </c>
      <c r="H629" s="3">
        <v>20</v>
      </c>
      <c r="I629" s="195">
        <v>17</v>
      </c>
      <c r="J629" s="181" t="s">
        <v>299</v>
      </c>
      <c r="K629" s="185" t="s">
        <v>167</v>
      </c>
    </row>
    <row r="630" spans="6:11" x14ac:dyDescent="0.3">
      <c r="F630" s="246">
        <v>626</v>
      </c>
      <c r="G630" s="370">
        <v>46127</v>
      </c>
      <c r="H630" s="3">
        <v>20</v>
      </c>
      <c r="I630" s="195">
        <v>18</v>
      </c>
      <c r="J630" s="181" t="s">
        <v>300</v>
      </c>
      <c r="K630" s="185" t="s">
        <v>167</v>
      </c>
    </row>
  </sheetData>
  <sheetProtection algorithmName="SHA-512" hashValue="92a4gfv1EIrGLVDmLEB86KGZ2QMv7JtHQ7VcZ5Ge2nrupJaZJBpxpdsNyTF+tjgQlMvT+7R3tpwTdzCWOoIWHw==" saltValue="ZLpj/RU+4Sv+eNkq/SQrE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1" t="s">
        <v>38</v>
      </c>
      <c r="C2" s="382"/>
      <c r="D2" s="382"/>
      <c r="E2" s="382"/>
      <c r="F2" s="382"/>
      <c r="G2" s="382"/>
      <c r="H2" s="383"/>
      <c r="I2" s="205"/>
      <c r="J2" s="384" t="s">
        <v>39</v>
      </c>
      <c r="K2" s="385"/>
      <c r="L2" s="385"/>
      <c r="M2" s="385"/>
      <c r="N2" s="385"/>
      <c r="O2" s="385"/>
      <c r="P2" s="385"/>
      <c r="Q2" s="386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46127</v>
      </c>
      <c r="F12" s="207"/>
      <c r="G12" s="207"/>
      <c r="H12" s="208"/>
      <c r="J12" s="206"/>
      <c r="K12" s="30"/>
      <c r="L12" s="207"/>
      <c r="M12" s="15">
        <f ca="1">+TODAY()</f>
        <v>46127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46127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7"/>
      <c r="D20" s="388"/>
      <c r="E20" s="389"/>
      <c r="F20" s="206"/>
      <c r="G20" s="207"/>
      <c r="H20" s="208"/>
      <c r="J20" s="206"/>
      <c r="K20" s="393"/>
      <c r="L20" s="394"/>
      <c r="M20" s="394"/>
      <c r="N20" s="394"/>
      <c r="O20" s="395"/>
      <c r="P20" s="206"/>
      <c r="Q20" s="208"/>
    </row>
    <row r="21" spans="2:17" ht="15" thickBot="1" x14ac:dyDescent="0.35">
      <c r="B21" s="206"/>
      <c r="C21" s="390"/>
      <c r="D21" s="391"/>
      <c r="E21" s="392"/>
      <c r="F21" s="206"/>
      <c r="G21" s="207"/>
      <c r="H21" s="208"/>
      <c r="J21" s="206"/>
      <c r="K21" s="396"/>
      <c r="L21" s="397"/>
      <c r="M21" s="397"/>
      <c r="N21" s="397"/>
      <c r="O21" s="398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5"/>
  <sheetViews>
    <sheetView workbookViewId="0">
      <pane ySplit="2" topLeftCell="A10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399" t="s">
        <v>44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528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6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529</v>
      </c>
      <c r="C8" s="43">
        <v>12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115-DIEGO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116-DANNY ALMACHI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119-JEFFERSON TOAQUIZA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120-JEFFERSON TOAQUIZA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121-JEFFERSON TOAQUIZA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122-MARCIAL CHILIQUINGA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123-DIANA TOAQUIZA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/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529</v>
      </c>
      <c r="C45" s="43">
        <v>14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529</v>
      </c>
      <c r="C55" s="43">
        <v>4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529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529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529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ht="28.8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527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24" spans="1:13" ht="28.8" x14ac:dyDescent="0.3">
      <c r="A124" s="50">
        <v>122</v>
      </c>
      <c r="B124" s="371" t="s">
        <v>44</v>
      </c>
      <c r="C124" s="35">
        <v>10</v>
      </c>
      <c r="D124" s="36" t="s">
        <v>18</v>
      </c>
      <c r="E124" s="37">
        <v>500</v>
      </c>
      <c r="F124" s="372">
        <v>46127</v>
      </c>
      <c r="G124" s="55">
        <v>5</v>
      </c>
      <c r="H124" s="56">
        <v>0.02</v>
      </c>
      <c r="I124" s="40">
        <f>+PRESTAMOS[[#This Row],[MONTO AMORTIZACION]]*PRESTAMOS[[#This Row],[INTERES]]*PRESTAMOS[[#This Row],[CUOTAS]]</f>
        <v>50</v>
      </c>
      <c r="J124" s="40">
        <f>+PRESTAMOS[[#This Row],[MONTO AMORTIZACION]]+PRESTAMOS[[#This Row],[T. INT]]</f>
        <v>550</v>
      </c>
      <c r="K124" s="223" t="s">
        <v>561</v>
      </c>
      <c r="L1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4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25" spans="1:13" ht="28.8" x14ac:dyDescent="0.3">
      <c r="A125" s="50">
        <v>123</v>
      </c>
      <c r="B125" s="371" t="s">
        <v>44</v>
      </c>
      <c r="C125" s="35">
        <v>17</v>
      </c>
      <c r="D125" s="36" t="s">
        <v>299</v>
      </c>
      <c r="E125" s="37">
        <v>1600</v>
      </c>
      <c r="F125" s="372">
        <v>46127</v>
      </c>
      <c r="G125" s="55">
        <v>5</v>
      </c>
      <c r="H125" s="56">
        <v>0.02</v>
      </c>
      <c r="I125" s="40">
        <f>+PRESTAMOS[[#This Row],[MONTO AMORTIZACION]]*PRESTAMOS[[#This Row],[INTERES]]*PRESTAMOS[[#This Row],[CUOTAS]]</f>
        <v>160</v>
      </c>
      <c r="J125" s="40">
        <f>+PRESTAMOS[[#This Row],[MONTO AMORTIZACION]]+PRESTAMOS[[#This Row],[T. INT]]</f>
        <v>1760</v>
      </c>
      <c r="K125" s="223" t="s">
        <v>564</v>
      </c>
      <c r="L1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5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</sheetData>
  <sheetProtection algorithmName="SHA-512" hashValue="pnjluNGR75bvB1KGoNqIlK+Qf4bgY7XfujMevnuVD05qZFrq40SKMjx1LW7cSnKK9lyFokTbWFiX+7ociDyfTw==" saltValue="o51tQc+NP7+Ou/dgRdIOTA==" spinCount="100000" sheet="1" objects="1" scenarios="1"/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87"/>
  <sheetViews>
    <sheetView zoomScaleNormal="102" workbookViewId="0">
      <pane ySplit="2" topLeftCell="A178" activePane="bottomLeft" state="frozen"/>
      <selection pane="bottomLeft" activeCell="G2" sqref="G2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400" t="s">
        <v>39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</row>
    <row r="2" spans="1:13" ht="28.8" x14ac:dyDescent="0.3">
      <c r="A2" s="280" t="s">
        <v>68</v>
      </c>
      <c r="B2" s="280" t="s">
        <v>528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532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532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532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532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532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532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532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530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532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532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532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532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532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532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532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532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532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532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532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532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532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532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532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532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532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532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532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532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532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532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532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532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532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532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532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532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532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532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532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532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532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532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532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532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532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532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532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532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532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532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532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532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532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532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531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532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532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532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532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532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532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532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532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532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532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532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532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532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532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532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532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532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532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532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532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532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532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532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532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532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530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532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532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532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532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532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532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532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531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532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532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532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532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532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532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532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532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532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532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532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532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532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532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532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530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530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532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532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531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532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532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532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532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532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532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532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532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532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532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532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532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532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532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532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532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532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532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532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532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532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532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530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532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531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532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532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532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532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532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532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532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532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532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532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532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532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532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532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532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532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532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532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532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532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532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532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532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532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532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532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532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532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532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532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532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532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532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532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532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532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531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531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532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532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532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532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532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532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532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532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532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530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530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532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531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532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532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532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532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532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532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532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532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532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532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530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530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530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530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530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530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530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530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532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532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531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532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531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532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532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532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532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532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532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532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532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532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532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532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530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530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532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532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531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532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531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532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531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532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532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531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532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532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532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532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532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532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532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532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532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532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532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532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532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532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532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532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532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532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532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532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532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532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532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532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530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532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532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532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532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532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532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532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532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532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532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532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532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532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532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531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532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532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532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532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532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532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532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531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532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532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532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532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532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532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532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532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531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531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532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532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532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532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532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532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532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532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532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532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532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532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532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532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532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532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532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532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532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532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532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532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532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532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532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532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532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532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532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532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532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532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532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532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532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532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532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530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532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532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532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532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532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532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532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532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532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531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532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531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532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532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531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532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532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532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532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530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532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532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532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532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532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532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532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532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532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532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532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532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531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532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532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532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532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530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532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532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532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532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532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532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532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532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532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532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532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532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532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532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532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532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531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531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532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532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532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532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532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532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532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532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532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531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532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532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531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532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531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530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532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532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532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532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532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532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532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532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532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532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532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531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532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532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532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532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532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532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532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532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532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532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532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532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532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531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530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531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532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532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532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532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532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532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532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532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532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532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532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532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532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532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532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531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532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531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532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532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532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532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532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532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532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532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532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532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532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532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532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532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530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523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530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523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530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523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530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523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530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523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530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523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532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50">
        <v>467</v>
      </c>
      <c r="B469" s="281" t="s">
        <v>531</v>
      </c>
      <c r="C469" s="52">
        <v>2</v>
      </c>
      <c r="D469" s="50" t="s">
        <v>71</v>
      </c>
      <c r="E469" s="203">
        <v>0</v>
      </c>
      <c r="F469" s="33">
        <v>31</v>
      </c>
      <c r="G469" s="51">
        <v>46115</v>
      </c>
      <c r="H469" s="363" t="s">
        <v>491</v>
      </c>
      <c r="I469" s="33">
        <v>0</v>
      </c>
      <c r="J469" s="51">
        <v>46115</v>
      </c>
      <c r="K469" s="367" t="s">
        <v>491</v>
      </c>
      <c r="L469" s="36" t="s">
        <v>535</v>
      </c>
      <c r="M469" s="228" t="b">
        <f>+ISNUMBER(PAGOS[[#This Row],[REG]])</f>
        <v>1</v>
      </c>
    </row>
    <row r="470" spans="1:13" x14ac:dyDescent="0.3">
      <c r="A470" s="50">
        <v>468</v>
      </c>
      <c r="B470" s="281" t="s">
        <v>532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534</v>
      </c>
      <c r="M470" s="228" t="b">
        <f>+ISNUMBER(PAGOS[[#This Row],[REG]])</f>
        <v>1</v>
      </c>
    </row>
    <row r="471" spans="1:13" x14ac:dyDescent="0.3">
      <c r="A471" s="50">
        <v>469</v>
      </c>
      <c r="B471" s="281" t="s">
        <v>532</v>
      </c>
      <c r="C471" s="52">
        <v>16</v>
      </c>
      <c r="D471" s="50" t="s">
        <v>23</v>
      </c>
      <c r="E471" s="203">
        <v>114</v>
      </c>
      <c r="F471" s="33">
        <v>200</v>
      </c>
      <c r="G471" s="369">
        <v>46124</v>
      </c>
      <c r="H471" s="363">
        <v>2</v>
      </c>
      <c r="I471" s="33">
        <v>8</v>
      </c>
      <c r="J471" s="369">
        <v>46124</v>
      </c>
      <c r="K471" s="367">
        <v>2</v>
      </c>
      <c r="L471" s="36" t="s">
        <v>534</v>
      </c>
      <c r="M471" s="228" t="b">
        <f>+ISNUMBER(PAGOS[[#This Row],[REG]])</f>
        <v>1</v>
      </c>
    </row>
    <row r="472" spans="1:13" x14ac:dyDescent="0.3">
      <c r="A472" s="50">
        <v>470</v>
      </c>
      <c r="B472" s="281" t="s">
        <v>532</v>
      </c>
      <c r="C472" s="52">
        <v>6</v>
      </c>
      <c r="D472" s="50" t="s">
        <v>24</v>
      </c>
      <c r="E472" s="203">
        <v>83</v>
      </c>
      <c r="F472" s="33">
        <v>100</v>
      </c>
      <c r="G472" s="369">
        <v>46127</v>
      </c>
      <c r="H472" s="363">
        <v>8</v>
      </c>
      <c r="I472" s="33">
        <v>24</v>
      </c>
      <c r="J472" s="369">
        <v>46127</v>
      </c>
      <c r="K472" s="367">
        <v>8</v>
      </c>
      <c r="L472" s="36" t="s">
        <v>376</v>
      </c>
      <c r="M472" s="228" t="b">
        <f>+ISNUMBER(PAGOS[[#This Row],[REG]])</f>
        <v>1</v>
      </c>
    </row>
    <row r="473" spans="1:13" x14ac:dyDescent="0.3">
      <c r="A473" s="50">
        <v>471</v>
      </c>
      <c r="B473" s="281" t="s">
        <v>532</v>
      </c>
      <c r="C473" s="52">
        <v>11</v>
      </c>
      <c r="D473" s="50" t="s">
        <v>19</v>
      </c>
      <c r="E473" s="203">
        <v>104</v>
      </c>
      <c r="F473" s="33">
        <v>33.33</v>
      </c>
      <c r="G473" s="369">
        <v>46127</v>
      </c>
      <c r="H473" s="363">
        <v>5</v>
      </c>
      <c r="I473" s="33">
        <v>4</v>
      </c>
      <c r="J473" s="369">
        <v>46127</v>
      </c>
      <c r="K473" s="367">
        <v>5</v>
      </c>
      <c r="L473" s="36" t="s">
        <v>436</v>
      </c>
      <c r="M473" s="228" t="b">
        <f>+ISNUMBER(PAGOS[[#This Row],[REG]])</f>
        <v>1</v>
      </c>
    </row>
    <row r="474" spans="1:13" x14ac:dyDescent="0.3">
      <c r="A474" s="50">
        <v>472</v>
      </c>
      <c r="B474" s="281" t="s">
        <v>532</v>
      </c>
      <c r="C474" s="52">
        <v>14</v>
      </c>
      <c r="D474" s="50" t="s">
        <v>21</v>
      </c>
      <c r="E474" s="203">
        <v>106</v>
      </c>
      <c r="F474" s="33">
        <v>111.11</v>
      </c>
      <c r="G474" s="369">
        <v>46127</v>
      </c>
      <c r="H474" s="363">
        <v>4</v>
      </c>
      <c r="I474" s="33">
        <v>40</v>
      </c>
      <c r="J474" s="369">
        <v>46127</v>
      </c>
      <c r="K474" s="367">
        <v>4</v>
      </c>
      <c r="L474" s="36" t="s">
        <v>558</v>
      </c>
      <c r="M474" s="228" t="b">
        <f>+ISNUMBER(PAGOS[[#This Row],[REG]])</f>
        <v>1</v>
      </c>
    </row>
    <row r="475" spans="1:13" x14ac:dyDescent="0.3">
      <c r="A475" s="50">
        <v>473</v>
      </c>
      <c r="B475" s="281" t="s">
        <v>532</v>
      </c>
      <c r="C475" s="52">
        <v>5</v>
      </c>
      <c r="D475" s="50" t="s">
        <v>14</v>
      </c>
      <c r="E475" s="203">
        <v>110</v>
      </c>
      <c r="F475" s="33">
        <v>100</v>
      </c>
      <c r="G475" s="369">
        <v>46127</v>
      </c>
      <c r="H475" s="363">
        <v>3</v>
      </c>
      <c r="I475" s="33">
        <v>24</v>
      </c>
      <c r="J475" s="369">
        <v>46127</v>
      </c>
      <c r="K475" s="367">
        <v>3</v>
      </c>
      <c r="L475" s="36" t="s">
        <v>379</v>
      </c>
      <c r="M475" s="228" t="b">
        <f>+ISNUMBER(PAGOS[[#This Row],[REG]])</f>
        <v>1</v>
      </c>
    </row>
    <row r="476" spans="1:13" x14ac:dyDescent="0.3">
      <c r="A476" s="50">
        <v>474</v>
      </c>
      <c r="B476" s="281" t="s">
        <v>532</v>
      </c>
      <c r="C476" s="52">
        <v>6</v>
      </c>
      <c r="D476" s="50" t="s">
        <v>24</v>
      </c>
      <c r="E476" s="203">
        <v>116</v>
      </c>
      <c r="F476" s="33">
        <v>60</v>
      </c>
      <c r="G476" s="369">
        <v>46127</v>
      </c>
      <c r="H476" s="363">
        <v>2</v>
      </c>
      <c r="I476" s="33">
        <v>12</v>
      </c>
      <c r="J476" s="369">
        <v>46127</v>
      </c>
      <c r="K476" s="367">
        <v>2</v>
      </c>
      <c r="L476" s="36" t="s">
        <v>559</v>
      </c>
      <c r="M476" s="228" t="b">
        <f>+ISNUMBER(PAGOS[[#This Row],[REG]])</f>
        <v>1</v>
      </c>
    </row>
    <row r="477" spans="1:13" x14ac:dyDescent="0.3">
      <c r="A477" s="50">
        <v>475</v>
      </c>
      <c r="B477" s="281" t="s">
        <v>530</v>
      </c>
      <c r="C477" s="52">
        <v>1</v>
      </c>
      <c r="D477" s="50" t="s">
        <v>13</v>
      </c>
      <c r="E477" s="203">
        <v>0</v>
      </c>
      <c r="F477" s="33">
        <v>0</v>
      </c>
      <c r="G477" s="369">
        <v>46127</v>
      </c>
      <c r="H477" s="363" t="s">
        <v>490</v>
      </c>
      <c r="I477" s="33">
        <v>4</v>
      </c>
      <c r="J477" s="369">
        <v>46127</v>
      </c>
      <c r="K477" s="367" t="s">
        <v>490</v>
      </c>
      <c r="L477" s="36" t="s">
        <v>560</v>
      </c>
      <c r="M477" s="228" t="b">
        <f>+ISNUMBER(PAGOS[[#This Row],[REG]])</f>
        <v>1</v>
      </c>
    </row>
    <row r="478" spans="1:13" x14ac:dyDescent="0.3">
      <c r="A478" s="50">
        <v>476</v>
      </c>
      <c r="B478" s="281" t="s">
        <v>530</v>
      </c>
      <c r="C478" s="52">
        <v>1</v>
      </c>
      <c r="D478" s="50" t="s">
        <v>299</v>
      </c>
      <c r="E478" s="203">
        <v>0</v>
      </c>
      <c r="F478" s="33">
        <v>0</v>
      </c>
      <c r="G478" s="369">
        <v>46127</v>
      </c>
      <c r="H478" s="363" t="s">
        <v>490</v>
      </c>
      <c r="I478" s="33">
        <v>4</v>
      </c>
      <c r="J478" s="369">
        <v>46127</v>
      </c>
      <c r="K478" s="367" t="s">
        <v>490</v>
      </c>
      <c r="L478" s="36" t="s">
        <v>560</v>
      </c>
      <c r="M478" s="228" t="b">
        <f>+ISNUMBER(PAGOS[[#This Row],[REG]])</f>
        <v>1</v>
      </c>
    </row>
    <row r="479" spans="1:13" x14ac:dyDescent="0.3">
      <c r="A479" s="50">
        <v>477</v>
      </c>
      <c r="B479" s="281" t="s">
        <v>530</v>
      </c>
      <c r="C479" s="52">
        <v>1</v>
      </c>
      <c r="D479" s="50" t="s">
        <v>300</v>
      </c>
      <c r="E479" s="203">
        <v>0</v>
      </c>
      <c r="F479" s="33">
        <v>0</v>
      </c>
      <c r="G479" s="369">
        <v>46127</v>
      </c>
      <c r="H479" s="363" t="s">
        <v>490</v>
      </c>
      <c r="I479" s="33">
        <v>4</v>
      </c>
      <c r="J479" s="369">
        <v>46127</v>
      </c>
      <c r="K479" s="367" t="s">
        <v>490</v>
      </c>
      <c r="L479" s="36" t="s">
        <v>560</v>
      </c>
      <c r="M479" s="228" t="b">
        <f>+ISNUMBER(PAGOS[[#This Row],[REG]])</f>
        <v>1</v>
      </c>
    </row>
    <row r="480" spans="1:13" x14ac:dyDescent="0.3">
      <c r="A480" s="50">
        <v>478</v>
      </c>
      <c r="B480" s="281" t="s">
        <v>530</v>
      </c>
      <c r="C480" s="52">
        <v>1</v>
      </c>
      <c r="D480" s="50" t="s">
        <v>355</v>
      </c>
      <c r="E480" s="203">
        <v>0</v>
      </c>
      <c r="F480" s="33">
        <v>0</v>
      </c>
      <c r="G480" s="369">
        <v>46127</v>
      </c>
      <c r="H480" s="363" t="s">
        <v>490</v>
      </c>
      <c r="I480" s="33">
        <v>4</v>
      </c>
      <c r="J480" s="369">
        <v>46127</v>
      </c>
      <c r="K480" s="367" t="s">
        <v>490</v>
      </c>
      <c r="L480" s="36" t="s">
        <v>560</v>
      </c>
      <c r="M480" s="228" t="b">
        <f>+ISNUMBER(PAGOS[[#This Row],[REG]])</f>
        <v>1</v>
      </c>
    </row>
    <row r="481" spans="1:13" x14ac:dyDescent="0.3">
      <c r="A481" s="50">
        <v>479</v>
      </c>
      <c r="B481" s="281" t="s">
        <v>530</v>
      </c>
      <c r="C481" s="52">
        <v>1</v>
      </c>
      <c r="D481" s="50" t="s">
        <v>356</v>
      </c>
      <c r="E481" s="203">
        <v>0</v>
      </c>
      <c r="F481" s="33">
        <v>0</v>
      </c>
      <c r="G481" s="369">
        <v>46127</v>
      </c>
      <c r="H481" s="363" t="s">
        <v>490</v>
      </c>
      <c r="I481" s="33">
        <v>4</v>
      </c>
      <c r="J481" s="369">
        <v>46127</v>
      </c>
      <c r="K481" s="367" t="s">
        <v>490</v>
      </c>
      <c r="L481" s="36" t="s">
        <v>560</v>
      </c>
      <c r="M481" s="228" t="b">
        <f>+ISNUMBER(PAGOS[[#This Row],[REG]])</f>
        <v>1</v>
      </c>
    </row>
    <row r="482" spans="1:13" x14ac:dyDescent="0.3">
      <c r="A482" s="50">
        <v>480</v>
      </c>
      <c r="B482" s="281" t="s">
        <v>530</v>
      </c>
      <c r="C482" s="52">
        <v>1</v>
      </c>
      <c r="D482" s="50" t="s">
        <v>12</v>
      </c>
      <c r="E482" s="203">
        <v>0</v>
      </c>
      <c r="F482" s="33">
        <v>0</v>
      </c>
      <c r="G482" s="369">
        <v>46127</v>
      </c>
      <c r="H482" s="363" t="s">
        <v>490</v>
      </c>
      <c r="I482" s="33">
        <v>4</v>
      </c>
      <c r="J482" s="369">
        <v>46127</v>
      </c>
      <c r="K482" s="367" t="s">
        <v>490</v>
      </c>
      <c r="L482" s="36" t="s">
        <v>560</v>
      </c>
      <c r="M482" s="228" t="b">
        <f>+ISNUMBER(PAGOS[[#This Row],[REG]])</f>
        <v>1</v>
      </c>
    </row>
    <row r="483" spans="1:13" x14ac:dyDescent="0.3">
      <c r="A483" s="50">
        <v>481</v>
      </c>
      <c r="B483" s="281" t="s">
        <v>532</v>
      </c>
      <c r="C483" s="52">
        <v>10</v>
      </c>
      <c r="D483" s="50" t="s">
        <v>18</v>
      </c>
      <c r="E483" s="203">
        <v>118</v>
      </c>
      <c r="F483" s="33">
        <v>200</v>
      </c>
      <c r="G483" s="369">
        <v>46127</v>
      </c>
      <c r="H483" s="363">
        <v>1</v>
      </c>
      <c r="I483" s="33">
        <v>4</v>
      </c>
      <c r="J483" s="369">
        <v>46127</v>
      </c>
      <c r="K483" s="367">
        <v>1</v>
      </c>
      <c r="L483" s="36" t="s">
        <v>562</v>
      </c>
      <c r="M483" s="228" t="b">
        <f>+ISNUMBER(PAGOS[[#This Row],[REG]])</f>
        <v>1</v>
      </c>
    </row>
    <row r="484" spans="1:13" x14ac:dyDescent="0.3">
      <c r="A484" s="50">
        <v>482</v>
      </c>
      <c r="B484" s="281" t="s">
        <v>532</v>
      </c>
      <c r="C484" s="52">
        <v>9</v>
      </c>
      <c r="D484" s="50" t="s">
        <v>17</v>
      </c>
      <c r="E484" s="203">
        <v>105</v>
      </c>
      <c r="F484" s="33">
        <v>100</v>
      </c>
      <c r="G484" s="369">
        <v>46127</v>
      </c>
      <c r="H484" s="363">
        <v>4</v>
      </c>
      <c r="I484" s="33">
        <v>10</v>
      </c>
      <c r="J484" s="369">
        <v>46127</v>
      </c>
      <c r="K484" s="367">
        <v>4</v>
      </c>
      <c r="L484" s="36" t="s">
        <v>448</v>
      </c>
      <c r="M484" s="228" t="b">
        <f>+ISNUMBER(PAGOS[[#This Row],[REG]])</f>
        <v>1</v>
      </c>
    </row>
    <row r="485" spans="1:13" x14ac:dyDescent="0.3">
      <c r="A485" s="50">
        <v>483</v>
      </c>
      <c r="B485" s="281" t="s">
        <v>531</v>
      </c>
      <c r="C485" s="52">
        <v>2</v>
      </c>
      <c r="D485" s="50" t="s">
        <v>71</v>
      </c>
      <c r="E485" s="203">
        <v>0</v>
      </c>
      <c r="F485" s="33">
        <v>128</v>
      </c>
      <c r="G485" s="369">
        <v>46127</v>
      </c>
      <c r="H485" s="363" t="s">
        <v>491</v>
      </c>
      <c r="I485" s="33">
        <v>0</v>
      </c>
      <c r="J485" s="369">
        <v>46127</v>
      </c>
      <c r="K485" s="367" t="s">
        <v>491</v>
      </c>
      <c r="L485" s="36" t="s">
        <v>563</v>
      </c>
      <c r="M485" s="228" t="b">
        <f>+ISNUMBER(PAGOS[[#This Row],[REG]])</f>
        <v>1</v>
      </c>
    </row>
    <row r="487" spans="1:13" x14ac:dyDescent="0.3">
      <c r="I487" s="362"/>
    </row>
  </sheetData>
  <sheetProtection algorithmName="SHA-512" hashValue="0RNBs0SbZ1SmIEI7wUh4gU0n4blfB3tZfzMVi/N2dEXRO7Vl9y5FlfevyQV2KRVgKp/+kXdxMmHhQ77BqE4lOg==" saltValue="RIjdAajIBXs9gbEKuOKR1A==" spinCount="100000" sheet="1" objects="1" scenarios="1"/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6"/>
  <sheetViews>
    <sheetView workbookViewId="0">
      <pane ySplit="1" topLeftCell="A18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2884.19</v>
      </c>
      <c r="D45" s="361" t="s">
        <v>524</v>
      </c>
    </row>
    <row r="46" spans="1:6" x14ac:dyDescent="0.3">
      <c r="A46" s="242">
        <v>45</v>
      </c>
      <c r="B46" s="374">
        <v>46127</v>
      </c>
      <c r="C46" s="42">
        <v>1782.63</v>
      </c>
      <c r="D46" s="361" t="s">
        <v>566</v>
      </c>
    </row>
  </sheetData>
  <sheetProtection algorithmName="SHA-512" hashValue="xnzLVfYdbZFgOUnZg7wH9p8M0PmvrfwTHZz/eDbaLRK6hguhc9nLXYL5townm6FsLSDz2cS1Dztkd+T+1Mkd5Q==" saltValue="aiU75aJ1npBAZPDvsSRK2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>
      <selection activeCell="K3" sqref="K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2187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/>
      <c r="I3" s="276" t="s">
        <v>467</v>
      </c>
      <c r="J3" s="54"/>
      <c r="K3" s="257"/>
    </row>
    <row r="4" spans="2:18" ht="15" thickTop="1" x14ac:dyDescent="0.3">
      <c r="B4" s="404" t="s">
        <v>357</v>
      </c>
      <c r="C4" s="405"/>
      <c r="D4" s="405"/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404" t="s">
        <v>27</v>
      </c>
      <c r="C5" s="404" t="s">
        <v>11</v>
      </c>
      <c r="D5" s="405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406">
        <v>1</v>
      </c>
      <c r="C6" s="406" t="s">
        <v>70</v>
      </c>
      <c r="D6" s="407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406">
        <v>2</v>
      </c>
      <c r="C7" s="406" t="s">
        <v>71</v>
      </c>
      <c r="D7" s="407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1454.01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406">
        <v>3</v>
      </c>
      <c r="C8" s="406" t="s">
        <v>13</v>
      </c>
      <c r="D8" s="407">
        <v>45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490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21.35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268.20562499999994</v>
      </c>
      <c r="Q8" s="270">
        <f>+E8+P8</f>
        <v>758.20562499999994</v>
      </c>
      <c r="R8" s="71"/>
    </row>
    <row r="9" spans="2:18" x14ac:dyDescent="0.3">
      <c r="B9" s="406">
        <v>4</v>
      </c>
      <c r="C9" s="406" t="s">
        <v>12</v>
      </c>
      <c r="D9" s="407">
        <v>45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490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8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268.20562499999994</v>
      </c>
      <c r="Q9" s="270">
        <f t="shared" si="3"/>
        <v>758.20562499999994</v>
      </c>
      <c r="R9" s="71"/>
    </row>
    <row r="10" spans="2:18" x14ac:dyDescent="0.3">
      <c r="B10" s="406">
        <v>5</v>
      </c>
      <c r="C10" s="406" t="s">
        <v>14</v>
      </c>
      <c r="D10" s="407">
        <v>45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490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4100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568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900</v>
      </c>
      <c r="M10" s="267">
        <f t="shared" si="0"/>
        <v>216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268.20562499999994</v>
      </c>
      <c r="Q10" s="270">
        <f t="shared" si="3"/>
        <v>758.20562499999994</v>
      </c>
    </row>
    <row r="11" spans="2:18" x14ac:dyDescent="0.3">
      <c r="B11" s="406">
        <v>6</v>
      </c>
      <c r="C11" s="406" t="s">
        <v>24</v>
      </c>
      <c r="D11" s="407">
        <v>45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490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3300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489.6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880</v>
      </c>
      <c r="M11" s="267">
        <f t="shared" si="0"/>
        <v>192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268.20562499999994</v>
      </c>
      <c r="Q11" s="270">
        <f t="shared" si="3"/>
        <v>758.20562499999994</v>
      </c>
    </row>
    <row r="12" spans="2:18" x14ac:dyDescent="0.3">
      <c r="B12" s="406">
        <v>7</v>
      </c>
      <c r="C12" s="406" t="s">
        <v>355</v>
      </c>
      <c r="D12" s="407">
        <v>45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490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3850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164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0</v>
      </c>
      <c r="M12" s="267">
        <f t="shared" si="0"/>
        <v>0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25.35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268.20562499999994</v>
      </c>
      <c r="Q12" s="270">
        <f t="shared" si="3"/>
        <v>758.20562499999994</v>
      </c>
    </row>
    <row r="13" spans="2:18" x14ac:dyDescent="0.3">
      <c r="B13" s="406">
        <v>8</v>
      </c>
      <c r="C13" s="406" t="s">
        <v>356</v>
      </c>
      <c r="D13" s="407">
        <v>45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490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25.35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268.20562499999994</v>
      </c>
      <c r="Q13" s="270">
        <f t="shared" si="3"/>
        <v>758.20562499999994</v>
      </c>
    </row>
    <row r="14" spans="2:18" x14ac:dyDescent="0.3">
      <c r="B14" s="406">
        <v>9</v>
      </c>
      <c r="C14" s="406" t="s">
        <v>17</v>
      </c>
      <c r="D14" s="407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3260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316.39999999999998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100</v>
      </c>
      <c r="M14" s="267">
        <f t="shared" si="0"/>
        <v>10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268.20562499999994</v>
      </c>
      <c r="Q14" s="270">
        <f t="shared" si="3"/>
        <v>738.20562499999994</v>
      </c>
    </row>
    <row r="15" spans="2:18" x14ac:dyDescent="0.3">
      <c r="B15" s="406">
        <v>10</v>
      </c>
      <c r="C15" s="406" t="s">
        <v>18</v>
      </c>
      <c r="D15" s="407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1450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121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950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63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500</v>
      </c>
      <c r="M15" s="267">
        <f t="shared" si="0"/>
        <v>50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268.20562499999994</v>
      </c>
      <c r="Q15" s="270">
        <f t="shared" si="3"/>
        <v>738.20562499999994</v>
      </c>
    </row>
    <row r="16" spans="2:18" x14ac:dyDescent="0.3">
      <c r="B16" s="406">
        <v>11</v>
      </c>
      <c r="C16" s="406" t="s">
        <v>19</v>
      </c>
      <c r="D16" s="407">
        <v>45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490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1566.6499999999996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116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33.350000000000364</v>
      </c>
      <c r="M16" s="267">
        <f t="shared" si="0"/>
        <v>4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268.20562499999994</v>
      </c>
      <c r="Q16" s="270">
        <f t="shared" si="3"/>
        <v>758.20562499999994</v>
      </c>
    </row>
    <row r="17" spans="2:17" x14ac:dyDescent="0.3">
      <c r="B17" s="406">
        <v>12</v>
      </c>
      <c r="C17" s="406" t="s">
        <v>20</v>
      </c>
      <c r="D17" s="407">
        <v>45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490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3625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498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1375</v>
      </c>
      <c r="M17" s="267">
        <f t="shared" si="0"/>
        <v>330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268.20562499999994</v>
      </c>
      <c r="Q17" s="270">
        <f t="shared" si="3"/>
        <v>758.20562499999994</v>
      </c>
    </row>
    <row r="18" spans="2:17" x14ac:dyDescent="0.3">
      <c r="B18" s="406">
        <v>13</v>
      </c>
      <c r="C18" s="406" t="s">
        <v>301</v>
      </c>
      <c r="D18" s="407">
        <v>13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490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400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80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600</v>
      </c>
      <c r="M18" s="267">
        <f t="shared" si="0"/>
        <v>120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268.20562499999994</v>
      </c>
      <c r="Q18" s="270">
        <f t="shared" si="3"/>
        <v>758.20562499999994</v>
      </c>
    </row>
    <row r="19" spans="2:17" x14ac:dyDescent="0.3">
      <c r="B19" s="406">
        <v>14</v>
      </c>
      <c r="C19" s="406" t="s">
        <v>21</v>
      </c>
      <c r="D19" s="407">
        <v>45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490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4064.4400000000005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447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1555.5599999999995</v>
      </c>
      <c r="M19" s="267">
        <f t="shared" si="0"/>
        <v>560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268.20562499999994</v>
      </c>
      <c r="Q19" s="270">
        <f t="shared" si="3"/>
        <v>758.20562499999994</v>
      </c>
    </row>
    <row r="20" spans="2:17" x14ac:dyDescent="0.3">
      <c r="B20" s="406">
        <v>15</v>
      </c>
      <c r="C20" s="406" t="s">
        <v>22</v>
      </c>
      <c r="D20" s="407">
        <v>45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490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268.20562499999994</v>
      </c>
      <c r="Q20" s="270">
        <f t="shared" si="3"/>
        <v>758.20562499999994</v>
      </c>
    </row>
    <row r="21" spans="2:17" x14ac:dyDescent="0.3">
      <c r="B21" s="406">
        <v>16</v>
      </c>
      <c r="C21" s="406" t="s">
        <v>23</v>
      </c>
      <c r="D21" s="407">
        <v>45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490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4500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316.2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3440.04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253.4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1059.96</v>
      </c>
      <c r="M21" s="267">
        <f t="shared" si="0"/>
        <v>62.799999999999983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268.20562499999994</v>
      </c>
      <c r="Q21" s="270">
        <f t="shared" si="3"/>
        <v>758.20562499999994</v>
      </c>
    </row>
    <row r="22" spans="2:17" x14ac:dyDescent="0.3">
      <c r="B22" s="406">
        <v>17</v>
      </c>
      <c r="C22" s="406" t="s">
        <v>299</v>
      </c>
      <c r="D22" s="407">
        <v>13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490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3600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640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1600</v>
      </c>
      <c r="M22" s="267">
        <f t="shared" si="0"/>
        <v>160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8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268.20562499999994</v>
      </c>
      <c r="Q22" s="270">
        <f t="shared" si="3"/>
        <v>758.20562499999994</v>
      </c>
    </row>
    <row r="23" spans="2:17" x14ac:dyDescent="0.3">
      <c r="B23" s="406">
        <v>18</v>
      </c>
      <c r="C23" s="406" t="s">
        <v>300</v>
      </c>
      <c r="D23" s="407">
        <v>13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490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8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268.20562499999994</v>
      </c>
      <c r="Q23" s="270">
        <f t="shared" si="3"/>
        <v>758.20562499999994</v>
      </c>
    </row>
    <row r="24" spans="2:17" x14ac:dyDescent="0.3">
      <c r="B24" s="405" t="s">
        <v>240</v>
      </c>
      <c r="C24" s="405"/>
      <c r="D24" s="408">
        <v>626</v>
      </c>
      <c r="E24" s="271">
        <f>+SUM(E6:E23)</f>
        <v>7800</v>
      </c>
      <c r="F24" s="271">
        <f>+SUM(F6:F23)</f>
        <v>460</v>
      </c>
      <c r="G24" s="272">
        <f t="shared" ref="G24:K24" si="4">+SUM(G6:G23)</f>
        <v>47470</v>
      </c>
      <c r="H24" s="272">
        <f t="shared" si="4"/>
        <v>6370.5999999999995</v>
      </c>
      <c r="I24" s="271">
        <f t="shared" si="4"/>
        <v>38866.140000000007</v>
      </c>
      <c r="J24" s="271">
        <f t="shared" si="4"/>
        <v>4231.8</v>
      </c>
      <c r="K24" s="273">
        <f t="shared" si="4"/>
        <v>434</v>
      </c>
      <c r="L24" s="274">
        <f t="shared" ref="L24" si="5">+SUM(L6:L23)</f>
        <v>8603.86</v>
      </c>
      <c r="M24" s="274">
        <f t="shared" ref="M24:Q24" si="6">+SUM(M6:M23)</f>
        <v>1704.8</v>
      </c>
      <c r="N24" s="271">
        <f t="shared" si="6"/>
        <v>268.69999999999993</v>
      </c>
      <c r="O24" s="271">
        <f t="shared" si="6"/>
        <v>1914.01</v>
      </c>
      <c r="P24" s="271">
        <f t="shared" si="6"/>
        <v>4291.29</v>
      </c>
      <c r="Q24" s="271">
        <f t="shared" si="6"/>
        <v>12091.29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HSwHGET2ogrU/2KZd2rbuRu1jf1YOkLNZikS+R8pFcecFZvvj0utWc3lGs2gwf48Z4fIZ8zO4Es0HyGyCmVsow==" saltValue="SUqrVRhoWjKGS/SW8LQLp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Q19" sqref="Q19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75" t="s">
        <v>533</v>
      </c>
      <c r="C2" s="376"/>
      <c r="D2" s="177" t="s">
        <v>345</v>
      </c>
      <c r="E2" s="349">
        <v>46127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7"/>
      <c r="C3" s="378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79"/>
      <c r="C4" s="380"/>
      <c r="D4" s="177" t="s">
        <v>344</v>
      </c>
      <c r="E4" s="349">
        <v>46156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280</v>
      </c>
      <c r="K4" s="290"/>
      <c r="L4" s="290"/>
      <c r="M4" s="318">
        <v>20</v>
      </c>
      <c r="N4" s="319">
        <v>200000</v>
      </c>
      <c r="O4" s="319">
        <v>20000</v>
      </c>
      <c r="P4" s="348"/>
      <c r="Q4" s="348">
        <v>7</v>
      </c>
      <c r="R4" s="348">
        <v>6</v>
      </c>
      <c r="S4" s="347">
        <f>SUM(P4*100+Q4*10+R4*1)</f>
        <v>76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7800</v>
      </c>
      <c r="F5" s="290"/>
      <c r="G5" s="57" t="s">
        <v>100</v>
      </c>
      <c r="H5" s="2"/>
      <c r="I5" s="2"/>
      <c r="J5" s="337">
        <f>IF(OR(E2="",E3="",E4=""),"",E9)</f>
        <v>2100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>
        <v>1</v>
      </c>
      <c r="S5" s="347">
        <f>SUM(P5*100+Q5*10+R5*1)</f>
        <v>1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404.44000000000005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1</v>
      </c>
      <c r="S6" s="347">
        <f>SUM(P6*100+Q6*10+R6*1)</f>
        <v>1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47470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186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210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2100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128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2</v>
      </c>
      <c r="S9" s="347">
        <f t="shared" ref="S9:S14" si="5">SUM(P9*100+Q9*10+R9*1)</f>
        <v>2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6370.6</v>
      </c>
      <c r="F10" s="290"/>
      <c r="G10" s="61" t="s">
        <v>114</v>
      </c>
      <c r="H10" s="62"/>
      <c r="I10" s="62"/>
      <c r="J10" s="350">
        <v>2884.19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/>
      <c r="S10" s="347">
        <f t="shared" si="5"/>
        <v>0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210</v>
      </c>
      <c r="F11" s="290"/>
      <c r="G11" s="325" t="s">
        <v>112</v>
      </c>
      <c r="H11" s="326"/>
      <c r="I11" s="326"/>
      <c r="J11" s="327">
        <f>IF(OR(E2="",E3="",E4=""),"",J4+J6+J9+J10+J7)</f>
        <v>3882.63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>
        <v>1</v>
      </c>
      <c r="R11" s="348"/>
      <c r="S11" s="347">
        <f t="shared" si="5"/>
        <v>10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2100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5</v>
      </c>
      <c r="S12" s="347">
        <f t="shared" si="5"/>
        <v>15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38866.139999999985</v>
      </c>
      <c r="F13" s="290"/>
      <c r="G13" s="330" t="s">
        <v>124</v>
      </c>
      <c r="H13" s="331"/>
      <c r="I13" s="331"/>
      <c r="J13" s="332">
        <f>IF(OR(E2="",E3="",E4=""),"",J11-J12)</f>
        <v>1782.63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704.44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/>
      <c r="R14" s="348">
        <v>7</v>
      </c>
      <c r="S14" s="347">
        <f t="shared" si="5"/>
        <v>7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8603.8600000000151</v>
      </c>
      <c r="F15" s="290"/>
      <c r="G15" s="312" t="s">
        <v>135</v>
      </c>
      <c r="H15" s="313">
        <f>K16+K21</f>
        <v>1541.52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4665.7999999999993</v>
      </c>
      <c r="F16" s="290"/>
      <c r="G16" s="316" t="s">
        <v>126</v>
      </c>
      <c r="H16" s="316"/>
      <c r="I16" s="316"/>
      <c r="J16" s="317"/>
      <c r="K16" s="318">
        <f>SUM(K17:K20)</f>
        <v>1535</v>
      </c>
      <c r="L16" s="290"/>
      <c r="M16" s="293"/>
      <c r="N16" s="352"/>
      <c r="O16" s="352"/>
      <c r="P16" s="353">
        <f>+IFERROR(J13-H15,"")</f>
        <v>241.11000000000013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142</v>
      </c>
      <c r="F17" s="290"/>
      <c r="G17" s="318">
        <v>20</v>
      </c>
      <c r="H17" s="319">
        <f t="shared" ref="H17:J20" si="11">AF5*P4</f>
        <v>0</v>
      </c>
      <c r="I17" s="319">
        <f t="shared" si="11"/>
        <v>1400</v>
      </c>
      <c r="J17" s="319">
        <f t="shared" si="11"/>
        <v>120</v>
      </c>
      <c r="K17" s="320">
        <f>SUM(H17:J17)</f>
        <v>1520</v>
      </c>
      <c r="L17" s="290"/>
      <c r="M17" s="353"/>
      <c r="N17" s="352"/>
      <c r="O17" s="352"/>
      <c r="P17" s="355"/>
      <c r="Q17" s="352"/>
      <c r="R17" s="354"/>
      <c r="S17" s="352"/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1704.8000000000011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10</v>
      </c>
      <c r="K18" s="320">
        <f>SUM(H18:J18)</f>
        <v>10</v>
      </c>
      <c r="L18" s="290"/>
      <c r="M18" s="353"/>
      <c r="N18" s="352"/>
      <c r="O18" s="352"/>
      <c r="P18" s="293"/>
      <c r="Q18" s="352">
        <v>140</v>
      </c>
      <c r="R18" s="354" t="s">
        <v>567</v>
      </c>
      <c r="S18" s="352"/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5</v>
      </c>
      <c r="K19" s="320">
        <f>SUM(H19:J19)</f>
        <v>5</v>
      </c>
      <c r="L19" s="290"/>
      <c r="M19" s="293"/>
      <c r="N19" s="352"/>
      <c r="O19" s="352"/>
      <c r="P19" s="353"/>
      <c r="Q19" s="353"/>
      <c r="R19" s="354"/>
      <c r="S19" s="352"/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268.69999999999993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/>
      <c r="R20" s="354"/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1914.01</v>
      </c>
      <c r="F21" s="290"/>
      <c r="G21" s="321" t="s">
        <v>127</v>
      </c>
      <c r="H21" s="322"/>
      <c r="I21" s="322"/>
      <c r="J21" s="323"/>
      <c r="K21" s="318">
        <f>SUM(K22:K27)</f>
        <v>6.5200000000000005</v>
      </c>
      <c r="L21" s="290"/>
      <c r="M21" s="352"/>
      <c r="N21" s="352"/>
      <c r="O21" s="352"/>
      <c r="P21" s="357"/>
      <c r="Q21" s="293"/>
      <c r="R21" s="354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2</v>
      </c>
      <c r="K22" s="320">
        <f t="shared" ref="K22:K26" si="13">SUM(H22:J22)</f>
        <v>2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7800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</v>
      </c>
      <c r="K23" s="320">
        <f t="shared" si="13"/>
        <v>0</v>
      </c>
      <c r="L23" s="290"/>
      <c r="M23" s="352"/>
      <c r="N23" s="352"/>
      <c r="O23" s="352"/>
      <c r="P23" s="359"/>
      <c r="Q23" s="353"/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487.5</v>
      </c>
      <c r="F24" s="290"/>
      <c r="G24" s="318">
        <v>0.25</v>
      </c>
      <c r="H24" s="324">
        <f t="shared" si="12"/>
        <v>0</v>
      </c>
      <c r="I24" s="324">
        <f>AG12*Q11</f>
        <v>2.5</v>
      </c>
      <c r="J24" s="324">
        <f t="shared" si="12"/>
        <v>0</v>
      </c>
      <c r="K24" s="320">
        <f t="shared" si="13"/>
        <v>2.5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4291.29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0.5</v>
      </c>
      <c r="K25" s="320">
        <f t="shared" si="13"/>
        <v>1.5</v>
      </c>
      <c r="L25" s="290"/>
      <c r="M25" s="353"/>
      <c r="N25" s="352"/>
      <c r="O25" s="352"/>
      <c r="P25" s="359"/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1782.63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352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12091.29</v>
      </c>
      <c r="F27" s="290"/>
      <c r="G27" s="318">
        <v>0.01</v>
      </c>
      <c r="H27" s="324">
        <f t="shared" si="12"/>
        <v>0</v>
      </c>
      <c r="I27" s="324">
        <f>AG15*Q14</f>
        <v>0</v>
      </c>
      <c r="J27" s="324">
        <f t="shared" si="12"/>
        <v>7.0000000000000007E-2</v>
      </c>
      <c r="K27" s="320">
        <f>SUM(H27:J27)</f>
        <v>7.0000000000000007E-2</v>
      </c>
      <c r="L27" s="290"/>
      <c r="M27" s="352"/>
      <c r="N27" s="352"/>
      <c r="O27" s="352"/>
      <c r="P27" s="353"/>
      <c r="Q27" s="357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12091.290000000015</v>
      </c>
      <c r="F28" s="290"/>
      <c r="G28" s="291"/>
      <c r="H28" s="294">
        <f>SUMIFS(DENERO_CAJA[MONTO],DENERO_CAJA[FECHA],"&gt;="&amp;$E$2,DENERO_CAJA[FECHA],"&lt;="&amp;$E$4)</f>
        <v>1782.63</v>
      </c>
      <c r="I28" s="291">
        <f>IFERROR(E27-E28,"")</f>
        <v>-1.4551915228366852E-11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V4uRf7lHWgRR+7iQPMhiFIukWeX53rF7GjR8iPRKflGBy+JCbfglNwLZok1Or60TvvjmtorHl3PA1eWCADC2qA==" saltValue="Gi/vl4ihLAd/dyJARz76QA==" spinCount="100000" sheet="1" objects="1" scenarios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workbookViewId="0">
      <pane ySplit="3" topLeftCell="A395" activePane="bottomLeft" state="frozen"/>
      <selection pane="bottomLeft" activeCell="P410" sqref="P410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1" t="s">
        <v>261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</row>
    <row r="2" spans="2:17" x14ac:dyDescent="0.3"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Q2" s="24"/>
    </row>
    <row r="3" spans="2:17" ht="15" thickBot="1" x14ac:dyDescent="0.35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ht="15.6" thickTop="1" thickBot="1" x14ac:dyDescent="0.35">
      <c r="B4" s="375" t="s">
        <v>90</v>
      </c>
      <c r="C4" s="376"/>
      <c r="D4" s="177" t="s">
        <v>345</v>
      </c>
      <c r="E4" s="72">
        <v>44788</v>
      </c>
      <c r="G4" s="375" t="s">
        <v>90</v>
      </c>
      <c r="H4" s="376"/>
      <c r="I4" s="177" t="s">
        <v>345</v>
      </c>
      <c r="J4" s="72">
        <v>44819</v>
      </c>
      <c r="L4" s="375" t="s">
        <v>90</v>
      </c>
      <c r="M4" s="376"/>
      <c r="N4" s="177" t="s">
        <v>345</v>
      </c>
      <c r="O4" s="72">
        <v>44849</v>
      </c>
      <c r="Q4" s="24"/>
    </row>
    <row r="5" spans="2:17" ht="15.6" thickTop="1" thickBot="1" x14ac:dyDescent="0.35">
      <c r="B5" s="377"/>
      <c r="C5" s="378"/>
      <c r="D5" s="177" t="s">
        <v>346</v>
      </c>
      <c r="E5" s="72">
        <v>44788</v>
      </c>
      <c r="G5" s="377"/>
      <c r="H5" s="378"/>
      <c r="I5" s="177" t="s">
        <v>346</v>
      </c>
      <c r="J5" s="72">
        <v>44788</v>
      </c>
      <c r="L5" s="377"/>
      <c r="M5" s="378"/>
      <c r="N5" s="177" t="s">
        <v>346</v>
      </c>
      <c r="O5" s="72">
        <v>44788</v>
      </c>
    </row>
    <row r="6" spans="2:17" ht="15.6" thickTop="1" thickBot="1" x14ac:dyDescent="0.35">
      <c r="B6" s="379"/>
      <c r="C6" s="380"/>
      <c r="D6" s="177" t="s">
        <v>344</v>
      </c>
      <c r="E6" s="72">
        <v>44818</v>
      </c>
      <c r="G6" s="379"/>
      <c r="H6" s="380"/>
      <c r="I6" s="177" t="s">
        <v>344</v>
      </c>
      <c r="J6" s="72">
        <v>44848</v>
      </c>
      <c r="L6" s="379"/>
      <c r="M6" s="380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75" t="s">
        <v>90</v>
      </c>
      <c r="C32" s="376"/>
      <c r="D32" s="177" t="s">
        <v>345</v>
      </c>
      <c r="E32" s="72">
        <v>44880</v>
      </c>
      <c r="G32" s="375" t="s">
        <v>90</v>
      </c>
      <c r="H32" s="376"/>
      <c r="I32" s="177" t="s">
        <v>345</v>
      </c>
      <c r="J32" s="72">
        <v>44910</v>
      </c>
      <c r="L32" s="375" t="s">
        <v>90</v>
      </c>
      <c r="M32" s="376"/>
      <c r="N32" s="177" t="s">
        <v>345</v>
      </c>
      <c r="O32" s="72">
        <v>44941</v>
      </c>
    </row>
    <row r="33" spans="2:15" ht="15.6" thickTop="1" thickBot="1" x14ac:dyDescent="0.35">
      <c r="B33" s="377"/>
      <c r="C33" s="378"/>
      <c r="D33" s="177" t="s">
        <v>346</v>
      </c>
      <c r="E33" s="72">
        <v>44788</v>
      </c>
      <c r="G33" s="377"/>
      <c r="H33" s="378"/>
      <c r="I33" s="177" t="s">
        <v>346</v>
      </c>
      <c r="J33" s="72">
        <v>44788</v>
      </c>
      <c r="L33" s="377"/>
      <c r="M33" s="378"/>
      <c r="N33" s="177" t="s">
        <v>346</v>
      </c>
      <c r="O33" s="72">
        <v>44788</v>
      </c>
    </row>
    <row r="34" spans="2:15" ht="15.6" thickTop="1" thickBot="1" x14ac:dyDescent="0.35">
      <c r="B34" s="379"/>
      <c r="C34" s="380"/>
      <c r="D34" s="177" t="s">
        <v>344</v>
      </c>
      <c r="E34" s="72">
        <v>44909</v>
      </c>
      <c r="G34" s="379"/>
      <c r="H34" s="380"/>
      <c r="I34" s="177" t="s">
        <v>344</v>
      </c>
      <c r="J34" s="72">
        <v>44940</v>
      </c>
      <c r="L34" s="379"/>
      <c r="M34" s="380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75" t="s">
        <v>90</v>
      </c>
      <c r="C60" s="376"/>
      <c r="D60" s="177" t="s">
        <v>345</v>
      </c>
      <c r="E60" s="72">
        <v>44972</v>
      </c>
      <c r="G60" s="375" t="s">
        <v>90</v>
      </c>
      <c r="H60" s="376"/>
      <c r="I60" s="177" t="s">
        <v>345</v>
      </c>
      <c r="J60" s="72">
        <v>45000</v>
      </c>
      <c r="L60" s="375" t="s">
        <v>90</v>
      </c>
      <c r="M60" s="376"/>
      <c r="N60" s="177" t="s">
        <v>345</v>
      </c>
      <c r="O60" s="72">
        <v>45031</v>
      </c>
    </row>
    <row r="61" spans="2:15" ht="15.6" thickTop="1" thickBot="1" x14ac:dyDescent="0.35">
      <c r="B61" s="377"/>
      <c r="C61" s="378"/>
      <c r="D61" s="177" t="s">
        <v>346</v>
      </c>
      <c r="E61" s="72">
        <v>44788</v>
      </c>
      <c r="G61" s="377"/>
      <c r="H61" s="378"/>
      <c r="I61" s="177" t="s">
        <v>346</v>
      </c>
      <c r="J61" s="72">
        <v>44788</v>
      </c>
      <c r="L61" s="377"/>
      <c r="M61" s="378"/>
      <c r="N61" s="177" t="s">
        <v>346</v>
      </c>
      <c r="O61" s="72">
        <v>44788</v>
      </c>
    </row>
    <row r="62" spans="2:15" ht="15.6" thickTop="1" thickBot="1" x14ac:dyDescent="0.35">
      <c r="B62" s="379"/>
      <c r="C62" s="380"/>
      <c r="D62" s="177" t="s">
        <v>344</v>
      </c>
      <c r="E62" s="72">
        <v>44999</v>
      </c>
      <c r="G62" s="379"/>
      <c r="H62" s="380"/>
      <c r="I62" s="177" t="s">
        <v>344</v>
      </c>
      <c r="J62" s="72">
        <v>45030</v>
      </c>
      <c r="L62" s="379"/>
      <c r="M62" s="380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75" t="s">
        <v>90</v>
      </c>
      <c r="C88" s="376"/>
      <c r="D88" s="177" t="s">
        <v>345</v>
      </c>
      <c r="E88" s="72">
        <v>45061</v>
      </c>
      <c r="G88" s="375" t="s">
        <v>90</v>
      </c>
      <c r="H88" s="376"/>
      <c r="I88" s="177" t="s">
        <v>345</v>
      </c>
      <c r="J88" s="72">
        <v>45092</v>
      </c>
      <c r="L88" s="375" t="s">
        <v>90</v>
      </c>
      <c r="M88" s="376"/>
      <c r="N88" s="177" t="s">
        <v>345</v>
      </c>
      <c r="O88" s="72">
        <v>45122</v>
      </c>
    </row>
    <row r="89" spans="2:15" ht="15.6" thickTop="1" thickBot="1" x14ac:dyDescent="0.35">
      <c r="B89" s="377"/>
      <c r="C89" s="378"/>
      <c r="D89" s="177" t="s">
        <v>346</v>
      </c>
      <c r="E89" s="72">
        <v>44788</v>
      </c>
      <c r="G89" s="377"/>
      <c r="H89" s="378"/>
      <c r="I89" s="177" t="s">
        <v>346</v>
      </c>
      <c r="J89" s="72">
        <v>44788</v>
      </c>
      <c r="L89" s="377"/>
      <c r="M89" s="378"/>
      <c r="N89" s="177" t="s">
        <v>346</v>
      </c>
      <c r="O89" s="72">
        <v>44788</v>
      </c>
    </row>
    <row r="90" spans="2:15" ht="15.6" thickTop="1" thickBot="1" x14ac:dyDescent="0.35">
      <c r="B90" s="379"/>
      <c r="C90" s="380"/>
      <c r="D90" s="177" t="s">
        <v>344</v>
      </c>
      <c r="E90" s="72">
        <v>45091</v>
      </c>
      <c r="G90" s="379"/>
      <c r="H90" s="380"/>
      <c r="I90" s="177" t="s">
        <v>344</v>
      </c>
      <c r="J90" s="72">
        <v>45121</v>
      </c>
      <c r="L90" s="379"/>
      <c r="M90" s="380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75" t="s">
        <v>90</v>
      </c>
      <c r="C117" s="376"/>
      <c r="D117" s="177" t="s">
        <v>345</v>
      </c>
      <c r="E117" s="72">
        <v>45153</v>
      </c>
      <c r="G117" s="375" t="s">
        <v>90</v>
      </c>
      <c r="H117" s="376"/>
      <c r="I117" s="177" t="s">
        <v>345</v>
      </c>
      <c r="J117" s="72">
        <v>45184</v>
      </c>
      <c r="L117" s="375" t="s">
        <v>90</v>
      </c>
      <c r="M117" s="376"/>
      <c r="N117" s="177" t="s">
        <v>345</v>
      </c>
      <c r="O117" s="72">
        <v>45214</v>
      </c>
    </row>
    <row r="118" spans="2:15" ht="15.6" thickTop="1" thickBot="1" x14ac:dyDescent="0.35">
      <c r="B118" s="377"/>
      <c r="C118" s="378"/>
      <c r="D118" s="177" t="s">
        <v>346</v>
      </c>
      <c r="E118" s="72">
        <v>44788</v>
      </c>
      <c r="G118" s="377"/>
      <c r="H118" s="378"/>
      <c r="I118" s="177" t="s">
        <v>346</v>
      </c>
      <c r="J118" s="72">
        <v>44788</v>
      </c>
      <c r="L118" s="377"/>
      <c r="M118" s="378"/>
      <c r="N118" s="177" t="s">
        <v>346</v>
      </c>
      <c r="O118" s="72">
        <v>44788</v>
      </c>
    </row>
    <row r="119" spans="2:15" ht="15.6" thickTop="1" thickBot="1" x14ac:dyDescent="0.35">
      <c r="B119" s="379"/>
      <c r="C119" s="380"/>
      <c r="D119" s="177" t="s">
        <v>344</v>
      </c>
      <c r="E119" s="72">
        <v>45183</v>
      </c>
      <c r="G119" s="379"/>
      <c r="H119" s="380"/>
      <c r="I119" s="177" t="s">
        <v>344</v>
      </c>
      <c r="J119" s="72">
        <v>45213</v>
      </c>
      <c r="L119" s="379"/>
      <c r="M119" s="380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75" t="s">
        <v>90</v>
      </c>
      <c r="C145" s="376"/>
      <c r="D145" s="177" t="s">
        <v>345</v>
      </c>
      <c r="E145" s="72">
        <v>45245</v>
      </c>
      <c r="G145" s="375" t="s">
        <v>90</v>
      </c>
      <c r="H145" s="376"/>
      <c r="I145" s="177" t="s">
        <v>345</v>
      </c>
      <c r="J145" s="72">
        <v>45275</v>
      </c>
      <c r="L145" s="375" t="s">
        <v>90</v>
      </c>
      <c r="M145" s="376"/>
      <c r="N145" s="177" t="s">
        <v>345</v>
      </c>
      <c r="O145" s="72">
        <v>45306</v>
      </c>
    </row>
    <row r="146" spans="2:15" ht="15.6" thickTop="1" thickBot="1" x14ac:dyDescent="0.35">
      <c r="B146" s="377"/>
      <c r="C146" s="378"/>
      <c r="D146" s="177" t="s">
        <v>346</v>
      </c>
      <c r="E146" s="72">
        <v>44788</v>
      </c>
      <c r="G146" s="377"/>
      <c r="H146" s="378"/>
      <c r="I146" s="177" t="s">
        <v>346</v>
      </c>
      <c r="J146" s="72">
        <v>44788</v>
      </c>
      <c r="L146" s="377"/>
      <c r="M146" s="378"/>
      <c r="N146" s="177" t="s">
        <v>346</v>
      </c>
      <c r="O146" s="72">
        <v>44788</v>
      </c>
    </row>
    <row r="147" spans="2:15" ht="15.6" thickTop="1" thickBot="1" x14ac:dyDescent="0.35">
      <c r="B147" s="379"/>
      <c r="C147" s="380"/>
      <c r="D147" s="177" t="s">
        <v>344</v>
      </c>
      <c r="E147" s="72">
        <v>45274</v>
      </c>
      <c r="G147" s="379"/>
      <c r="H147" s="380"/>
      <c r="I147" s="177" t="s">
        <v>344</v>
      </c>
      <c r="J147" s="72">
        <v>45305</v>
      </c>
      <c r="L147" s="379"/>
      <c r="M147" s="380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75" t="s">
        <v>90</v>
      </c>
      <c r="C173" s="376"/>
      <c r="D173" s="177" t="s">
        <v>345</v>
      </c>
      <c r="E173" s="72">
        <v>45337</v>
      </c>
      <c r="G173" s="375" t="s">
        <v>90</v>
      </c>
      <c r="H173" s="376"/>
      <c r="I173" s="177" t="s">
        <v>345</v>
      </c>
      <c r="J173" s="72">
        <v>45366</v>
      </c>
      <c r="L173" s="375" t="s">
        <v>90</v>
      </c>
      <c r="M173" s="376"/>
      <c r="N173" s="177" t="s">
        <v>345</v>
      </c>
      <c r="O173" s="72">
        <v>45397</v>
      </c>
    </row>
    <row r="174" spans="2:15" ht="15.6" thickTop="1" thickBot="1" x14ac:dyDescent="0.35">
      <c r="B174" s="377"/>
      <c r="C174" s="378"/>
      <c r="D174" s="177" t="s">
        <v>346</v>
      </c>
      <c r="E174" s="72">
        <v>44788</v>
      </c>
      <c r="G174" s="377"/>
      <c r="H174" s="378"/>
      <c r="I174" s="177" t="s">
        <v>346</v>
      </c>
      <c r="J174" s="72">
        <v>44788</v>
      </c>
      <c r="L174" s="377"/>
      <c r="M174" s="378"/>
      <c r="N174" s="177" t="s">
        <v>346</v>
      </c>
      <c r="O174" s="72">
        <v>44788</v>
      </c>
    </row>
    <row r="175" spans="2:15" ht="15.6" thickTop="1" thickBot="1" x14ac:dyDescent="0.35">
      <c r="B175" s="379"/>
      <c r="C175" s="380"/>
      <c r="D175" s="177" t="s">
        <v>344</v>
      </c>
      <c r="E175" s="72">
        <v>45365</v>
      </c>
      <c r="G175" s="379"/>
      <c r="H175" s="380"/>
      <c r="I175" s="177" t="s">
        <v>344</v>
      </c>
      <c r="J175" s="72">
        <v>45396</v>
      </c>
      <c r="L175" s="379"/>
      <c r="M175" s="380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75" t="s">
        <v>90</v>
      </c>
      <c r="C201" s="376"/>
      <c r="D201" s="177" t="s">
        <v>345</v>
      </c>
      <c r="E201" s="72">
        <v>45427</v>
      </c>
      <c r="G201" s="375" t="s">
        <v>90</v>
      </c>
      <c r="H201" s="376"/>
      <c r="I201" s="177" t="s">
        <v>345</v>
      </c>
      <c r="J201" s="72">
        <v>45458</v>
      </c>
      <c r="L201" s="375" t="s">
        <v>90</v>
      </c>
      <c r="M201" s="376"/>
      <c r="N201" s="177" t="s">
        <v>345</v>
      </c>
      <c r="O201" s="72">
        <v>45488</v>
      </c>
    </row>
    <row r="202" spans="2:15" ht="15.6" thickTop="1" thickBot="1" x14ac:dyDescent="0.35">
      <c r="B202" s="377"/>
      <c r="C202" s="378"/>
      <c r="D202" s="177" t="s">
        <v>346</v>
      </c>
      <c r="E202" s="72">
        <v>44788</v>
      </c>
      <c r="G202" s="377"/>
      <c r="H202" s="378"/>
      <c r="I202" s="177" t="s">
        <v>346</v>
      </c>
      <c r="J202" s="72">
        <v>44788</v>
      </c>
      <c r="L202" s="377"/>
      <c r="M202" s="378"/>
      <c r="N202" s="177" t="s">
        <v>346</v>
      </c>
      <c r="O202" s="72">
        <v>44788</v>
      </c>
    </row>
    <row r="203" spans="2:15" ht="15.6" thickTop="1" thickBot="1" x14ac:dyDescent="0.35">
      <c r="B203" s="379"/>
      <c r="C203" s="380"/>
      <c r="D203" s="177" t="s">
        <v>344</v>
      </c>
      <c r="E203" s="72">
        <v>45457</v>
      </c>
      <c r="G203" s="379"/>
      <c r="H203" s="380"/>
      <c r="I203" s="177" t="s">
        <v>344</v>
      </c>
      <c r="J203" s="72">
        <v>45487</v>
      </c>
      <c r="L203" s="379"/>
      <c r="M203" s="380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75" t="s">
        <v>90</v>
      </c>
      <c r="C229" s="376"/>
      <c r="D229" s="177" t="s">
        <v>345</v>
      </c>
      <c r="E229" s="72">
        <v>45519</v>
      </c>
      <c r="G229" s="375" t="s">
        <v>90</v>
      </c>
      <c r="H229" s="376"/>
      <c r="I229" s="177" t="s">
        <v>345</v>
      </c>
      <c r="J229" s="72">
        <v>45550</v>
      </c>
      <c r="L229" s="375" t="s">
        <v>90</v>
      </c>
      <c r="M229" s="376"/>
      <c r="N229" s="177" t="s">
        <v>345</v>
      </c>
      <c r="O229" s="72">
        <v>45580</v>
      </c>
    </row>
    <row r="230" spans="2:15" ht="15.6" thickTop="1" thickBot="1" x14ac:dyDescent="0.35">
      <c r="B230" s="377"/>
      <c r="C230" s="378"/>
      <c r="D230" s="177" t="s">
        <v>346</v>
      </c>
      <c r="E230" s="72">
        <v>44788</v>
      </c>
      <c r="G230" s="377"/>
      <c r="H230" s="378"/>
      <c r="I230" s="177" t="s">
        <v>346</v>
      </c>
      <c r="J230" s="72">
        <v>44788</v>
      </c>
      <c r="L230" s="377"/>
      <c r="M230" s="378"/>
      <c r="N230" s="177" t="s">
        <v>346</v>
      </c>
      <c r="O230" s="72">
        <v>44788</v>
      </c>
    </row>
    <row r="231" spans="2:15" ht="15.6" thickTop="1" thickBot="1" x14ac:dyDescent="0.35">
      <c r="B231" s="379"/>
      <c r="C231" s="380"/>
      <c r="D231" s="177" t="s">
        <v>344</v>
      </c>
      <c r="E231" s="72">
        <v>45549</v>
      </c>
      <c r="G231" s="379"/>
      <c r="H231" s="380"/>
      <c r="I231" s="177" t="s">
        <v>344</v>
      </c>
      <c r="J231" s="72">
        <v>45579</v>
      </c>
      <c r="L231" s="379"/>
      <c r="M231" s="380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75" t="s">
        <v>90</v>
      </c>
      <c r="C257" s="376"/>
      <c r="D257" s="177" t="s">
        <v>345</v>
      </c>
      <c r="E257" s="72">
        <v>45611</v>
      </c>
      <c r="G257" s="375" t="s">
        <v>90</v>
      </c>
      <c r="H257" s="376"/>
      <c r="I257" s="177" t="s">
        <v>345</v>
      </c>
      <c r="J257" s="72">
        <v>45641</v>
      </c>
      <c r="L257" s="375" t="s">
        <v>90</v>
      </c>
      <c r="M257" s="376"/>
      <c r="N257" s="177" t="s">
        <v>345</v>
      </c>
      <c r="O257" s="72">
        <v>45672</v>
      </c>
    </row>
    <row r="258" spans="2:15" ht="15.6" thickTop="1" thickBot="1" x14ac:dyDescent="0.35">
      <c r="B258" s="377"/>
      <c r="C258" s="378"/>
      <c r="D258" s="177" t="s">
        <v>346</v>
      </c>
      <c r="E258" s="72">
        <v>44788</v>
      </c>
      <c r="G258" s="377"/>
      <c r="H258" s="378"/>
      <c r="I258" s="177" t="s">
        <v>346</v>
      </c>
      <c r="J258" s="72">
        <v>44788</v>
      </c>
      <c r="L258" s="377"/>
      <c r="M258" s="378"/>
      <c r="N258" s="177" t="s">
        <v>346</v>
      </c>
      <c r="O258" s="72">
        <v>44788</v>
      </c>
    </row>
    <row r="259" spans="2:15" ht="15.6" thickTop="1" thickBot="1" x14ac:dyDescent="0.35">
      <c r="B259" s="379"/>
      <c r="C259" s="380"/>
      <c r="D259" s="177" t="s">
        <v>344</v>
      </c>
      <c r="E259" s="72">
        <v>45640</v>
      </c>
      <c r="G259" s="379"/>
      <c r="H259" s="380"/>
      <c r="I259" s="177" t="s">
        <v>344</v>
      </c>
      <c r="J259" s="72">
        <v>45671</v>
      </c>
      <c r="L259" s="379"/>
      <c r="M259" s="380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75" t="s">
        <v>90</v>
      </c>
      <c r="C285" s="376"/>
      <c r="D285" s="177" t="s">
        <v>345</v>
      </c>
      <c r="E285" s="72">
        <v>45703</v>
      </c>
      <c r="G285" s="375" t="s">
        <v>90</v>
      </c>
      <c r="H285" s="376"/>
      <c r="I285" s="177" t="s">
        <v>345</v>
      </c>
      <c r="J285" s="72">
        <v>45731</v>
      </c>
      <c r="L285" s="375" t="s">
        <v>90</v>
      </c>
      <c r="M285" s="376"/>
      <c r="N285" s="177" t="s">
        <v>345</v>
      </c>
      <c r="O285" s="72">
        <v>45762</v>
      </c>
    </row>
    <row r="286" spans="2:15" ht="15.6" thickTop="1" thickBot="1" x14ac:dyDescent="0.35">
      <c r="B286" s="377"/>
      <c r="C286" s="378"/>
      <c r="D286" s="177" t="s">
        <v>346</v>
      </c>
      <c r="E286" s="72">
        <v>44788</v>
      </c>
      <c r="G286" s="377"/>
      <c r="H286" s="378"/>
      <c r="I286" s="177" t="s">
        <v>346</v>
      </c>
      <c r="J286" s="72">
        <v>44788</v>
      </c>
      <c r="L286" s="377"/>
      <c r="M286" s="378"/>
      <c r="N286" s="177" t="s">
        <v>346</v>
      </c>
      <c r="O286" s="72">
        <v>44788</v>
      </c>
    </row>
    <row r="287" spans="2:15" ht="15.6" thickTop="1" thickBot="1" x14ac:dyDescent="0.35">
      <c r="B287" s="379"/>
      <c r="C287" s="380"/>
      <c r="D287" s="177" t="s">
        <v>344</v>
      </c>
      <c r="E287" s="72">
        <v>45730</v>
      </c>
      <c r="G287" s="379"/>
      <c r="H287" s="380"/>
      <c r="I287" s="177" t="s">
        <v>344</v>
      </c>
      <c r="J287" s="72">
        <v>45761</v>
      </c>
      <c r="L287" s="379"/>
      <c r="M287" s="380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75" t="s">
        <v>90</v>
      </c>
      <c r="C313" s="376"/>
      <c r="D313" s="177" t="s">
        <v>345</v>
      </c>
      <c r="E313" s="72">
        <v>45792</v>
      </c>
      <c r="G313" s="375" t="s">
        <v>90</v>
      </c>
      <c r="H313" s="376"/>
      <c r="I313" s="177" t="s">
        <v>345</v>
      </c>
      <c r="J313" s="72">
        <v>45823</v>
      </c>
      <c r="L313" s="375" t="s">
        <v>90</v>
      </c>
      <c r="M313" s="376"/>
      <c r="N313" s="177" t="s">
        <v>345</v>
      </c>
      <c r="O313" s="72">
        <v>45853</v>
      </c>
    </row>
    <row r="314" spans="2:15" ht="15.6" thickTop="1" thickBot="1" x14ac:dyDescent="0.35">
      <c r="B314" s="377"/>
      <c r="C314" s="378"/>
      <c r="D314" s="177" t="s">
        <v>346</v>
      </c>
      <c r="E314" s="72">
        <v>44788</v>
      </c>
      <c r="G314" s="377"/>
      <c r="H314" s="378"/>
      <c r="I314" s="177" t="s">
        <v>346</v>
      </c>
      <c r="J314" s="72">
        <v>44788</v>
      </c>
      <c r="L314" s="377"/>
      <c r="M314" s="378"/>
      <c r="N314" s="177" t="s">
        <v>346</v>
      </c>
      <c r="O314" s="72">
        <v>44788</v>
      </c>
    </row>
    <row r="315" spans="2:15" ht="15.6" thickTop="1" thickBot="1" x14ac:dyDescent="0.35">
      <c r="B315" s="379"/>
      <c r="C315" s="380"/>
      <c r="D315" s="177" t="s">
        <v>344</v>
      </c>
      <c r="E315" s="72">
        <v>45822</v>
      </c>
      <c r="G315" s="379"/>
      <c r="H315" s="380"/>
      <c r="I315" s="177" t="s">
        <v>344</v>
      </c>
      <c r="J315" s="72">
        <v>45852</v>
      </c>
      <c r="L315" s="379"/>
      <c r="M315" s="380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75" t="s">
        <v>90</v>
      </c>
      <c r="C341" s="376"/>
      <c r="D341" s="177" t="s">
        <v>345</v>
      </c>
      <c r="E341" s="72">
        <v>45884</v>
      </c>
      <c r="G341" s="375" t="s">
        <v>90</v>
      </c>
      <c r="H341" s="376"/>
      <c r="I341" s="177" t="s">
        <v>345</v>
      </c>
      <c r="J341" s="72">
        <v>45915</v>
      </c>
      <c r="L341" s="375" t="s">
        <v>90</v>
      </c>
      <c r="M341" s="376"/>
      <c r="N341" s="177" t="s">
        <v>345</v>
      </c>
      <c r="O341" s="72">
        <v>45945</v>
      </c>
    </row>
    <row r="342" spans="2:15" ht="15.6" thickTop="1" thickBot="1" x14ac:dyDescent="0.35">
      <c r="B342" s="377"/>
      <c r="C342" s="378"/>
      <c r="D342" s="177" t="s">
        <v>346</v>
      </c>
      <c r="E342" s="72">
        <v>44788</v>
      </c>
      <c r="G342" s="377"/>
      <c r="H342" s="378"/>
      <c r="I342" s="177" t="s">
        <v>346</v>
      </c>
      <c r="J342" s="72">
        <v>44788</v>
      </c>
      <c r="L342" s="377"/>
      <c r="M342" s="378"/>
      <c r="N342" s="177" t="s">
        <v>346</v>
      </c>
      <c r="O342" s="72">
        <v>44788</v>
      </c>
    </row>
    <row r="343" spans="2:15" ht="15.6" thickTop="1" thickBot="1" x14ac:dyDescent="0.35">
      <c r="B343" s="379"/>
      <c r="C343" s="380"/>
      <c r="D343" s="177" t="s">
        <v>344</v>
      </c>
      <c r="E343" s="72">
        <v>45914</v>
      </c>
      <c r="G343" s="379"/>
      <c r="H343" s="380"/>
      <c r="I343" s="177" t="s">
        <v>344</v>
      </c>
      <c r="J343" s="72">
        <v>45944</v>
      </c>
      <c r="L343" s="379"/>
      <c r="M343" s="380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75" t="s">
        <v>90</v>
      </c>
      <c r="C369" s="376"/>
      <c r="D369" s="177" t="s">
        <v>345</v>
      </c>
      <c r="E369" s="72">
        <v>45976</v>
      </c>
      <c r="G369" s="375" t="s">
        <v>90</v>
      </c>
      <c r="H369" s="376"/>
      <c r="I369" s="177" t="s">
        <v>345</v>
      </c>
      <c r="J369" s="72">
        <v>46006</v>
      </c>
      <c r="L369" s="375" t="s">
        <v>90</v>
      </c>
      <c r="M369" s="376"/>
      <c r="N369" s="177" t="s">
        <v>345</v>
      </c>
      <c r="O369" s="72">
        <v>46037</v>
      </c>
    </row>
    <row r="370" spans="2:15" ht="15.6" thickTop="1" thickBot="1" x14ac:dyDescent="0.35">
      <c r="B370" s="377"/>
      <c r="C370" s="378"/>
      <c r="D370" s="177" t="s">
        <v>346</v>
      </c>
      <c r="E370" s="72">
        <v>44788</v>
      </c>
      <c r="G370" s="377"/>
      <c r="H370" s="378"/>
      <c r="I370" s="177" t="s">
        <v>346</v>
      </c>
      <c r="J370" s="72">
        <v>44788</v>
      </c>
      <c r="L370" s="377"/>
      <c r="M370" s="378"/>
      <c r="N370" s="177" t="s">
        <v>346</v>
      </c>
      <c r="O370" s="72">
        <v>44788</v>
      </c>
    </row>
    <row r="371" spans="2:15" ht="15.6" thickTop="1" thickBot="1" x14ac:dyDescent="0.35">
      <c r="B371" s="379"/>
      <c r="C371" s="380"/>
      <c r="D371" s="177" t="s">
        <v>344</v>
      </c>
      <c r="E371" s="72">
        <v>46005</v>
      </c>
      <c r="G371" s="379"/>
      <c r="H371" s="380"/>
      <c r="I371" s="177" t="s">
        <v>344</v>
      </c>
      <c r="J371" s="72">
        <v>46036</v>
      </c>
      <c r="L371" s="379"/>
      <c r="M371" s="380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75" t="s">
        <v>90</v>
      </c>
      <c r="C397" s="376"/>
      <c r="D397" s="177" t="s">
        <v>345</v>
      </c>
      <c r="E397" s="72">
        <v>46068</v>
      </c>
      <c r="G397" s="375" t="s">
        <v>90</v>
      </c>
      <c r="H397" s="376"/>
      <c r="I397" s="177" t="s">
        <v>345</v>
      </c>
      <c r="J397" s="72">
        <v>46096</v>
      </c>
      <c r="L397" s="375" t="s">
        <v>90</v>
      </c>
      <c r="M397" s="376"/>
      <c r="N397" s="177" t="s">
        <v>345</v>
      </c>
      <c r="O397" s="72">
        <v>46127</v>
      </c>
    </row>
    <row r="398" spans="2:15" ht="15.6" thickTop="1" thickBot="1" x14ac:dyDescent="0.35">
      <c r="B398" s="377"/>
      <c r="C398" s="378"/>
      <c r="D398" s="177" t="s">
        <v>346</v>
      </c>
      <c r="E398" s="72">
        <v>44788</v>
      </c>
      <c r="G398" s="377"/>
      <c r="H398" s="378"/>
      <c r="I398" s="177" t="s">
        <v>346</v>
      </c>
      <c r="J398" s="72">
        <v>44788</v>
      </c>
      <c r="L398" s="377"/>
      <c r="M398" s="378"/>
      <c r="N398" s="177" t="s">
        <v>346</v>
      </c>
      <c r="O398" s="72">
        <v>44788</v>
      </c>
    </row>
    <row r="399" spans="2:15" ht="15.6" thickTop="1" thickBot="1" x14ac:dyDescent="0.35">
      <c r="B399" s="379"/>
      <c r="C399" s="380"/>
      <c r="D399" s="177" t="s">
        <v>344</v>
      </c>
      <c r="E399" s="72">
        <v>46095</v>
      </c>
      <c r="G399" s="379"/>
      <c r="H399" s="380"/>
      <c r="I399" s="177" t="s">
        <v>344</v>
      </c>
      <c r="J399" s="72">
        <v>46126</v>
      </c>
      <c r="L399" s="379"/>
      <c r="M399" s="380"/>
      <c r="N399" s="177" t="s">
        <v>344</v>
      </c>
      <c r="O399" s="72">
        <v>46156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  <c r="L400" s="57" t="s">
        <v>89</v>
      </c>
      <c r="M400" s="2"/>
      <c r="N400" s="2"/>
      <c r="O400" s="114">
        <v>7800</v>
      </c>
    </row>
    <row r="401" spans="2:15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  <c r="L401" s="58" t="s">
        <v>162</v>
      </c>
      <c r="M401" s="59"/>
      <c r="N401" s="59"/>
      <c r="O401" s="120"/>
    </row>
    <row r="402" spans="2:15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  <c r="L402" s="118" t="s">
        <v>207</v>
      </c>
      <c r="M402" s="2"/>
      <c r="N402" s="2"/>
      <c r="O402" s="113">
        <v>47470</v>
      </c>
    </row>
    <row r="403" spans="2:15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  <c r="L403" s="119" t="s">
        <v>208</v>
      </c>
      <c r="M403" s="2"/>
      <c r="N403" s="2"/>
      <c r="O403" s="65">
        <v>460</v>
      </c>
    </row>
    <row r="404" spans="2:15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  <c r="L404" s="57" t="s">
        <v>100</v>
      </c>
      <c r="M404" s="2"/>
      <c r="N404" s="2"/>
      <c r="O404" s="66">
        <v>2100</v>
      </c>
    </row>
    <row r="405" spans="2:15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  <c r="L405" s="119" t="s">
        <v>209</v>
      </c>
      <c r="M405" s="2"/>
      <c r="N405" s="2"/>
      <c r="O405" s="121">
        <v>6370.6</v>
      </c>
    </row>
    <row r="406" spans="2:15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  <c r="L406" s="57" t="s">
        <v>102</v>
      </c>
      <c r="M406" s="2"/>
      <c r="N406" s="2"/>
      <c r="O406" s="66">
        <v>210</v>
      </c>
    </row>
    <row r="407" spans="2:15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  <c r="L407" s="122" t="s">
        <v>39</v>
      </c>
      <c r="M407" s="59"/>
      <c r="N407" s="59"/>
      <c r="O407" s="120"/>
    </row>
    <row r="408" spans="2:15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38161.699999999983</v>
      </c>
      <c r="L408" s="57" t="s">
        <v>98</v>
      </c>
      <c r="M408" s="2"/>
      <c r="N408" s="2"/>
      <c r="O408" s="229">
        <v>38866.139999999985</v>
      </c>
    </row>
    <row r="409" spans="2:15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1229.44</v>
      </c>
      <c r="L409" s="57" t="s">
        <v>101</v>
      </c>
      <c r="M409" s="2"/>
      <c r="N409" s="2"/>
      <c r="O409" s="66">
        <v>704.44</v>
      </c>
    </row>
    <row r="410" spans="2:15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7208.3000000000175</v>
      </c>
      <c r="L410" s="70" t="s">
        <v>93</v>
      </c>
      <c r="M410" s="69"/>
      <c r="N410" s="60"/>
      <c r="O410" s="68">
        <v>8603.8600000000151</v>
      </c>
    </row>
    <row r="411" spans="2:15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4547.7999999999993</v>
      </c>
      <c r="L411" s="57" t="s">
        <v>99</v>
      </c>
      <c r="M411" s="2"/>
      <c r="N411" s="2"/>
      <c r="O411" s="229">
        <v>4665.7999999999993</v>
      </c>
    </row>
    <row r="412" spans="2:15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222</v>
      </c>
      <c r="L412" s="57" t="s">
        <v>103</v>
      </c>
      <c r="M412" s="2"/>
      <c r="N412" s="2"/>
      <c r="O412" s="66">
        <v>142</v>
      </c>
    </row>
    <row r="413" spans="2:15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1612.8000000000011</v>
      </c>
      <c r="L413" s="70" t="s">
        <v>95</v>
      </c>
      <c r="M413" s="60"/>
      <c r="N413" s="60"/>
      <c r="O413" s="68">
        <v>1704.8000000000011</v>
      </c>
    </row>
    <row r="414" spans="2:15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  <c r="L414" s="58" t="s">
        <v>210</v>
      </c>
      <c r="M414" s="123"/>
      <c r="N414" s="59"/>
      <c r="O414" s="227"/>
    </row>
    <row r="415" spans="2:15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  <c r="L415" s="57" t="s">
        <v>260</v>
      </c>
      <c r="M415" s="115"/>
      <c r="N415" s="2"/>
      <c r="O415" s="67">
        <v>268.69999999999993</v>
      </c>
    </row>
    <row r="416" spans="2:15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  <c r="L416" s="57" t="s">
        <v>367</v>
      </c>
      <c r="M416" s="124"/>
      <c r="N416" s="125"/>
      <c r="O416" s="65">
        <v>1914.01</v>
      </c>
    </row>
    <row r="417" spans="2:15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  <c r="L417" s="57" t="s">
        <v>227</v>
      </c>
      <c r="M417" s="124"/>
      <c r="N417" s="125"/>
      <c r="O417" s="65">
        <v>434</v>
      </c>
    </row>
    <row r="418" spans="2:15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  <c r="L418" s="57" t="s">
        <v>91</v>
      </c>
      <c r="M418" s="2"/>
      <c r="N418" s="2"/>
      <c r="O418" s="64">
        <v>7800</v>
      </c>
    </row>
    <row r="419" spans="2:15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  <c r="L419" s="57" t="s">
        <v>97</v>
      </c>
      <c r="M419" s="2"/>
      <c r="N419" s="2"/>
      <c r="O419" s="63">
        <v>487.5</v>
      </c>
    </row>
    <row r="420" spans="2:15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  <c r="L420" s="57" t="s">
        <v>315</v>
      </c>
      <c r="M420" s="2"/>
      <c r="N420" s="2"/>
      <c r="O420" s="64">
        <v>4291.29</v>
      </c>
    </row>
    <row r="421" spans="2:15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2884.19</v>
      </c>
      <c r="L421" s="57" t="s">
        <v>94</v>
      </c>
      <c r="M421" s="2"/>
      <c r="N421" s="126"/>
      <c r="O421" s="176">
        <v>1782.63</v>
      </c>
    </row>
    <row r="422" spans="2:15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  <c r="L422" s="61" t="s">
        <v>92</v>
      </c>
      <c r="M422" s="62"/>
      <c r="N422" s="128"/>
      <c r="O422" s="129">
        <v>12091.29</v>
      </c>
    </row>
    <row r="423" spans="2:15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  <c r="L423" s="61" t="s">
        <v>96</v>
      </c>
      <c r="M423" s="62"/>
      <c r="N423" s="128"/>
      <c r="O423" s="140">
        <v>12091.290000000015</v>
      </c>
    </row>
    <row r="424" spans="2:15" ht="15" thickTop="1" x14ac:dyDescent="0.3"/>
    <row r="426" spans="2:15" x14ac:dyDescent="0.3">
      <c r="J426" s="12"/>
    </row>
  </sheetData>
  <mergeCells count="46">
    <mergeCell ref="L397:M399"/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1" t="s">
        <v>261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</row>
    <row r="3" spans="2:17" x14ac:dyDescent="0.3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x14ac:dyDescent="0.3"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Q4" s="24"/>
    </row>
    <row r="5" spans="2:17" ht="15" thickBot="1" x14ac:dyDescent="0.35">
      <c r="Q5" s="24"/>
    </row>
    <row r="6" spans="2:17" ht="15.6" thickTop="1" thickBot="1" x14ac:dyDescent="0.35">
      <c r="B6" s="375" t="s">
        <v>90</v>
      </c>
      <c r="C6" s="402"/>
      <c r="D6" s="376"/>
      <c r="E6" s="72">
        <v>44788</v>
      </c>
      <c r="G6" s="375" t="s">
        <v>90</v>
      </c>
      <c r="H6" s="402"/>
      <c r="I6" s="376"/>
      <c r="J6" s="72">
        <v>44788</v>
      </c>
      <c r="L6" s="375" t="s">
        <v>90</v>
      </c>
      <c r="M6" s="402"/>
      <c r="N6" s="376"/>
      <c r="O6" s="72">
        <v>44788</v>
      </c>
      <c r="Q6" s="24"/>
    </row>
    <row r="7" spans="2:17" ht="15.6" thickTop="1" thickBot="1" x14ac:dyDescent="0.35">
      <c r="B7" s="379"/>
      <c r="C7" s="403"/>
      <c r="D7" s="380"/>
      <c r="E7" s="72">
        <v>44788</v>
      </c>
      <c r="G7" s="379"/>
      <c r="H7" s="403"/>
      <c r="I7" s="380"/>
      <c r="J7" s="72">
        <v>44819</v>
      </c>
      <c r="L7" s="379"/>
      <c r="M7" s="403"/>
      <c r="N7" s="380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75" t="s">
        <v>90</v>
      </c>
      <c r="C33" s="402"/>
      <c r="D33" s="376"/>
      <c r="E33" s="72">
        <v>44788</v>
      </c>
      <c r="G33" s="375" t="s">
        <v>90</v>
      </c>
      <c r="H33" s="402"/>
      <c r="I33" s="376"/>
      <c r="J33" s="72">
        <v>44788</v>
      </c>
      <c r="L33" s="375" t="s">
        <v>90</v>
      </c>
      <c r="M33" s="402"/>
      <c r="N33" s="376"/>
      <c r="O33" s="72">
        <v>44788</v>
      </c>
    </row>
    <row r="34" spans="2:15" ht="15.6" thickTop="1" thickBot="1" x14ac:dyDescent="0.35">
      <c r="B34" s="379"/>
      <c r="C34" s="403"/>
      <c r="D34" s="380"/>
      <c r="E34" s="72">
        <v>44880</v>
      </c>
      <c r="G34" s="379"/>
      <c r="H34" s="403"/>
      <c r="I34" s="380"/>
      <c r="J34" s="72">
        <v>44910</v>
      </c>
      <c r="L34" s="379"/>
      <c r="M34" s="403"/>
      <c r="N34" s="380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75" t="s">
        <v>90</v>
      </c>
      <c r="C60" s="402"/>
      <c r="D60" s="376"/>
      <c r="E60" s="72">
        <v>44788</v>
      </c>
      <c r="G60" s="375" t="s">
        <v>90</v>
      </c>
      <c r="H60" s="402"/>
      <c r="I60" s="376"/>
      <c r="J60" s="72">
        <v>44788</v>
      </c>
      <c r="L60" s="375" t="s">
        <v>90</v>
      </c>
      <c r="M60" s="402"/>
      <c r="N60" s="376"/>
      <c r="O60" s="72">
        <v>44788</v>
      </c>
    </row>
    <row r="61" spans="2:15" ht="15.6" thickTop="1" thickBot="1" x14ac:dyDescent="0.35">
      <c r="B61" s="379"/>
      <c r="C61" s="403"/>
      <c r="D61" s="380"/>
      <c r="E61" s="72">
        <v>44972</v>
      </c>
      <c r="G61" s="379"/>
      <c r="H61" s="403"/>
      <c r="I61" s="380"/>
      <c r="J61" s="72">
        <v>45000</v>
      </c>
      <c r="L61" s="379"/>
      <c r="M61" s="403"/>
      <c r="N61" s="380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75" t="s">
        <v>90</v>
      </c>
      <c r="C87" s="402"/>
      <c r="D87" s="376"/>
      <c r="E87" s="72">
        <v>44788</v>
      </c>
      <c r="G87" s="375" t="s">
        <v>90</v>
      </c>
      <c r="H87" s="402"/>
      <c r="I87" s="376"/>
      <c r="J87" s="72">
        <v>44788</v>
      </c>
      <c r="L87" s="375" t="s">
        <v>90</v>
      </c>
      <c r="M87" s="402"/>
      <c r="N87" s="376"/>
      <c r="O87" s="72">
        <v>44788</v>
      </c>
    </row>
    <row r="88" spans="2:15" ht="15.6" thickTop="1" thickBot="1" x14ac:dyDescent="0.35">
      <c r="B88" s="379"/>
      <c r="C88" s="403"/>
      <c r="D88" s="380"/>
      <c r="E88" s="72">
        <v>45061</v>
      </c>
      <c r="G88" s="379"/>
      <c r="H88" s="403"/>
      <c r="I88" s="380"/>
      <c r="J88" s="72">
        <v>45092</v>
      </c>
      <c r="L88" s="379"/>
      <c r="M88" s="403"/>
      <c r="N88" s="380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75" t="s">
        <v>90</v>
      </c>
      <c r="C114" s="402"/>
      <c r="D114" s="376"/>
      <c r="E114" s="72">
        <v>44788</v>
      </c>
      <c r="G114" s="375" t="s">
        <v>90</v>
      </c>
      <c r="H114" s="402"/>
      <c r="I114" s="376"/>
      <c r="J114" s="72">
        <v>44788</v>
      </c>
      <c r="L114" s="375" t="s">
        <v>90</v>
      </c>
      <c r="M114" s="402"/>
      <c r="N114" s="376"/>
      <c r="O114" s="72">
        <v>44788</v>
      </c>
    </row>
    <row r="115" spans="2:15" ht="15.6" thickTop="1" thickBot="1" x14ac:dyDescent="0.35">
      <c r="B115" s="379"/>
      <c r="C115" s="403"/>
      <c r="D115" s="380"/>
      <c r="E115" s="72">
        <v>45153</v>
      </c>
      <c r="G115" s="379"/>
      <c r="H115" s="403"/>
      <c r="I115" s="380"/>
      <c r="J115" s="72">
        <v>45184</v>
      </c>
      <c r="L115" s="379"/>
      <c r="M115" s="403"/>
      <c r="N115" s="380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75" t="s">
        <v>90</v>
      </c>
      <c r="C141" s="402"/>
      <c r="D141" s="376"/>
      <c r="E141" s="72">
        <v>44788</v>
      </c>
      <c r="G141" s="375" t="s">
        <v>90</v>
      </c>
      <c r="H141" s="402"/>
      <c r="I141" s="376"/>
      <c r="J141" s="72">
        <v>44788</v>
      </c>
      <c r="L141" s="375" t="s">
        <v>90</v>
      </c>
      <c r="M141" s="402"/>
      <c r="N141" s="376"/>
      <c r="O141" s="72">
        <v>44788</v>
      </c>
    </row>
    <row r="142" spans="2:15" ht="15.6" thickTop="1" thickBot="1" x14ac:dyDescent="0.35">
      <c r="B142" s="379"/>
      <c r="C142" s="403"/>
      <c r="D142" s="380"/>
      <c r="E142" s="72">
        <v>45245</v>
      </c>
      <c r="G142" s="379"/>
      <c r="H142" s="403"/>
      <c r="I142" s="380"/>
      <c r="J142" s="72">
        <v>45275</v>
      </c>
      <c r="L142" s="379"/>
      <c r="M142" s="403"/>
      <c r="N142" s="380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75" t="s">
        <v>90</v>
      </c>
      <c r="C168" s="402"/>
      <c r="D168" s="376"/>
      <c r="E168" s="72">
        <v>44788</v>
      </c>
      <c r="G168" s="375" t="s">
        <v>90</v>
      </c>
      <c r="H168" s="402"/>
      <c r="I168" s="376"/>
      <c r="J168" s="72">
        <v>44788</v>
      </c>
      <c r="L168" s="375" t="s">
        <v>90</v>
      </c>
      <c r="M168" s="402"/>
      <c r="N168" s="376"/>
      <c r="O168" s="72">
        <v>44788</v>
      </c>
    </row>
    <row r="169" spans="2:15" ht="15.6" thickTop="1" thickBot="1" x14ac:dyDescent="0.35">
      <c r="B169" s="379"/>
      <c r="C169" s="403"/>
      <c r="D169" s="380"/>
      <c r="E169" s="72">
        <v>45337</v>
      </c>
      <c r="G169" s="379"/>
      <c r="H169" s="403"/>
      <c r="I169" s="380"/>
      <c r="J169" s="72">
        <v>45366</v>
      </c>
      <c r="L169" s="379"/>
      <c r="M169" s="403"/>
      <c r="N169" s="380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75" t="s">
        <v>90</v>
      </c>
      <c r="C195" s="402"/>
      <c r="D195" s="376"/>
      <c r="E195" s="72">
        <v>44788</v>
      </c>
      <c r="G195" s="375" t="s">
        <v>90</v>
      </c>
      <c r="H195" s="402"/>
      <c r="I195" s="376"/>
      <c r="J195" s="72">
        <v>44788</v>
      </c>
      <c r="L195" s="375" t="s">
        <v>90</v>
      </c>
      <c r="M195" s="402"/>
      <c r="N195" s="376"/>
      <c r="O195" s="72">
        <v>44788</v>
      </c>
    </row>
    <row r="196" spans="2:15" ht="15.6" thickTop="1" thickBot="1" x14ac:dyDescent="0.35">
      <c r="B196" s="379"/>
      <c r="C196" s="403"/>
      <c r="D196" s="380"/>
      <c r="E196" s="72">
        <v>45427</v>
      </c>
      <c r="G196" s="379"/>
      <c r="H196" s="403"/>
      <c r="I196" s="380"/>
      <c r="J196" s="72">
        <v>45458</v>
      </c>
      <c r="L196" s="379"/>
      <c r="M196" s="403"/>
      <c r="N196" s="380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75" t="s">
        <v>90</v>
      </c>
      <c r="C222" s="402"/>
      <c r="D222" s="376"/>
      <c r="E222" s="72">
        <v>44788</v>
      </c>
      <c r="G222" s="375" t="s">
        <v>90</v>
      </c>
      <c r="H222" s="402"/>
      <c r="I222" s="376"/>
      <c r="J222" s="72">
        <v>44788</v>
      </c>
      <c r="L222" s="375" t="s">
        <v>90</v>
      </c>
      <c r="M222" s="402"/>
      <c r="N222" s="376"/>
      <c r="O222" s="72">
        <v>44788</v>
      </c>
    </row>
    <row r="223" spans="2:15" ht="15.6" thickTop="1" thickBot="1" x14ac:dyDescent="0.35">
      <c r="B223" s="379"/>
      <c r="C223" s="403"/>
      <c r="D223" s="380"/>
      <c r="E223" s="72">
        <v>45519</v>
      </c>
      <c r="G223" s="379"/>
      <c r="H223" s="403"/>
      <c r="I223" s="380"/>
      <c r="J223" s="72">
        <v>45550</v>
      </c>
      <c r="L223" s="379"/>
      <c r="M223" s="403"/>
      <c r="N223" s="380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75" t="s">
        <v>90</v>
      </c>
      <c r="C249" s="402"/>
      <c r="D249" s="376"/>
      <c r="E249" s="72">
        <v>44788</v>
      </c>
      <c r="G249" s="375" t="s">
        <v>90</v>
      </c>
      <c r="H249" s="402"/>
      <c r="I249" s="376"/>
      <c r="J249" s="72">
        <v>44788</v>
      </c>
      <c r="L249" s="375" t="s">
        <v>90</v>
      </c>
      <c r="M249" s="402"/>
      <c r="N249" s="376"/>
      <c r="O249" s="72">
        <v>44788</v>
      </c>
    </row>
    <row r="250" spans="2:15" ht="15.6" thickTop="1" thickBot="1" x14ac:dyDescent="0.35">
      <c r="B250" s="379"/>
      <c r="C250" s="403"/>
      <c r="D250" s="380"/>
      <c r="E250" s="72">
        <v>45611</v>
      </c>
      <c r="G250" s="379"/>
      <c r="H250" s="403"/>
      <c r="I250" s="380"/>
      <c r="J250" s="72">
        <v>45656</v>
      </c>
      <c r="L250" s="379"/>
      <c r="M250" s="403"/>
      <c r="N250" s="380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75" t="s">
        <v>90</v>
      </c>
      <c r="C276" s="402"/>
      <c r="D276" s="376"/>
      <c r="E276" s="72">
        <v>44788</v>
      </c>
      <c r="G276" s="375" t="s">
        <v>90</v>
      </c>
      <c r="H276" s="402"/>
      <c r="I276" s="376"/>
      <c r="J276" s="72">
        <v>44788</v>
      </c>
      <c r="L276" s="375" t="s">
        <v>90</v>
      </c>
      <c r="M276" s="402"/>
      <c r="N276" s="376"/>
      <c r="O276" s="72">
        <v>44788</v>
      </c>
    </row>
    <row r="277" spans="2:15" ht="15.6" thickTop="1" thickBot="1" x14ac:dyDescent="0.35">
      <c r="B277" s="379"/>
      <c r="C277" s="403"/>
      <c r="D277" s="380"/>
      <c r="E277" s="72">
        <v>45703</v>
      </c>
      <c r="G277" s="379"/>
      <c r="H277" s="403"/>
      <c r="I277" s="380"/>
      <c r="J277" s="72">
        <v>45732</v>
      </c>
      <c r="L277" s="379"/>
      <c r="M277" s="403"/>
      <c r="N277" s="380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75" t="s">
        <v>90</v>
      </c>
      <c r="C303" s="402"/>
      <c r="D303" s="376"/>
      <c r="E303" s="72">
        <v>44788</v>
      </c>
      <c r="G303" s="375" t="s">
        <v>90</v>
      </c>
      <c r="H303" s="402"/>
      <c r="I303" s="376"/>
      <c r="J303" s="72">
        <v>44788</v>
      </c>
    </row>
    <row r="304" spans="2:15" ht="15.6" thickTop="1" thickBot="1" x14ac:dyDescent="0.35">
      <c r="B304" s="379"/>
      <c r="C304" s="403"/>
      <c r="D304" s="380"/>
      <c r="E304" s="72">
        <v>45791</v>
      </c>
      <c r="G304" s="379"/>
      <c r="H304" s="403"/>
      <c r="I304" s="380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3600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4080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9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9" spans="1:17" x14ac:dyDescent="0.3">
      <c r="A9">
        <v>3</v>
      </c>
      <c r="B9" t="s">
        <v>565</v>
      </c>
      <c r="C9" t="s">
        <v>299</v>
      </c>
      <c r="D9" s="24">
        <v>46127</v>
      </c>
      <c r="E9" s="163">
        <v>1600</v>
      </c>
      <c r="F9">
        <v>5</v>
      </c>
      <c r="G9" s="163">
        <v>320</v>
      </c>
      <c r="H9" s="163">
        <v>32</v>
      </c>
      <c r="I9" s="163">
        <v>352</v>
      </c>
      <c r="J9" s="163">
        <v>1600</v>
      </c>
      <c r="K9" s="163">
        <v>160</v>
      </c>
      <c r="L9" s="163">
        <v>1760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555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80</v>
      </c>
      <c r="J3" s="76" t="s">
        <v>171</v>
      </c>
      <c r="K3" s="95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400</v>
      </c>
      <c r="O8" s="71">
        <f>E8-N8</f>
        <v>600</v>
      </c>
      <c r="P8" s="71">
        <f>SUMIFS(PAGOS[PAGO DEL INTERES],PAGOS[REG],"&lt;&gt;INGRESO*",PAGOS[REG],"&lt;&gt;EGRESO*",PAGOS['# PESTAMO],MID(B8,6,3)*1)</f>
        <v>80</v>
      </c>
      <c r="Q8" s="71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108.5</v>
      </c>
      <c r="J3" s="76" t="s">
        <v>171</v>
      </c>
      <c r="K3" s="95">
        <f>G3+I3</f>
        <v>108.5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1614.2100000000003</v>
      </c>
      <c r="O7" s="71">
        <f>E7-N7</f>
        <v>-1614.2100000000003</v>
      </c>
      <c r="P7" s="71">
        <f>SUMIFS(PAGOS!$I$3:$I$1048576,PAGOS!$A$3:$A$1048576,"&lt;&gt;INGRESO*",PAGOS!$A$3:$A$1048576,"&lt;&gt;EGRESO*",PAGOS!$E$3:$E$1048576,B7)</f>
        <v>108.5</v>
      </c>
      <c r="Q7" s="71">
        <f>K7-P7</f>
        <v>-108.5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46127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299</v>
      </c>
      <c r="D4" s="76" t="s">
        <v>140</v>
      </c>
      <c r="E4" s="80">
        <f>C6*E3</f>
        <v>32</v>
      </c>
      <c r="F4" s="81"/>
    </row>
    <row r="5" spans="2:6" x14ac:dyDescent="0.3">
      <c r="B5" s="76" t="s">
        <v>163</v>
      </c>
      <c r="C5" s="222">
        <v>123</v>
      </c>
      <c r="D5" s="76" t="s">
        <v>142</v>
      </c>
      <c r="E5" s="82">
        <f>C6/C7</f>
        <v>320</v>
      </c>
      <c r="F5" s="83"/>
    </row>
    <row r="6" spans="2:6" x14ac:dyDescent="0.3">
      <c r="B6" s="76" t="s">
        <v>141</v>
      </c>
      <c r="C6" s="89">
        <v>1600</v>
      </c>
      <c r="D6" s="76" t="s">
        <v>144</v>
      </c>
      <c r="E6" s="85">
        <f>E4+E5</f>
        <v>352</v>
      </c>
      <c r="F6" s="86"/>
    </row>
    <row r="7" spans="2:6" x14ac:dyDescent="0.3">
      <c r="B7" s="76" t="s">
        <v>143</v>
      </c>
      <c r="C7" s="84">
        <v>5</v>
      </c>
      <c r="D7" s="76" t="s">
        <v>145</v>
      </c>
      <c r="E7" s="90">
        <f>(E6)*C7</f>
        <v>1760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564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3" spans="3:5" x14ac:dyDescent="0.3">
      <c r="C23" t="s">
        <v>164</v>
      </c>
      <c r="E23" t="s">
        <v>164</v>
      </c>
    </row>
    <row r="24" spans="3:5" x14ac:dyDescent="0.3">
      <c r="C24" t="s">
        <v>165</v>
      </c>
      <c r="E24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536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537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539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540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541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538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684</v>
      </c>
      <c r="J3" s="76" t="s">
        <v>171</v>
      </c>
      <c r="K3" s="95">
        <f>G3+I3</f>
        <v>5684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542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543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300</v>
      </c>
      <c r="O15" s="71">
        <f t="shared" ref="O15" si="6">E15-N15</f>
        <v>900</v>
      </c>
      <c r="P15" s="71">
        <f>SUMIFS(PAGOS!$I$3:$I$1048576,PAGOS!$A$3:$A$1048576,"&lt;&gt;INGRESO*",PAGOS!$A$3:$A$1048576,"&lt;&gt;EGRESO*",PAGOS!$E$3:$E$1048576,+MID('05'!B15,6,3)*1)</f>
        <v>72</v>
      </c>
      <c r="Q15" s="71">
        <f t="shared" ref="Q15" si="7">K15-P15</f>
        <v>216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3850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8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546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340.4</v>
      </c>
      <c r="J3" s="76" t="s">
        <v>171</v>
      </c>
      <c r="K3" s="95">
        <f>G3+I3</f>
        <v>3700.4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400</v>
      </c>
      <c r="O15" s="71">
        <f t="shared" ref="O15" si="4">E15-N15</f>
        <v>100</v>
      </c>
      <c r="P15" s="71">
        <f>SUMIFS(PAGOS!$I$3:$I$1048576,PAGOS!$A$3:$A$1048576,"&lt;&gt;INGRESO*",PAGOS!$A$3:$A$1048576,"&lt;&gt;EGRESO*",PAGOS!$E$3:$E$1048576,+MID('09'!B15,6,3)*1)</f>
        <v>40</v>
      </c>
      <c r="Q15" s="71">
        <f t="shared" ref="Q15" si="5">K15-P15</f>
        <v>10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1450</v>
      </c>
      <c r="H3" s="76" t="s">
        <v>170</v>
      </c>
      <c r="I3" s="94">
        <f>SUM($P$7:$P$1048576)</f>
        <v>71</v>
      </c>
      <c r="J3" s="76" t="s">
        <v>171</v>
      </c>
      <c r="K3" s="95">
        <f>G3+I3</f>
        <v>1521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547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200</v>
      </c>
      <c r="O12" s="71">
        <f t="shared" si="0"/>
        <v>0</v>
      </c>
      <c r="P12" s="71">
        <f>SUMIFS(PAGOS!$I$3:$I$1048576,PAGOS!$A$3:$A$1048576,"&lt;&gt;INGRESO*",PAGOS!$A$3:$A$1048576,"&lt;&gt;EGRESO*",PAGOS!$E$3:$E$1048576,+MID('10'!B12,6,3)*1)</f>
        <v>4</v>
      </c>
      <c r="Q12" s="71">
        <f t="shared" si="1"/>
        <v>0</v>
      </c>
    </row>
    <row r="13" spans="1:17" x14ac:dyDescent="0.3">
      <c r="A13">
        <v>7</v>
      </c>
      <c r="B13" s="10" t="s">
        <v>556</v>
      </c>
      <c r="C13" t="s">
        <v>18</v>
      </c>
      <c r="D13" s="24">
        <v>46127</v>
      </c>
      <c r="E13">
        <v>500</v>
      </c>
      <c r="F13">
        <v>5</v>
      </c>
      <c r="G13">
        <v>100</v>
      </c>
      <c r="H13">
        <v>10</v>
      </c>
      <c r="I13" s="73">
        <v>110</v>
      </c>
      <c r="J13">
        <v>500</v>
      </c>
      <c r="K13">
        <v>50</v>
      </c>
      <c r="L13">
        <v>550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124</v>
      </c>
      <c r="J3" s="76" t="s">
        <v>171</v>
      </c>
      <c r="K3" s="95">
        <f>G3+I3</f>
        <v>1724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166.64999999999998</v>
      </c>
      <c r="O11" s="71">
        <f>E11-N11</f>
        <v>33.350000000000023</v>
      </c>
      <c r="P11" s="71">
        <f>SUMIFS(PAGOS!$I$3:$I$1048576,PAGOS!$A$3:$A$1048576,"&lt;&gt;INGRESO*",PAGOS!$A$3:$A$1048576,"&lt;&gt;EGRESO*",PAGOS!$E$3:$E$1048576,+MID('11'!B11,6,3)*1)</f>
        <v>20</v>
      </c>
      <c r="Q11" s="71">
        <f>K11-P11</f>
        <v>4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618</v>
      </c>
      <c r="J3" s="76" t="s">
        <v>171</v>
      </c>
      <c r="K3" s="95">
        <f>G3+I3</f>
        <v>5618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548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526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125</v>
      </c>
      <c r="O14" s="71">
        <f t="shared" ref="O14" si="4">E14-N14</f>
        <v>1375</v>
      </c>
      <c r="P14" s="71">
        <f>SUMIFS(PAGOS!$I$3:$I$1048576,PAGOS!$A$3:$A$1048576,"&lt;&gt;INGRESO*",PAGOS!$A$3:$A$1048576,"&lt;&gt;EGRESO*",PAGOS!$E$3:$E$1048576,+MID('12'!B14,6,3)*1)</f>
        <v>30</v>
      </c>
      <c r="Q14" s="71">
        <f t="shared" ref="Q14" si="5">K14-P14</f>
        <v>330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489</v>
      </c>
      <c r="J3" s="76" t="s">
        <v>171</v>
      </c>
      <c r="K3" s="95">
        <f>G3+I3</f>
        <v>6109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444.44</v>
      </c>
      <c r="O15" s="71">
        <f>E15-N15</f>
        <v>1555.56</v>
      </c>
      <c r="P15" s="71">
        <f>SUMIFS(PAGOS!$I$3:$I$1048576,PAGOS!$A$3:$A$1048576,"&lt;&gt;INGRESO*",PAGOS!$A$3:$A$1048576,"&lt;&gt;EGRESO*",PAGOS!$E$3:$E$1048576,+MID('14'!B15,6,3)*1)</f>
        <v>160</v>
      </c>
      <c r="Q15" s="71">
        <f>K15-P15</f>
        <v>560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549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9"/>
  <sheetViews>
    <sheetView workbookViewId="0">
      <selection activeCell="C28" sqref="C2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4600</v>
      </c>
      <c r="H3" s="76" t="s">
        <v>170</v>
      </c>
      <c r="I3" s="94">
        <f>SUM($P$7:$P$1048576)</f>
        <v>253.4</v>
      </c>
      <c r="J3" s="76" t="s">
        <v>171</v>
      </c>
      <c r="K3" s="95">
        <f>G3+I3</f>
        <v>4853.3999999999996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29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550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525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200</v>
      </c>
      <c r="O24" s="71">
        <f t="shared" si="14"/>
        <v>0</v>
      </c>
      <c r="P24" s="71">
        <f>SUMIFS(PAGOS!$I$3:$I$1048576,PAGOS!$A$3:$A$1048576,"&lt;&gt;INGRESO*",PAGOS!$A$3:$A$1048576,"&lt;&gt;EGRESO*",PAGOS!$E$3:$E$1048576,+MID('16'!B24,6,3)*1)</f>
        <v>8</v>
      </c>
      <c r="Q24" s="71">
        <f t="shared" si="15"/>
        <v>0</v>
      </c>
    </row>
    <row r="25" spans="1:17" x14ac:dyDescent="0.3">
      <c r="A25" s="42">
        <v>19</v>
      </c>
      <c r="B25" s="36" t="s">
        <v>551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552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553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0</v>
      </c>
      <c r="O27" s="71">
        <f t="shared" ref="O27:O28" si="20">E27-N27</f>
        <v>100</v>
      </c>
      <c r="P27" s="71">
        <f>SUMIFS(PAGOS!$I$3:$I$1048576,PAGOS!$A$3:$A$1048576,"&lt;&gt;INGRESO*",PAGOS!$A$3:$A$1048576,"&lt;&gt;EGRESO*",PAGOS!$E$3:$E$1048576,+MID('16'!B27,6,3)*1)</f>
        <v>0</v>
      </c>
      <c r="Q27" s="71">
        <f t="shared" ref="Q27:Q28" si="21">K27-P27</f>
        <v>2</v>
      </c>
    </row>
    <row r="28" spans="1:17" x14ac:dyDescent="0.3">
      <c r="A28" s="42">
        <v>22</v>
      </c>
      <c r="B28" s="36" t="s">
        <v>554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  <row r="29" spans="1:17" x14ac:dyDescent="0.3">
      <c r="A29">
        <v>23</v>
      </c>
      <c r="B29" s="10" t="s">
        <v>556</v>
      </c>
      <c r="C29" t="s">
        <v>23</v>
      </c>
      <c r="D29" s="24">
        <v>46122</v>
      </c>
      <c r="E29" s="103">
        <v>100</v>
      </c>
      <c r="F29">
        <v>3</v>
      </c>
      <c r="G29" s="103">
        <v>33.333333333333336</v>
      </c>
      <c r="H29" s="103">
        <v>2</v>
      </c>
      <c r="I29" s="104">
        <v>35.333333333333336</v>
      </c>
      <c r="J29" s="103">
        <v>100</v>
      </c>
      <c r="K29" s="103">
        <v>6</v>
      </c>
      <c r="L29" s="103">
        <v>106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563.6</v>
      </c>
      <c r="J3" s="76" t="s">
        <v>171</v>
      </c>
      <c r="K3" s="95">
        <f>G3+I3</f>
        <v>4743.6000000000004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544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800</v>
      </c>
      <c r="O11" s="71">
        <f t="shared" si="0"/>
        <v>400</v>
      </c>
      <c r="P11" s="71">
        <f>SUMIFS(PAGOS!$I$3:$I$1048576,PAGOS!$A$3:$A$1048576,"&lt;&gt;INGRESO*",PAGOS!$A$3:$A$1048576,"&lt;&gt;EGRESO*",PAGOS!$E$3:$E$1048576,+MID('06'!B11,6,3)*1)</f>
        <v>192</v>
      </c>
      <c r="Q11" s="71">
        <f t="shared" si="1"/>
        <v>96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545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120</v>
      </c>
      <c r="O13" s="71">
        <f t="shared" ref="O13" si="2">E13-N13</f>
        <v>480</v>
      </c>
      <c r="P13" s="71">
        <f>SUMIFS(PAGOS!$I$3:$I$1048576,PAGOS!$A$3:$A$1048576,"&lt;&gt;INGRESO*",PAGOS!$A$3:$A$1048576,"&lt;&gt;EGRESO*",PAGOS!$E$3:$E$1048576,+MID('06'!B13,6,3)*1)</f>
        <v>24</v>
      </c>
      <c r="Q13" s="71">
        <f t="shared" ref="Q13" si="3">K13-P13</f>
        <v>96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4F9A1D-BFE5-494F-A922-7C62EFB068ED}">
  <ds:schemaRefs/>
</ds:datastoreItem>
</file>

<file path=customXml/itemProps2.xml><?xml version="1.0" encoding="utf-8"?>
<ds:datastoreItem xmlns:ds="http://schemas.openxmlformats.org/officeDocument/2006/customXml" ds:itemID="{2F104506-0E2E-4D3E-B344-CE10980C0B1D}">
  <ds:schemaRefs/>
</ds:datastoreItem>
</file>

<file path=customXml/itemProps3.xml><?xml version="1.0" encoding="utf-8"?>
<ds:datastoreItem xmlns:ds="http://schemas.openxmlformats.org/officeDocument/2006/customXml" ds:itemID="{340873D7-D046-4561-83BB-0AF814B7A895}">
  <ds:schemaRefs/>
</ds:datastoreItem>
</file>

<file path=customXml/itemProps4.xml><?xml version="1.0" encoding="utf-8"?>
<ds:datastoreItem xmlns:ds="http://schemas.openxmlformats.org/officeDocument/2006/customXml" ds:itemID="{EAAAD0B9-D380-40DE-B138-5E3E3F103374}">
  <ds:schemaRefs/>
</ds:datastoreItem>
</file>

<file path=customXml/itemProps5.xml><?xml version="1.0" encoding="utf-8"?>
<ds:datastoreItem xmlns:ds="http://schemas.openxmlformats.org/officeDocument/2006/customXml" ds:itemID="{A28830D5-EA88-4415-8641-5FA92227B1CF}">
  <ds:schemaRefs/>
</ds:datastoreItem>
</file>

<file path=customXml/itemProps6.xml><?xml version="1.0" encoding="utf-8"?>
<ds:datastoreItem xmlns:ds="http://schemas.openxmlformats.org/officeDocument/2006/customXml" ds:itemID="{24EFC8E0-F5AA-4930-AD6C-411769E6EED5}">
  <ds:schemaRefs/>
</ds:datastoreItem>
</file>

<file path=customXml/itemProps7.xml><?xml version="1.0" encoding="utf-8"?>
<ds:datastoreItem xmlns:ds="http://schemas.openxmlformats.org/officeDocument/2006/customXml" ds:itemID="{CCC2BFEA-1C63-45CB-998F-867C60539D8E}">
  <ds:schemaRefs/>
</ds:datastoreItem>
</file>

<file path=customXml/itemProps8.xml><?xml version="1.0" encoding="utf-8"?>
<ds:datastoreItem xmlns:ds="http://schemas.openxmlformats.org/officeDocument/2006/customXml" ds:itemID="{6FACA953-6097-4604-A6ED-E95603AC46F9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6977713-5519-4DDE-A98E-ED694EEEE002}">
  <ds:schemaRefs/>
</ds:datastoreItem>
</file>

<file path=customXml/itemProps11.xml><?xml version="1.0" encoding="utf-8"?>
<ds:datastoreItem xmlns:ds="http://schemas.openxmlformats.org/officeDocument/2006/customXml" ds:itemID="{504DB1F8-1600-4022-BDB4-8099180D3EF9}">
  <ds:schemaRefs/>
</ds:datastoreItem>
</file>

<file path=customXml/itemProps12.xml><?xml version="1.0" encoding="utf-8"?>
<ds:datastoreItem xmlns:ds="http://schemas.openxmlformats.org/officeDocument/2006/customXml" ds:itemID="{97E1DBCD-AC0D-458A-8D28-BA2F02059B64}">
  <ds:schemaRefs/>
</ds:datastoreItem>
</file>

<file path=customXml/itemProps13.xml><?xml version="1.0" encoding="utf-8"?>
<ds:datastoreItem xmlns:ds="http://schemas.openxmlformats.org/officeDocument/2006/customXml" ds:itemID="{4794A331-D7C0-48C9-A64A-2F708E40918C}">
  <ds:schemaRefs/>
</ds:datastoreItem>
</file>

<file path=customXml/itemProps14.xml><?xml version="1.0" encoding="utf-8"?>
<ds:datastoreItem xmlns:ds="http://schemas.openxmlformats.org/officeDocument/2006/customXml" ds:itemID="{54414082-E515-4251-B822-C9A98D18339A}">
  <ds:schemaRefs/>
</ds:datastoreItem>
</file>

<file path=customXml/itemProps15.xml><?xml version="1.0" encoding="utf-8"?>
<ds:datastoreItem xmlns:ds="http://schemas.openxmlformats.org/officeDocument/2006/customXml" ds:itemID="{B41D8EFD-3A32-4151-9111-9D1B3D59D808}">
  <ds:schemaRefs/>
</ds:datastoreItem>
</file>

<file path=customXml/itemProps16.xml><?xml version="1.0" encoding="utf-8"?>
<ds:datastoreItem xmlns:ds="http://schemas.openxmlformats.org/officeDocument/2006/customXml" ds:itemID="{955A7C4F-825D-4FE6-9AD2-D409438C3D5D}">
  <ds:schemaRefs/>
</ds:datastoreItem>
</file>

<file path=customXml/itemProps17.xml><?xml version="1.0" encoding="utf-8"?>
<ds:datastoreItem xmlns:ds="http://schemas.openxmlformats.org/officeDocument/2006/customXml" ds:itemID="{F4B64C65-FDE9-48C7-BFC1-1F5E0CA796BC}">
  <ds:schemaRefs/>
</ds:datastoreItem>
</file>

<file path=customXml/itemProps18.xml><?xml version="1.0" encoding="utf-8"?>
<ds:datastoreItem xmlns:ds="http://schemas.openxmlformats.org/officeDocument/2006/customXml" ds:itemID="{970D74BA-31C1-4589-8419-C43A52CE3BC7}">
  <ds:schemaRefs/>
</ds:datastoreItem>
</file>

<file path=customXml/itemProps19.xml><?xml version="1.0" encoding="utf-8"?>
<ds:datastoreItem xmlns:ds="http://schemas.openxmlformats.org/officeDocument/2006/customXml" ds:itemID="{12E6C9B4-C406-4DBA-BDA9-CB28F7BA0F27}">
  <ds:schemaRefs/>
</ds:datastoreItem>
</file>

<file path=customXml/itemProps20.xml><?xml version="1.0" encoding="utf-8"?>
<ds:datastoreItem xmlns:ds="http://schemas.openxmlformats.org/officeDocument/2006/customXml" ds:itemID="{0AF9AE0E-3BD4-4E99-AEF5-94B0341FFF37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EA8ECFC1-1041-46A5-AC72-47EFFDA409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2026-04-16T01:41:54Z</cp:lastPrinted>
  <dcterms:created xsi:type="dcterms:W3CDTF">2023-09-09T22:17:43Z</dcterms:created>
  <dcterms:modified xsi:type="dcterms:W3CDTF">2026-04-16T03:57:44Z</dcterms:modified>
</cp:coreProperties>
</file>