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66918E58-A77C-468A-B0EA-AD0AE578B561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PAGOS!$A$2:$K$418</definedName>
    <definedName name="_xlnm._FilterDatabase" localSheetId="3" hidden="1">PRESTAMOS!$A$2:$K$113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18" i="18" l="1"/>
  <c r="L417" i="18"/>
  <c r="L416" i="18"/>
  <c r="L415" i="18"/>
  <c r="L414" i="18"/>
  <c r="K113" i="3"/>
  <c r="L113" i="3"/>
  <c r="K112" i="3"/>
  <c r="L112" i="3"/>
  <c r="H111" i="3"/>
  <c r="I111" i="3" s="1"/>
  <c r="K111" i="3"/>
  <c r="L111" i="3"/>
  <c r="E6" i="68"/>
  <c r="E6" i="67"/>
  <c r="H110" i="3" l="1"/>
  <c r="I110" i="3" s="1"/>
  <c r="K110" i="3"/>
  <c r="L110" i="3"/>
  <c r="H109" i="3"/>
  <c r="I109" i="3" s="1"/>
  <c r="K109" i="3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98" i="3" l="1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H22" i="39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I24" i="39" l="1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M22" i="39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<sst xmlns="http://schemas.openxmlformats.org/spreadsheetml/2006/main" count="4775" uniqueCount="578">
  <si>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</si>
  <si>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</si>
  <si>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</si>
  <si>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</si>
  <si>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</si>
  <si>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</si>
  <si>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</si>
  <si>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</si>
  <si>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</si>
  <si>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</si>
  <si>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</si>
  <si>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</si>
  <si>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</si>
  <si>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</si>
  <si>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</si>
  <si>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</si>
  <si>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</si>
  <si>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</si>
  <si>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</si>
  <si>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</si>
  <si>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</si>
  <si>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</si>
  <si>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</si>
  <si>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</si>
  <si>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</si>
  <si>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</si>
  <si>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</si>
  <si>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</si>
  <si>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</si>
  <si>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</si>
  <si>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</si>
  <si>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</si>
  <si>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</si>
  <si>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</si>
  <si>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</si>
  <si>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</si>
  <si>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</si>
  <si>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</si>
  <si>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</si>
  <si>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</si>
  <si>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</si>
  <si>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</si>
  <si>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</si>
  <si>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</si>
  <si>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</si>
  <si>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</si>
  <si>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</si>
  <si>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</si>
  <si>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</si>
  <si>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</si>
  <si>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</si>
  <si>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</si>
  <si>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</si>
  <si>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</si>
  <si>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</si>
  <si>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</si>
  <si>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</si>
  <si>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</si>
  <si>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</si>
  <si>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</si>
  <si>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</si>
  <si>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</si>
  <si>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</si>
  <si>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</si>
  <si>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</si>
  <si>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</si>
  <si>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</si>
  <si>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</si>
  <si>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</si>
  <si>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</si>
  <si>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</si>
  <si>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</si>
  <si>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</si>
  <si>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</si>
  <si>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</si>
  <si>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</si>
  <si>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</si>
  <si>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</si>
  <si>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</si>
  <si>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</si>
  <si>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</si>
  <si>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</si>
  <si>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</si>
  <si>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</si>
  <si>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</si>
  <si>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</si>
  <si>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</si>
  <si>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</si>
  <si>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</si>
  <si>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</si>
  <si>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</si>
  <si>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</si>
  <si>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</si>
  <si>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</si>
  <si>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</si>
  <si>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</si>
  <si>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</si>
  <si>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</si>
  <si>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</si>
  <si>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</si>
  <si>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</si>
  <si>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</si>
  <si>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</si>
  <si>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</si>
  <si>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</si>
  <si>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</si>
  <si>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</si>
  <si>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</si>
  <si>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</si>
  <si>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</si>
  <si>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</si>
  <si>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</si>
  <si>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</si>
  <si>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</si>
  <si>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</si>
  <si>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</si>
  <si>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</si>
  <si>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</si>
  <si>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</si>
  <si>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</si>
  <si>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</si>
  <si>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</si>
  <si>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</si>
  <si>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</si>
  <si>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</si>
  <si>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</si>
  <si>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</si>
  <si>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</si>
  <si>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</si>
  <si>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</si>
  <si>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</si>
  <si>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</si>
  <si>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</si>
  <si>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</si>
  <si>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</si>
  <si>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</si>
  <si>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</si>
  <si>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</si>
  <si>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</si>
  <si>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</si>
  <si>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</si>
  <si>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</si>
  <si>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</si>
  <si>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</si>
  <si>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</si>
  <si>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</si>
  <si>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</si>
  <si>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</si>
  <si>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</si>
  <si>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</si>
  <si>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</si>
  <si>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</si>
  <si>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</si>
  <si>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</si>
  <si>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</si>
  <si>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</si>
  <si>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</si>
  <si>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</si>
  <si>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</si>
  <si>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</si>
  <si>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</si>
  <si>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</si>
  <si>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</si>
  <si>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</si>
  <si>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</si>
  <si>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</si>
  <si>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</si>
  <si>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</si>
  <si>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</si>
  <si>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</si>
  <si>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</si>
  <si>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</si>
  <si>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</si>
  <si>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</si>
  <si>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</si>
  <si>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</si>
  <si>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</si>
  <si>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</si>
  <si>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</si>
  <si>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</si>
  <si>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</si>
  <si>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</si>
  <si>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</si>
  <si>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</si>
  <si>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</si>
  <si>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</si>
  <si>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</si>
  <si>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</si>
  <si>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</si>
  <si>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</si>
  <si>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</si>
  <si>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</si>
  <si>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</si>
  <si>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</si>
  <si>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</si>
  <si>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</si>
  <si>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</si>
  <si>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</si>
  <si>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</si>
  <si>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</si>
  <si>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</si>
  <si>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</si>
  <si>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</si>
  <si>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</si>
  <si>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</si>
  <si>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</si>
  <si>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</si>
  <si>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</si>
  <si>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</si>
  <si>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</si>
  <si>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</si>
  <si>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</si>
  <si>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</si>
  <si>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</si>
  <si>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</si>
  <si>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</si>
  <si>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</si>
  <si>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</si>
  <si>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</si>
  <si>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</si>
  <si>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</si>
  <si>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</si>
  <si>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</si>
  <si>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</si>
  <si>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</si>
  <si>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</si>
  <si>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</si>
  <si>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</si>
  <si>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</si>
  <si>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</si>
  <si>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</si>
  <si>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</si>
  <si>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</si>
  <si>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</si>
  <si>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</si>
  <si>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</si>
  <si>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</si>
  <si>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</si>
  <si>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</si>
  <si>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</si>
  <si>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</si>
  <si>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</si>
  <si>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</si>
  <si>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</si>
  <si>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</si>
  <si>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</si>
  <si>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</si>
  <si>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</si>
  <si>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</si>
  <si>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</si>
  <si>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</si>
  <si>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</si>
  <si>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</si>
  <si>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</si>
  <si>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</si>
  <si>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</si>
  <si>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</si>
  <si>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</si>
  <si>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</si>
  <si>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</si>
  <si>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</si>
  <si>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</si>
  <si>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</si>
  <si>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</si>
  <si>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</si>
  <si>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</si>
  <si>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</si>
  <si>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</si>
  <si>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</si>
  <si>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</si>
  <si>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</si>
  <si>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</si>
  <si>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</si>
  <si>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</si>
  <si>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</si>
  <si>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</si>
  <si>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</si>
  <si>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</si>
  <si>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</si>
  <si>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</si>
  <si>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</si>
  <si>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</si>
  <si>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</si>
  <si>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</si>
  <si>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</si>
  <si>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</si>
  <si>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</si>
  <si>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</si>
  <si>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</si>
  <si>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</si>
  <si>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</si>
  <si>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</si>
  <si>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</si>
  <si>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</si>
  <si>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</si>
  <si>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</si>
  <si>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</si>
  <si>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</si>
  <si>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</si>
  <si>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</si>
  <si>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</si>
  <si>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</si>
  <si>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</si>
  <si>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</si>
  <si>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</si>
  <si>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</si>
  <si>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</si>
  <si>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</si>
  <si>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</si>
  <si>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</si>
  <si>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</si>
  <si>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</si>
  <si>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</si>
  <si>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</si>
  <si>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</si>
  <si>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</si>
  <si>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</si>
  <si>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</si>
  <si>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</si>
  <si>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</si>
  <si>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</si>
  <si>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</si>
  <si>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</si>
  <si>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</si>
  <si>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</si>
  <si>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</si>
  <si>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</si>
  <si>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</si>
  <si>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</si>
  <si>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</si>
  <si>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</si>
  <si>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</si>
  <si>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</si>
  <si>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</si>
  <si>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</si>
  <si>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</si>
  <si>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</si>
  <si>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</si>
  <si>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</si>
  <si>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</si>
  <si>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</si>
  <si>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</si>
  <si>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</si>
  <si>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</si>
  <si>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</si>
  <si>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</si>
  <si>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</si>
  <si>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</si>
  <si>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</si>
  <si>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</si>
  <si>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</si>
  <si>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</si>
  <si>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</si>
  <si>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</si>
  <si>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</si>
  <si>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</si>
  <si>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</si>
  <si>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</si>
  <si>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</si>
  <si>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</si>
  <si>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</si>
  <si>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</si>
  <si>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</si>
  <si>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</si>
  <si>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</si>
  <si>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</si>
  <si>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</si>
  <si>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</si>
  <si>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</si>
  <si>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</si>
  <si>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</si>
  <si>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</si>
  <si>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</si>
  <si>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</si>
  <si>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</si>
  <si>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</si>
  <si>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</si>
  <si>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</si>
  <si>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</si>
  <si>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</si>
  <si>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</si>
  <si>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</si>
  <si>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</si>
  <si>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</si>
  <si>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</si>
  <si>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</si>
  <si>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</si>
  <si>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</si>
  <si>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</si>
  <si>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</si>
  <si>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</si>
  <si>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</si>
  <si>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</si>
  <si>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</si>
  <si>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</si>
  <si>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</si>
  <si>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</si>
  <si>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</si>
  <si>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</si>
  <si>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</si>
  <si>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</si>
  <si>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</si>
  <si>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</si>
  <si>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</si>
  <si>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</si>
  <si>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</si>
  <si>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</si>
  <si>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</si>
  <si>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</si>
  <si>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</si>
  <si>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</si>
  <si>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</si>
  <si>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</si>
  <si>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</si>
  <si>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</si>
  <si>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</si>
  <si>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</si>
  <si>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</si>
  <si>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</si>
  <si>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</si>
  <si>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</si>
  <si>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</si>
  <si>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</si>
  <si>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</si>
  <si>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</si>
  <si>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</si>
  <si>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</si>
  <si>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</si>
  <si>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</si>
  <si>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</si>
  <si>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</si>
  <si>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</si>
  <si>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</si>
  <si>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</si>
  <si>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</si>
  <si>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</si>
  <si>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</si>
  <si>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</si>
  <si>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</si>
  <si>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</si>
  <si>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</si>
  <si>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</si>
  <si>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</si>
  <si>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</si>
  <si>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</si>
  <si>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</si>
  <si>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</si>
  <si>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</si>
  <si>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</si>
  <si>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</si>
  <si>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</si>
  <si>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</si>
  <si>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</si>
  <si>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</si>
  <si>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</si>
  <si>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</si>
  <si>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</si>
  <si>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</si>
  <si>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</si>
  <si>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</si>
  <si>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</si>
  <si>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</si>
  <si>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</si>
  <si>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</si>
  <si>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</si>
  <si>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</si>
  <si>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</si>
  <si>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</si>
  <si>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</si>
  <si>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</si>
  <si>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</si>
  <si>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</si>
  <si>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</si>
  <si>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</si>
  <si>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</si>
  <si>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</si>
  <si>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</si>
  <si>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</si>
  <si>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</si>
  <si>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</si>
  <si>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</si>
  <si>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</si>
  <si>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</si>
  <si>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</si>
  <si>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</si>
  <si>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</si>
  <si>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</si>
  <si>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</si>
  <si>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</si>
  <si>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</si>
  <si>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</si>
  <si>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</si>
  <si>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</si>
  <si>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</si>
  <si>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</si>
  <si>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</si>
  <si>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</si>
  <si>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</si>
  <si>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</si>
  <si>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</si>
  <si>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</si>
  <si>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</si>
  <si>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</si>
  <si>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</si>
  <si>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</si>
  <si>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</si>
  <si>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</si>
  <si>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</si>
  <si>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</si>
  <si>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</si>
  <si>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</si>
  <si>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</si>
  <si>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</si>
  <si>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</si>
  <si>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</si>
  <si>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</si>
  <si>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</si>
  <si>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</si>
  <si>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</si>
  <si>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</si>
  <si>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</si>
  <si>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</si>
  <si>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</si>
  <si>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</si>
  <si>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</si>
  <si>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</si>
  <si>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</si>
  <si>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</si>
  <si>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</si>
  <si>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</si>
  <si>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</si>
  <si>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</si>
  <si>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</si>
  <si>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</si>
  <si>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</si>
  <si>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</si>
  <si>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</si>
  <si>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</si>
  <si>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EDITABLE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</si>
  <si>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</si>
  <si>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</si>
  <si>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</si>
  <si>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</si>
  <si>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</si>
  <si>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</si>
  <si>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</si>
  <si>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</si>
  <si>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</si>
  <si>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</si>
  <si>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</si>
  <si>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</si>
  <si>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</si>
  <si>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</si>
  <si>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</si>
  <si>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</si>
  <si>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</si>
  <si>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</si>
  <si>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</si>
  <si>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</si>
  <si>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</si>
  <si>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</si>
  <si>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</si>
  <si>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Variable</t>
  </si>
  <si>
    <t>PREST104</t>
  </si>
  <si>
    <t>PREST105</t>
  </si>
  <si>
    <t>AMORTIZACION FAMILIAR - PAGO DE LETRAS MENSUALES</t>
  </si>
  <si>
    <t>AMORTIZACION FAMILIAR - PAGO DE LETRAS MENSUALES PRESTAMO A TERCEROS MAYRA TIPAN</t>
  </si>
  <si>
    <t>AMORTIZACION FRANCESA - prueba borrar</t>
  </si>
  <si>
    <t>AMORTIZACION ALEMANA - prueba borrar</t>
  </si>
  <si>
    <t>9,61</t>
  </si>
  <si>
    <t>PAGO DE LA LETRA #prueba borrar</t>
  </si>
  <si>
    <t>9,8</t>
  </si>
  <si>
    <t>0,81</t>
  </si>
  <si>
    <t>0,61</t>
  </si>
  <si>
    <t>10,2</t>
  </si>
  <si>
    <t>0,41</t>
  </si>
  <si>
    <t>0,21</t>
  </si>
  <si>
    <t>10,39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</si>
</sst>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24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4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165" fontId="0" fillId="0" borderId="50" xfId="0" applyNumberFormat="1" applyBorder="1"/>
    <xf numFmtId="165" fontId="28" fillId="0" borderId="50" xfId="0" applyNumberFormat="1" applyFont="1" applyBorder="1"/>
    <xf numFmtId="165" fontId="1" fillId="0" borderId="50" xfId="0" applyNumberFormat="1" applyFont="1" applyBorder="1"/>
    <xf numFmtId="165" fontId="25" fillId="0" borderId="50" xfId="2" applyNumberFormat="1" applyFont="1" applyFill="1" applyBorder="1" applyProtection="1"/>
    <xf numFmtId="168" fontId="0" fillId="0" borderId="50" xfId="0" applyNumberFormat="1" applyBorder="1"/>
    <xf numFmtId="165" fontId="13" fillId="0" borderId="50" xfId="0" applyNumberFormat="1" applyFont="1" applyBorder="1"/>
    <xf numFmtId="165" fontId="27" fillId="0" borderId="50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0" fillId="0" borderId="0" xfId="0" pivotButton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84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Border="1" applyProtection="1"/>
    <xf numFmtId="0" fontId="0" fillId="0" borderId="1" xfId="0" applyFont="1" applyBorder="1" applyAlignment="1" applyProtection="1">
      <alignment horizontal="left"/>
    </xf>
    <xf numFmtId="168" fontId="0" fillId="0" borderId="1" xfId="0" applyNumberFormat="1" applyFont="1" applyBorder="1" applyAlignment="1" applyProtection="1">
      <alignment horizontal="center"/>
    </xf>
    <xf numFmtId="186" fontId="0" fillId="2" borderId="1" xfId="0" applyNumberFormat="1" applyFont="1" applyFill="1" applyBorder="1" applyAlignment="1" applyProtection="1">
      <alignment horizontal="right" wrapText="1"/>
    </xf>
    <xf numFmtId="174" fontId="0" fillId="0" borderId="1" xfId="0" applyNumberFormat="1" applyFont="1" applyBorder="1" applyAlignment="1" applyProtection="1">
      <alignment horizontal="right"/>
    </xf>
    <xf numFmtId="168" fontId="0" fillId="0" borderId="1" xfId="0" applyNumberFormat="1" applyBorder="1" applyProtection="1"/>
    <xf numFmtId="0" fontId="0" fillId="0" borderId="1" xfId="0" applyFont="1" applyBorder="1" applyAlignment="1" applyProtection="1">
      <alignment wrapText="1"/>
    </xf>
    <xf numFmtId="165" fontId="0" fillId="2" borderId="1" xfId="0" applyNumberFormat="1" applyFill="1" applyBorder="1" applyProtection="1"/>
    <xf numFmtId="186" fontId="0" fillId="0" borderId="38" xfId="0" applyNumberFormat="1" applyBorder="1" applyProtection="1"/>
    <xf numFmtId="183" fontId="0" fillId="0" borderId="1" xfId="0" applyNumberFormat="1" applyFont="1" applyBorder="1" applyAlignment="1" applyProtection="1">
      <alignment horizontal="right"/>
    </xf>
    <xf numFmtId="171" fontId="0" fillId="0" borderId="1" xfId="0" applyNumberFormat="1" applyFont="1" applyBorder="1" applyAlignment="1" applyProtection="1">
      <alignment horizontal="right"/>
    </xf>
    <xf numFmtId="0" fontId="0" fillId="0" borderId="1" xfId="0" applyFont="1" applyBorder="1" applyAlignment="1" applyProtection="1">
      <alignment horizontal="right"/>
    </xf>
    <xf numFmtId="169" fontId="0" fillId="0" borderId="2" xfId="0" applyNumberFormat="1" applyFont="1" applyFill="1" applyBorder="1" applyAlignment="1" applyProtection="1">
      <alignment horizontal="right"/>
    </xf>
    <xf numFmtId="168" fontId="0" fillId="0" borderId="1" xfId="0" applyNumberFormat="1" applyFont="1" applyBorder="1" applyAlignment="1" applyProtection="1">
      <alignment horizontal="right"/>
    </xf>
    <xf numFmtId="186" fontId="0" fillId="2" borderId="1" xfId="0" applyNumberFormat="1" applyFont="1" applyFill="1" applyBorder="1" applyAlignment="1" applyProtection="1">
      <alignment horizontal="right"/>
    </xf>
    <xf numFmtId="175" fontId="0" fillId="0" borderId="1" xfId="0" applyNumberFormat="1" applyFont="1" applyBorder="1" applyAlignment="1" applyProtection="1">
      <alignment horizontal="right"/>
    </xf>
    <xf numFmtId="176" fontId="0" fillId="2" borderId="1" xfId="0" applyNumberFormat="1" applyFont="1" applyFill="1" applyBorder="1" applyAlignment="1" applyProtection="1">
      <alignment horizontal="right"/>
    </xf>
    <xf numFmtId="0" fontId="0" fillId="2" borderId="0" xfId="0" applyNumberFormat="1" applyFont="1" applyFill="1" applyAlignment="1" applyProtection="1">
      <alignment horizontal="right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12.84031273148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68" totalsRowShown="0" headerRowDxfId="96" headerRowBorderDxfId="95" tableBorderDxfId="94" totalsRowBorderDxfId="93">
  <autoFilter ref="F4:K568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3" totalsRowShown="0" headerRowDxfId="83" dataDxfId="82" tableBorderDxfId="81">
  <autoFilter ref="A2:L113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18" totalsRowShown="0" headerRowDxfId="68" dataDxfId="67" tableBorderDxfId="66">
  <autoFilter ref="A2:L418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2" totalsRowShown="0" headerRowDxfId="53" headerRowBorderDxfId="52" tableBorderDxfId="51" totalsRowBorderDxfId="50">
  <autoFilter ref="A1:D42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23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68"/>
  <sheetViews>
    <sheetView zoomScaleNormal="100" workbookViewId="0">
      <pane xSplit="5" ySplit="23" topLeftCell="F550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410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410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410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410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410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410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410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410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410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410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410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410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410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410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410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410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6560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444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429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429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495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495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495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495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495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495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495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495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495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495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495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495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495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495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512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429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429</v>
      </c>
    </row>
    <row r="537" spans="6:11" x14ac:dyDescent="0.3">
      <c r="F537" s="339">
        <v>533</v>
      </c>
      <c r="G537" s="173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173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173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173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173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173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173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173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173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173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173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173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173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173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173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173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3">
      <c r="F553" s="339">
        <v>549</v>
      </c>
      <c r="G553" s="173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3">
      <c r="F554" s="339">
        <v>550</v>
      </c>
      <c r="G554" s="173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3">
      <c r="F555" s="339">
        <v>551</v>
      </c>
      <c r="G555" s="173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3">
      <c r="F556" s="339">
        <v>552</v>
      </c>
      <c r="G556" s="173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3">
      <c r="F557" s="339">
        <v>553</v>
      </c>
      <c r="G557" s="173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3">
      <c r="F558" s="339">
        <v>554</v>
      </c>
      <c r="G558" s="173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3">
      <c r="F559" s="339">
        <v>555</v>
      </c>
      <c r="G559" s="173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3">
      <c r="F560" s="339">
        <v>556</v>
      </c>
      <c r="G560" s="173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3">
      <c r="F561" s="339">
        <v>557</v>
      </c>
      <c r="G561" s="173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3">
      <c r="F562" s="339">
        <v>558</v>
      </c>
      <c r="G562" s="173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3">
      <c r="F563" s="339">
        <v>559</v>
      </c>
      <c r="G563" s="173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3">
      <c r="F564" s="339">
        <v>560</v>
      </c>
      <c r="G564" s="173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3">
      <c r="F565" s="339">
        <v>561</v>
      </c>
      <c r="G565" s="173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3">
      <c r="F566" s="339">
        <v>562</v>
      </c>
      <c r="G566" s="173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3">
      <c r="F567" s="339">
        <v>563</v>
      </c>
      <c r="G567" s="173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3">
      <c r="F568" s="339">
        <v>564</v>
      </c>
      <c r="G568" s="173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</sheetData>
  <sheetProtection algorithmName="SHA-512" hashValue="dNrKAQmuZzE6NSRDAiFTBvb4FnnPj9xKYGDGKmqxNd5TR4MOZN3tYiofvBwdb8qcgybkgNoHEdVD5YORcr4Htw==" saltValue="gLPmB90gGLHK9Ypvm4V7M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6" t="s">
        <v>38</v>
      </c>
      <c r="C2" s="377"/>
      <c r="D2" s="377"/>
      <c r="E2" s="377"/>
      <c r="F2" s="377"/>
      <c r="G2" s="377"/>
      <c r="H2" s="378"/>
      <c r="I2" s="278"/>
      <c r="J2" s="379" t="s">
        <v>39</v>
      </c>
      <c r="K2" s="380"/>
      <c r="L2" s="380"/>
      <c r="M2" s="380"/>
      <c r="N2" s="380"/>
      <c r="O2" s="380"/>
      <c r="P2" s="380"/>
      <c r="Q2" s="381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46013</v>
      </c>
      <c r="F12" s="280"/>
      <c r="G12" s="280"/>
      <c r="H12" s="281"/>
      <c r="J12" s="279"/>
      <c r="K12" s="30"/>
      <c r="L12" s="280"/>
      <c r="M12" s="15">
        <f ca="1">+TODAY()</f>
        <v>46013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46013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82"/>
      <c r="D20" s="383"/>
      <c r="E20" s="384"/>
      <c r="F20" s="279"/>
      <c r="G20" s="280"/>
      <c r="H20" s="281"/>
      <c r="J20" s="279"/>
      <c r="K20" s="388"/>
      <c r="L20" s="389"/>
      <c r="M20" s="389"/>
      <c r="N20" s="389"/>
      <c r="O20" s="390"/>
      <c r="P20" s="279"/>
      <c r="Q20" s="281"/>
    </row>
    <row r="21" spans="2:17" ht="15" thickBot="1" x14ac:dyDescent="0.35">
      <c r="B21" s="279"/>
      <c r="C21" s="385"/>
      <c r="D21" s="386"/>
      <c r="E21" s="387"/>
      <c r="F21" s="279"/>
      <c r="G21" s="280"/>
      <c r="H21" s="281"/>
      <c r="J21" s="279"/>
      <c r="K21" s="391"/>
      <c r="L21" s="392"/>
      <c r="M21" s="392"/>
      <c r="N21" s="392"/>
      <c r="O21" s="393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ASDK/uFAZQnX708efQ+z3kpGqL+A2eshAwB7DvTaZhJlqCjfR3z4jDIomDIZvJ52KWQ4bLj8IX2Y+Q0HKJt7cw==" saltValue="1msShKbbUIHw0P7AZRIGt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3"/>
  <sheetViews>
    <sheetView zoomScaleNormal="115" workbookViewId="0">
      <pane ySplit="2" topLeftCell="A99" activePane="bottomLeft" state="frozen"/>
      <selection pane="bottomLeft" activeCell="K112" sqref="K112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94" t="s">
        <v>44</v>
      </c>
      <c r="B1" s="394"/>
      <c r="C1" s="394"/>
      <c r="D1" s="394"/>
      <c r="E1" s="394"/>
      <c r="F1" s="394"/>
      <c r="G1" s="394"/>
      <c r="H1" s="394"/>
      <c r="I1" s="394"/>
      <c r="J1" s="394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9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72-DIANA TOAQUIZA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77-DANNY ALMACHI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78-GUADALUPE TOAQUIZA</v>
      </c>
    </row>
    <row r="8" spans="1:14" x14ac:dyDescent="0.3">
      <c r="A8" s="329" t="s">
        <v>476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81-DIEGO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94-MARCIAL CHILIQUINGA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96-JEFFERSON TOAQUIZA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97-MARTHA JAQUE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98-LUIS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99-MAYRA TOAQUIZA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100-ROCIO TOAQUIZA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101-CRISTIAN CHACHALO</v>
      </c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102-DANNY ALMACHI</v>
      </c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 t="str">
        <v>103-JEFFERSON TOAQUIZA</v>
      </c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213" t="str">
        <v>104-JEFFERSON TOAQUIZA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9" s="213" t="str">
        <v>105-JEFFERSON TOAQUIZA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477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478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464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435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437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439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441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441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441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483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485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485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441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441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441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441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493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500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441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529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441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441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526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4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441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4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441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7" spans="1:12" x14ac:dyDescent="0.3">
      <c r="A107" s="328">
        <v>99</v>
      </c>
      <c r="B107" s="38">
        <v>9</v>
      </c>
      <c r="C107" s="39" t="s">
        <v>17</v>
      </c>
      <c r="D107" s="40">
        <v>500</v>
      </c>
      <c r="E107" s="44">
        <v>46008</v>
      </c>
      <c r="F107" s="83">
        <v>5</v>
      </c>
      <c r="G107" s="84">
        <v>0.02</v>
      </c>
      <c r="H107" s="43">
        <f>PRESTAMOS[[#This Row],[MONTO AMORTIZACION]]*PRESTAMOS[[#This Row],[INTERES]]*PRESTAMOS[[#This Row],[CUOTAS]]</f>
        <v>50</v>
      </c>
      <c r="I107" s="43">
        <f>PRESTAMOS[[#This Row],[MONTO AMORTIZACION]]+PRESTAMOS[[#This Row],[T. INT]]</f>
        <v>550</v>
      </c>
      <c r="J107" s="296" t="s">
        <v>441</v>
      </c>
      <c r="K10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8" spans="1:12" x14ac:dyDescent="0.3">
      <c r="A108" s="328">
        <v>100</v>
      </c>
      <c r="B108" s="38">
        <v>14</v>
      </c>
      <c r="C108" s="39" t="s">
        <v>21</v>
      </c>
      <c r="D108" s="40">
        <v>2000</v>
      </c>
      <c r="E108" s="44">
        <v>46008</v>
      </c>
      <c r="F108" s="83">
        <v>18</v>
      </c>
      <c r="G108" s="84">
        <v>0.02</v>
      </c>
      <c r="H108" s="43">
        <f>PRESTAMOS[[#This Row],[MONTO AMORTIZACION]]*PRESTAMOS[[#This Row],[INTERES]]*PRESTAMOS[[#This Row],[CUOTAS]]</f>
        <v>720</v>
      </c>
      <c r="I108" s="43">
        <f>PRESTAMOS[[#This Row],[MONTO AMORTIZACION]]+PRESTAMOS[[#This Row],[T. INT]]</f>
        <v>2720</v>
      </c>
      <c r="J108" s="296" t="s">
        <v>441</v>
      </c>
      <c r="K10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9" spans="1:12" x14ac:dyDescent="0.3">
      <c r="A109" s="328">
        <v>101</v>
      </c>
      <c r="B109" s="38">
        <v>18</v>
      </c>
      <c r="C109" s="39" t="s">
        <v>340</v>
      </c>
      <c r="D109" s="40">
        <v>700</v>
      </c>
      <c r="E109" s="44">
        <v>46008</v>
      </c>
      <c r="F109" s="83">
        <v>7</v>
      </c>
      <c r="G109" s="84">
        <v>0.02</v>
      </c>
      <c r="H109" s="43">
        <f>PRESTAMOS[[#This Row],[MONTO AMORTIZACION]]*PRESTAMOS[[#This Row],[INTERES]]*PRESTAMOS[[#This Row],[CUOTAS]]</f>
        <v>98</v>
      </c>
      <c r="I109" s="43">
        <f>PRESTAMOS[[#This Row],[MONTO AMORTIZACION]]+PRESTAMOS[[#This Row],[T. INT]]</f>
        <v>798</v>
      </c>
      <c r="J109" s="296" t="s">
        <v>441</v>
      </c>
      <c r="K10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10" spans="1:12" x14ac:dyDescent="0.3">
      <c r="A110" s="328">
        <v>102</v>
      </c>
      <c r="B110" s="38">
        <v>6</v>
      </c>
      <c r="C110" s="39" t="s">
        <v>24</v>
      </c>
      <c r="D110" s="40">
        <v>300</v>
      </c>
      <c r="E110" s="44">
        <v>46008</v>
      </c>
      <c r="F110" s="83">
        <v>6</v>
      </c>
      <c r="G110" s="84">
        <v>0.02</v>
      </c>
      <c r="H110" s="43">
        <f>PRESTAMOS[[#This Row],[MONTO AMORTIZACION]]*PRESTAMOS[[#This Row],[INTERES]]*PRESTAMOS[[#This Row],[CUOTAS]]</f>
        <v>36</v>
      </c>
      <c r="I110" s="43">
        <f>PRESTAMOS[[#This Row],[MONTO AMORTIZACION]]+PRESTAMOS[[#This Row],[T. INT]]</f>
        <v>336</v>
      </c>
      <c r="J110" s="296" t="s">
        <v>441</v>
      </c>
      <c r="K1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1" spans="1:12" ht="28.8" x14ac:dyDescent="0.3">
      <c r="A111" s="328">
        <v>103</v>
      </c>
      <c r="B111" s="38">
        <v>16</v>
      </c>
      <c r="C111" s="39" t="s">
        <v>23</v>
      </c>
      <c r="D111" s="40">
        <v>300</v>
      </c>
      <c r="E111" s="44">
        <v>46012</v>
      </c>
      <c r="F111" s="83">
        <v>3</v>
      </c>
      <c r="G111" s="84">
        <v>0.02</v>
      </c>
      <c r="H111" s="43">
        <f>PRESTAMOS[[#This Row],[MONTO AMORTIZACION]]*PRESTAMOS[[#This Row],[INTERES]]*PRESTAMOS[[#This Row],[CUOTAS]]</f>
        <v>18</v>
      </c>
      <c r="I111" s="43">
        <f>PRESTAMOS[[#This Row],[MONTO AMORTIZACION]]+PRESTAMOS[[#This Row],[T. INT]]</f>
        <v>318</v>
      </c>
      <c r="J111" s="296" t="s">
        <v>566</v>
      </c>
      <c r="K1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2" spans="1:12" x14ac:dyDescent="0.3">
      <c r="A112" s="405">
        <v>104</v>
      </c>
      <c r="B112" s="406">
        <v>16</v>
      </c>
      <c r="C112" s="407" t="s">
        <v>23</v>
      </c>
      <c r="D112" s="408">
        <v>50</v>
      </c>
      <c r="E112" s="409">
        <v>46013</v>
      </c>
      <c r="F112" s="410">
        <v>5</v>
      </c>
      <c r="G112" s="84">
        <v>0.02</v>
      </c>
      <c r="H112" s="411">
        <v>3.0395985260805531</v>
      </c>
      <c r="I112" s="411">
        <v>53.039598526080539</v>
      </c>
      <c r="J112" s="412" t="s">
        <v>567</v>
      </c>
      <c r="K112" s="41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414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3" spans="1:12" x14ac:dyDescent="0.3">
      <c r="A113" s="405">
        <v>105</v>
      </c>
      <c r="B113" s="406">
        <v>16</v>
      </c>
      <c r="C113" s="407" t="s">
        <v>23</v>
      </c>
      <c r="D113" s="408">
        <v>50</v>
      </c>
      <c r="E113" s="409">
        <v>46013</v>
      </c>
      <c r="F113" s="410">
        <v>5</v>
      </c>
      <c r="G113" s="84">
        <v>0.02</v>
      </c>
      <c r="H113" s="411">
        <v>3</v>
      </c>
      <c r="I113" s="411">
        <v>53</v>
      </c>
      <c r="J113" s="412" t="s">
        <v>568</v>
      </c>
      <c r="K113" s="41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414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</sheetData>
  <sheetProtection algorithmName="SHA-512" hashValue="WVPwc+ulniipHzy0WY/pr6toIGP1542nMOCagZ+E0kS5JjdgUwRH6iJSB3EfdsBe5CJeOFFq5z0UeKhot2X2ww==" saltValue="TXCYVs5Z3h6mG3rjbFNwf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18"/>
  <sheetViews>
    <sheetView zoomScaleNormal="99" workbookViewId="0">
      <pane ySplit="2" topLeftCell="A401" activePane="bottomLeft" state="frozen"/>
      <selection pane="bottomLeft" activeCell="E416" sqref="E416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5" t="s">
        <v>39</v>
      </c>
      <c r="B1" s="395"/>
      <c r="C1" s="395"/>
      <c r="D1" s="395"/>
      <c r="E1" s="395"/>
      <c r="F1" s="395"/>
      <c r="G1" s="395"/>
      <c r="H1" s="395"/>
      <c r="I1" s="395"/>
      <c r="J1" s="395"/>
      <c r="K1" s="395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425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465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455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456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466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467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468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469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470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471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457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458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459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460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472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473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474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475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473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423</v>
      </c>
      <c r="L328" s="301" t="b">
        <f>+ISNUMBER(PAGOS[[#This Row],[REG]])</f>
        <v>1</v>
      </c>
    </row>
    <row r="329" spans="1:12" x14ac:dyDescent="0.3">
      <c r="A329" s="322" t="s">
        <v>427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428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430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431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432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449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433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433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434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454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450</v>
      </c>
      <c r="L338" s="301" t="b">
        <f>+ISNUMBER(PAGOS[[#This Row],[REG]])</f>
        <v>1</v>
      </c>
    </row>
    <row r="339" spans="1:12" x14ac:dyDescent="0.3">
      <c r="A339" s="320" t="s">
        <v>461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451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452</v>
      </c>
      <c r="L340" s="301" t="b">
        <f>+ISNUMBER(PAGOS[[#This Row],[REG]])</f>
        <v>1</v>
      </c>
    </row>
    <row r="341" spans="1:12" x14ac:dyDescent="0.3">
      <c r="A341" s="320" t="s">
        <v>462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453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434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481</v>
      </c>
      <c r="L343" s="301" t="b">
        <f>+ISNUMBER(PAGOS[[#This Row],[REG]])</f>
        <v>1</v>
      </c>
    </row>
    <row r="344" spans="1:12" x14ac:dyDescent="0.3">
      <c r="A344" s="323" t="s">
        <v>463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480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482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488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488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482</v>
      </c>
      <c r="L348" s="301" t="b">
        <f>+ISNUMBER(PAGOS[[#This Row],[REG]])</f>
        <v>1</v>
      </c>
    </row>
    <row r="349" spans="1:12" x14ac:dyDescent="0.3">
      <c r="A349" s="317" t="s">
        <v>496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497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433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433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498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482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482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482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482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482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498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499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499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505</v>
      </c>
      <c r="L361" s="301" t="b">
        <f>+ISNUMBER(PAGOS[[#This Row],[REG]])</f>
        <v>1</v>
      </c>
    </row>
    <row r="362" spans="1:12" x14ac:dyDescent="0.3">
      <c r="A362" s="317" t="s">
        <v>502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503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504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507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508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482</v>
      </c>
      <c r="L366" s="301" t="b">
        <f>+ISNUMBER(PAGOS[[#This Row],[REG]])</f>
        <v>1</v>
      </c>
    </row>
    <row r="367" spans="1:12" x14ac:dyDescent="0.3">
      <c r="A367" s="317" t="s">
        <v>513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514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507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507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515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515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515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515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515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515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515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516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515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499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482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518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520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521</v>
      </c>
      <c r="L383" s="301" t="b">
        <f>+ISNUMBER(PAGOS[[#This Row],[REG]])</f>
        <v>1</v>
      </c>
    </row>
    <row r="384" spans="1:12" x14ac:dyDescent="0.3">
      <c r="A384" s="317" t="s">
        <v>522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523</v>
      </c>
      <c r="L384" s="301" t="b">
        <f>+ISNUMBER(PAGOS[[#This Row],[REG]])</f>
        <v>0</v>
      </c>
    </row>
    <row r="385" spans="1:12" x14ac:dyDescent="0.3">
      <c r="A385" s="317" t="s">
        <v>527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528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515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55">
        <v>45976</v>
      </c>
      <c r="G387" s="63">
        <v>6</v>
      </c>
      <c r="H387" s="33">
        <v>24</v>
      </c>
      <c r="I387" s="55">
        <v>45976</v>
      </c>
      <c r="J387" s="67">
        <v>6</v>
      </c>
      <c r="K387" s="39" t="s">
        <v>531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55">
        <v>45976</v>
      </c>
      <c r="G388" s="63">
        <v>6</v>
      </c>
      <c r="H388" s="33">
        <v>40</v>
      </c>
      <c r="I388" s="55">
        <v>45976</v>
      </c>
      <c r="J388" s="67">
        <v>6</v>
      </c>
      <c r="K388" s="39" t="s">
        <v>531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55">
        <v>45976</v>
      </c>
      <c r="G389" s="63">
        <v>3</v>
      </c>
      <c r="H389" s="33">
        <v>24</v>
      </c>
      <c r="I389" s="55">
        <v>45976</v>
      </c>
      <c r="J389" s="67">
        <v>3</v>
      </c>
      <c r="K389" s="39" t="s">
        <v>434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55">
        <v>45976</v>
      </c>
      <c r="G390" s="63">
        <v>3</v>
      </c>
      <c r="H390" s="33">
        <v>14</v>
      </c>
      <c r="I390" s="55">
        <v>45976</v>
      </c>
      <c r="J390" s="67">
        <v>3</v>
      </c>
      <c r="K390" s="39" t="s">
        <v>434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55">
        <v>45976</v>
      </c>
      <c r="G391" s="63">
        <v>3</v>
      </c>
      <c r="H391" s="33">
        <v>8</v>
      </c>
      <c r="I391" s="55">
        <v>45976</v>
      </c>
      <c r="J391" s="67">
        <v>3</v>
      </c>
      <c r="K391" s="39" t="s">
        <v>434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55">
        <v>45976</v>
      </c>
      <c r="G392" s="63">
        <v>2</v>
      </c>
      <c r="H392" s="33">
        <v>56</v>
      </c>
      <c r="I392" s="55">
        <v>45976</v>
      </c>
      <c r="J392" s="67">
        <v>2</v>
      </c>
      <c r="K392" s="39" t="s">
        <v>532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55">
        <v>45976</v>
      </c>
      <c r="G393" s="63">
        <v>1</v>
      </c>
      <c r="H393" s="33">
        <v>8</v>
      </c>
      <c r="I393" s="55">
        <v>45976</v>
      </c>
      <c r="J393" s="67">
        <v>1</v>
      </c>
      <c r="K393" s="39" t="s">
        <v>482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55">
        <v>45976</v>
      </c>
      <c r="G394" s="63">
        <v>3</v>
      </c>
      <c r="H394" s="33">
        <v>22</v>
      </c>
      <c r="I394" s="55">
        <v>45976</v>
      </c>
      <c r="J394" s="67">
        <v>3</v>
      </c>
      <c r="K394" s="39" t="s">
        <v>533</v>
      </c>
      <c r="L394" s="301" t="b">
        <f>+ISNUMBER(PAGOS[[#This Row],[REG]])</f>
        <v>1</v>
      </c>
    </row>
    <row r="395" spans="1:12" x14ac:dyDescent="0.3">
      <c r="A395" s="317" t="s">
        <v>536</v>
      </c>
      <c r="B395" s="71">
        <v>2</v>
      </c>
      <c r="C395" s="54" t="s">
        <v>71</v>
      </c>
      <c r="D395" s="276">
        <v>0</v>
      </c>
      <c r="E395" s="33">
        <v>66.25</v>
      </c>
      <c r="F395" s="55">
        <v>45976</v>
      </c>
      <c r="G395" s="63">
        <v>0</v>
      </c>
      <c r="H395" s="33">
        <v>0</v>
      </c>
      <c r="I395" s="55">
        <v>45976</v>
      </c>
      <c r="J395" s="67">
        <v>0</v>
      </c>
      <c r="K395" s="39" t="s">
        <v>537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55">
        <v>45978</v>
      </c>
      <c r="G396" s="63">
        <v>1</v>
      </c>
      <c r="H396" s="33">
        <v>0</v>
      </c>
      <c r="I396" s="55">
        <v>45978</v>
      </c>
      <c r="J396" s="67">
        <v>1</v>
      </c>
      <c r="K396" s="39" t="s">
        <v>539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55">
        <v>45978</v>
      </c>
      <c r="G397" s="63">
        <v>1</v>
      </c>
      <c r="H397" s="33">
        <v>12</v>
      </c>
      <c r="I397" s="55">
        <v>45978</v>
      </c>
      <c r="J397" s="67">
        <v>1</v>
      </c>
      <c r="K397" s="39" t="s">
        <v>540</v>
      </c>
      <c r="L397" s="301" t="b">
        <f>+ISNUMBER(PAGOS[[#This Row],[REG]])</f>
        <v>1</v>
      </c>
    </row>
    <row r="398" spans="1:12" x14ac:dyDescent="0.3">
      <c r="A398" s="317" t="s">
        <v>541</v>
      </c>
      <c r="B398" s="71">
        <v>2</v>
      </c>
      <c r="C398" s="54" t="s">
        <v>71</v>
      </c>
      <c r="D398" s="276">
        <v>0</v>
      </c>
      <c r="E398" s="33">
        <v>160</v>
      </c>
      <c r="F398" s="55">
        <v>45983</v>
      </c>
      <c r="G398" s="63">
        <v>0</v>
      </c>
      <c r="H398" s="33">
        <v>0</v>
      </c>
      <c r="I398" s="55">
        <v>45983</v>
      </c>
      <c r="J398" s="67">
        <v>0</v>
      </c>
      <c r="K398" s="39" t="s">
        <v>542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55">
        <v>46000</v>
      </c>
      <c r="G399" s="63">
        <v>3</v>
      </c>
      <c r="H399" s="33">
        <v>3</v>
      </c>
      <c r="I399" s="55">
        <v>46000</v>
      </c>
      <c r="J399" s="67">
        <v>3</v>
      </c>
      <c r="K399" s="39" t="s">
        <v>434</v>
      </c>
      <c r="L399" s="301" t="b">
        <f>+ISNUMBER(PAGOS[[#This Row],[REG]])</f>
        <v>1</v>
      </c>
    </row>
    <row r="400" spans="1:12" x14ac:dyDescent="0.3">
      <c r="A400" s="317" t="s">
        <v>543</v>
      </c>
      <c r="B400" s="71">
        <v>2</v>
      </c>
      <c r="C400" s="54" t="s">
        <v>71</v>
      </c>
      <c r="D400" s="276">
        <v>0</v>
      </c>
      <c r="E400" s="33">
        <v>624.14</v>
      </c>
      <c r="F400" s="55">
        <v>46003</v>
      </c>
      <c r="G400" s="63">
        <v>0</v>
      </c>
      <c r="H400" s="33">
        <v>0</v>
      </c>
      <c r="I400" s="55">
        <v>46003</v>
      </c>
      <c r="J400" s="67">
        <v>0</v>
      </c>
      <c r="K400" s="39" t="s">
        <v>544</v>
      </c>
      <c r="L400" s="301" t="b">
        <f>+ISNUMBER(PAGOS[[#This Row],[REG]])</f>
        <v>0</v>
      </c>
    </row>
    <row r="401" spans="1:12" x14ac:dyDescent="0.3">
      <c r="A401" s="317" t="s">
        <v>550</v>
      </c>
      <c r="B401" s="71">
        <v>1</v>
      </c>
      <c r="C401" s="54" t="s">
        <v>70</v>
      </c>
      <c r="D401" s="276">
        <v>0</v>
      </c>
      <c r="E401" s="33">
        <v>10</v>
      </c>
      <c r="F401" s="55">
        <v>46008</v>
      </c>
      <c r="G401" s="63">
        <v>0</v>
      </c>
      <c r="H401" s="33">
        <v>0</v>
      </c>
      <c r="I401" s="55">
        <v>46008</v>
      </c>
      <c r="J401" s="67">
        <v>0</v>
      </c>
      <c r="K401" s="39" t="s">
        <v>551</v>
      </c>
      <c r="L401" s="301" t="b">
        <f>+ISNUMBER(PAGOS[[#This Row],[REG]])</f>
        <v>0</v>
      </c>
    </row>
    <row r="402" spans="1:12" x14ac:dyDescent="0.3">
      <c r="A402" s="317">
        <v>348</v>
      </c>
      <c r="B402" s="71">
        <v>5</v>
      </c>
      <c r="C402" s="54" t="s">
        <v>14</v>
      </c>
      <c r="D402" s="276">
        <v>71</v>
      </c>
      <c r="E402" s="33">
        <v>100</v>
      </c>
      <c r="F402" s="55">
        <v>46008</v>
      </c>
      <c r="G402" s="63">
        <v>7</v>
      </c>
      <c r="H402" s="33">
        <v>24</v>
      </c>
      <c r="I402" s="55">
        <v>46008</v>
      </c>
      <c r="J402" s="67">
        <v>7</v>
      </c>
      <c r="K402" s="39" t="s">
        <v>432</v>
      </c>
      <c r="L402" s="301" t="b">
        <f>+ISNUMBER(PAGOS[[#This Row],[REG]])</f>
        <v>1</v>
      </c>
    </row>
    <row r="403" spans="1:12" x14ac:dyDescent="0.3">
      <c r="A403" s="317">
        <v>349</v>
      </c>
      <c r="B403" s="71">
        <v>17</v>
      </c>
      <c r="C403" s="54" t="s">
        <v>339</v>
      </c>
      <c r="D403" s="276">
        <v>72</v>
      </c>
      <c r="E403" s="33">
        <v>166.67</v>
      </c>
      <c r="F403" s="55">
        <v>46008</v>
      </c>
      <c r="G403" s="63">
        <v>7</v>
      </c>
      <c r="H403" s="33">
        <v>40</v>
      </c>
      <c r="I403" s="55">
        <v>46008</v>
      </c>
      <c r="J403" s="67">
        <v>7</v>
      </c>
      <c r="K403" s="39" t="s">
        <v>498</v>
      </c>
      <c r="L403" s="301" t="b">
        <f>+ISNUMBER(PAGOS[[#This Row],[REG]])</f>
        <v>1</v>
      </c>
    </row>
    <row r="404" spans="1:12" x14ac:dyDescent="0.3">
      <c r="A404" s="317">
        <v>350</v>
      </c>
      <c r="B404" s="71">
        <v>6</v>
      </c>
      <c r="C404" s="54" t="s">
        <v>24</v>
      </c>
      <c r="D404" s="276">
        <v>77</v>
      </c>
      <c r="E404" s="33">
        <v>100</v>
      </c>
      <c r="F404" s="55">
        <v>46008</v>
      </c>
      <c r="G404" s="63">
        <v>4</v>
      </c>
      <c r="H404" s="33">
        <v>24</v>
      </c>
      <c r="I404" s="55">
        <v>46008</v>
      </c>
      <c r="J404" s="67">
        <v>4</v>
      </c>
      <c r="K404" s="39" t="s">
        <v>433</v>
      </c>
      <c r="L404" s="301" t="b">
        <f>+ISNUMBER(PAGOS[[#This Row],[REG]])</f>
        <v>1</v>
      </c>
    </row>
    <row r="405" spans="1:12" x14ac:dyDescent="0.3">
      <c r="A405" s="317">
        <v>351</v>
      </c>
      <c r="B405" s="71">
        <v>15</v>
      </c>
      <c r="C405" s="54" t="s">
        <v>22</v>
      </c>
      <c r="D405" s="276">
        <v>78</v>
      </c>
      <c r="E405" s="33">
        <v>100</v>
      </c>
      <c r="F405" s="55">
        <v>46008</v>
      </c>
      <c r="G405" s="63">
        <v>4</v>
      </c>
      <c r="H405" s="33">
        <v>14</v>
      </c>
      <c r="I405" s="55">
        <v>46008</v>
      </c>
      <c r="J405" s="67">
        <v>4</v>
      </c>
      <c r="K405" s="39" t="s">
        <v>433</v>
      </c>
      <c r="L405" s="301" t="b">
        <f>+ISNUMBER(PAGOS[[#This Row],[REG]])</f>
        <v>1</v>
      </c>
    </row>
    <row r="406" spans="1:12" x14ac:dyDescent="0.3">
      <c r="A406" s="317">
        <v>352</v>
      </c>
      <c r="B406" s="71">
        <v>7</v>
      </c>
      <c r="C406" s="54" t="s">
        <v>408</v>
      </c>
      <c r="D406" s="276">
        <v>80</v>
      </c>
      <c r="E406" s="33">
        <v>100</v>
      </c>
      <c r="F406" s="55">
        <v>46008</v>
      </c>
      <c r="G406" s="63">
        <v>4</v>
      </c>
      <c r="H406" s="33">
        <v>8</v>
      </c>
      <c r="I406" s="55">
        <v>46008</v>
      </c>
      <c r="J406" s="67">
        <v>4</v>
      </c>
      <c r="K406" s="39" t="s">
        <v>433</v>
      </c>
      <c r="L406" s="301" t="b">
        <f>+ISNUMBER(PAGOS[[#This Row],[REG]])</f>
        <v>1</v>
      </c>
    </row>
    <row r="407" spans="1:12" x14ac:dyDescent="0.3">
      <c r="A407" s="317">
        <v>353</v>
      </c>
      <c r="B407" s="71">
        <v>12</v>
      </c>
      <c r="C407" s="54" t="s">
        <v>20</v>
      </c>
      <c r="D407" s="276">
        <v>81</v>
      </c>
      <c r="E407" s="33">
        <v>110</v>
      </c>
      <c r="F407" s="55">
        <v>46008</v>
      </c>
      <c r="G407" s="63">
        <v>4</v>
      </c>
      <c r="H407" s="33">
        <v>22</v>
      </c>
      <c r="I407" s="55">
        <v>46008</v>
      </c>
      <c r="J407" s="67">
        <v>4</v>
      </c>
      <c r="K407" s="39" t="s">
        <v>498</v>
      </c>
      <c r="L407" s="301" t="b">
        <f>+ISNUMBER(PAGOS[[#This Row],[REG]])</f>
        <v>1</v>
      </c>
    </row>
    <row r="408" spans="1:12" x14ac:dyDescent="0.3">
      <c r="A408" s="317">
        <v>354</v>
      </c>
      <c r="B408" s="71">
        <v>10</v>
      </c>
      <c r="C408" s="54" t="s">
        <v>18</v>
      </c>
      <c r="D408" s="276">
        <v>94</v>
      </c>
      <c r="E408" s="33">
        <v>50</v>
      </c>
      <c r="F408" s="55">
        <v>46008</v>
      </c>
      <c r="G408" s="63">
        <v>2</v>
      </c>
      <c r="H408" s="33">
        <v>6</v>
      </c>
      <c r="I408" s="55">
        <v>46008</v>
      </c>
      <c r="J408" s="67">
        <v>2</v>
      </c>
      <c r="K408" s="39" t="s">
        <v>515</v>
      </c>
      <c r="L408" s="301" t="b">
        <f>+ISNUMBER(PAGOS[[#This Row],[REG]])</f>
        <v>1</v>
      </c>
    </row>
    <row r="409" spans="1:12" x14ac:dyDescent="0.3">
      <c r="A409" s="317">
        <v>355</v>
      </c>
      <c r="B409" s="71">
        <v>18</v>
      </c>
      <c r="C409" s="54" t="s">
        <v>340</v>
      </c>
      <c r="D409" s="276">
        <v>95</v>
      </c>
      <c r="E409" s="33">
        <v>100</v>
      </c>
      <c r="F409" s="55">
        <v>46008</v>
      </c>
      <c r="G409" s="63">
        <v>2</v>
      </c>
      <c r="H409" s="33">
        <v>8</v>
      </c>
      <c r="I409" s="55">
        <v>46008</v>
      </c>
      <c r="J409" s="67">
        <v>2</v>
      </c>
      <c r="K409" s="39" t="s">
        <v>515</v>
      </c>
      <c r="L409" s="301" t="b">
        <f>+ISNUMBER(PAGOS[[#This Row],[REG]])</f>
        <v>1</v>
      </c>
    </row>
    <row r="410" spans="1:12" x14ac:dyDescent="0.3">
      <c r="A410" s="317">
        <v>356</v>
      </c>
      <c r="B410" s="71">
        <v>13</v>
      </c>
      <c r="C410" s="54" t="s">
        <v>341</v>
      </c>
      <c r="D410" s="276">
        <v>97</v>
      </c>
      <c r="E410" s="33">
        <v>100</v>
      </c>
      <c r="F410" s="55">
        <v>46008</v>
      </c>
      <c r="G410" s="63">
        <v>1</v>
      </c>
      <c r="H410" s="33">
        <v>20</v>
      </c>
      <c r="I410" s="55">
        <v>46008</v>
      </c>
      <c r="J410" s="67">
        <v>1</v>
      </c>
      <c r="K410" s="39" t="s">
        <v>482</v>
      </c>
      <c r="L410" s="301" t="b">
        <f>+ISNUMBER(PAGOS[[#This Row],[REG]])</f>
        <v>1</v>
      </c>
    </row>
    <row r="411" spans="1:12" x14ac:dyDescent="0.3">
      <c r="A411" s="317">
        <v>357</v>
      </c>
      <c r="B411" s="71">
        <v>11</v>
      </c>
      <c r="C411" s="54" t="s">
        <v>19</v>
      </c>
      <c r="D411" s="276">
        <v>98</v>
      </c>
      <c r="E411" s="33">
        <v>33.33</v>
      </c>
      <c r="F411" s="55">
        <v>46008</v>
      </c>
      <c r="G411" s="63">
        <v>1</v>
      </c>
      <c r="H411" s="33">
        <v>4</v>
      </c>
      <c r="I411" s="55">
        <v>46008</v>
      </c>
      <c r="J411" s="67">
        <v>1</v>
      </c>
      <c r="K411" s="39" t="s">
        <v>482</v>
      </c>
      <c r="L411" s="301" t="b">
        <f>+ISNUMBER(PAGOS[[#This Row],[REG]])</f>
        <v>1</v>
      </c>
    </row>
    <row r="412" spans="1:12" x14ac:dyDescent="0.3">
      <c r="A412" s="317">
        <v>358</v>
      </c>
      <c r="B412" s="71">
        <v>18</v>
      </c>
      <c r="C412" s="54" t="s">
        <v>340</v>
      </c>
      <c r="D412" s="276">
        <v>95</v>
      </c>
      <c r="E412" s="33">
        <v>200</v>
      </c>
      <c r="F412" s="55">
        <v>46008</v>
      </c>
      <c r="G412" s="63">
        <v>2</v>
      </c>
      <c r="H412" s="33">
        <v>0</v>
      </c>
      <c r="I412" s="55">
        <v>46008</v>
      </c>
      <c r="J412" s="67">
        <v>2</v>
      </c>
      <c r="K412" s="39" t="s">
        <v>554</v>
      </c>
      <c r="L412" s="301" t="b">
        <f>+ISNUMBER(PAGOS[[#This Row],[REG]])</f>
        <v>1</v>
      </c>
    </row>
    <row r="413" spans="1:12" x14ac:dyDescent="0.3">
      <c r="A413" s="317" t="s">
        <v>555</v>
      </c>
      <c r="B413" s="71">
        <v>18</v>
      </c>
      <c r="C413" s="54" t="s">
        <v>340</v>
      </c>
      <c r="D413" s="276">
        <v>95</v>
      </c>
      <c r="E413" s="33">
        <v>0</v>
      </c>
      <c r="F413" s="55">
        <v>46008</v>
      </c>
      <c r="G413" s="63">
        <v>2</v>
      </c>
      <c r="H413" s="33">
        <v>16</v>
      </c>
      <c r="I413" s="55">
        <v>46008</v>
      </c>
      <c r="J413" s="67">
        <v>2</v>
      </c>
      <c r="K413" s="39" t="s">
        <v>554</v>
      </c>
      <c r="L413" s="301" t="b">
        <f>+ISNUMBER(PAGOS[[#This Row],[REG]])</f>
        <v>0</v>
      </c>
    </row>
    <row r="414" spans="1:12" x14ac:dyDescent="0.3">
      <c r="A414" s="415">
        <v>359</v>
      </c>
      <c r="B414" s="416">
        <v>16</v>
      </c>
      <c r="C414" s="417" t="s">
        <v>23</v>
      </c>
      <c r="D414" s="418">
        <v>104</v>
      </c>
      <c r="E414" s="419" t="s">
        <v>569</v>
      </c>
      <c r="F414" s="420">
        <v>46013</v>
      </c>
      <c r="G414" s="421">
        <v>1</v>
      </c>
      <c r="H414" s="419">
        <v>1</v>
      </c>
      <c r="I414" s="420">
        <v>46013</v>
      </c>
      <c r="J414" s="422">
        <v>1</v>
      </c>
      <c r="K414" s="407" t="s">
        <v>570</v>
      </c>
      <c r="L414" s="423" t="b">
        <f>+ISNUMBER(PAGOS[[#This Row],[REG]])</f>
        <v>1</v>
      </c>
    </row>
    <row r="415" spans="1:12" x14ac:dyDescent="0.3">
      <c r="A415" s="415">
        <v>360</v>
      </c>
      <c r="B415" s="416">
        <v>16</v>
      </c>
      <c r="C415" s="417" t="s">
        <v>23</v>
      </c>
      <c r="D415" s="418">
        <v>104</v>
      </c>
      <c r="E415" s="419" t="s">
        <v>571</v>
      </c>
      <c r="F415" s="420">
        <v>46013</v>
      </c>
      <c r="G415" s="421">
        <v>2</v>
      </c>
      <c r="H415" s="419" t="s">
        <v>572</v>
      </c>
      <c r="I415" s="420">
        <v>46013</v>
      </c>
      <c r="J415" s="422">
        <v>2</v>
      </c>
      <c r="K415" s="407" t="s">
        <v>498</v>
      </c>
      <c r="L415" s="423" t="b">
        <f>+ISNUMBER(PAGOS[[#This Row],[REG]])</f>
        <v>1</v>
      </c>
    </row>
    <row r="416" spans="1:12" x14ac:dyDescent="0.3">
      <c r="A416" s="415">
        <v>361</v>
      </c>
      <c r="B416" s="416">
        <v>16</v>
      </c>
      <c r="C416" s="417" t="s">
        <v>23</v>
      </c>
      <c r="D416" s="418">
        <v>104</v>
      </c>
      <c r="E416" s="419">
        <v>10</v>
      </c>
      <c r="F416" s="420">
        <v>46013</v>
      </c>
      <c r="G416" s="421">
        <v>3</v>
      </c>
      <c r="H416" s="419" t="s">
        <v>573</v>
      </c>
      <c r="I416" s="420">
        <v>46013</v>
      </c>
      <c r="J416" s="422">
        <v>3</v>
      </c>
      <c r="K416" s="407" t="s">
        <v>498</v>
      </c>
      <c r="L416" s="423" t="b">
        <f>+ISNUMBER(PAGOS[[#This Row],[REG]])</f>
        <v>1</v>
      </c>
    </row>
    <row r="417" spans="1:12" x14ac:dyDescent="0.3">
      <c r="A417" s="415">
        <v>362</v>
      </c>
      <c r="B417" s="416">
        <v>16</v>
      </c>
      <c r="C417" s="417" t="s">
        <v>23</v>
      </c>
      <c r="D417" s="418">
        <v>104</v>
      </c>
      <c r="E417" s="419" t="s">
        <v>574</v>
      </c>
      <c r="F417" s="420">
        <v>46013</v>
      </c>
      <c r="G417" s="421">
        <v>4</v>
      </c>
      <c r="H417" s="419" t="s">
        <v>575</v>
      </c>
      <c r="I417" s="420">
        <v>46013</v>
      </c>
      <c r="J417" s="422">
        <v>4</v>
      </c>
      <c r="K417" s="407" t="s">
        <v>498</v>
      </c>
      <c r="L417" s="423" t="b">
        <f>+ISNUMBER(PAGOS[[#This Row],[REG]])</f>
        <v>1</v>
      </c>
    </row>
    <row r="418" spans="1:12" x14ac:dyDescent="0.3">
      <c r="A418" s="415">
        <v>363</v>
      </c>
      <c r="B418" s="416">
        <v>16</v>
      </c>
      <c r="C418" s="417" t="s">
        <v>23</v>
      </c>
      <c r="D418" s="418">
        <v>104</v>
      </c>
      <c r="E418" s="419" t="s">
        <v>577</v>
      </c>
      <c r="F418" s="420">
        <v>46013</v>
      </c>
      <c r="G418" s="421">
        <v>5</v>
      </c>
      <c r="H418" s="419" t="s">
        <v>576</v>
      </c>
      <c r="I418" s="420">
        <v>46013</v>
      </c>
      <c r="J418" s="422">
        <v>5</v>
      </c>
      <c r="K418" s="407" t="s">
        <v>498</v>
      </c>
      <c r="L418" s="423" t="b">
        <f>+ISNUMBER(PAGOS[[#This Row],[REG]])</f>
        <v>1</v>
      </c>
    </row>
  </sheetData>
  <sheetProtection algorithmName="SHA-512" hashValue="8V6HSuxIvmms8YINZzkici7LBTL0UwwsDuAJaRS9p/AZB42KiY0G7iJ0aRKeC9wOCfBwP1ftRBrxOKLXFMCV0A==" saltValue="9S61RjWGhkVF8jkLBmRF6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2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426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445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509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530</v>
      </c>
    </row>
    <row r="41" spans="1:6" x14ac:dyDescent="0.3">
      <c r="A41" s="335">
        <v>40</v>
      </c>
      <c r="B41" s="41">
        <v>45976</v>
      </c>
      <c r="C41" s="45">
        <v>2381.06</v>
      </c>
      <c r="D41" s="235" t="s">
        <v>557</v>
      </c>
    </row>
    <row r="42" spans="1:6" x14ac:dyDescent="0.3">
      <c r="A42" s="335">
        <v>41</v>
      </c>
      <c r="B42" s="41">
        <v>46008</v>
      </c>
      <c r="C42" s="45">
        <v>381.06</v>
      </c>
      <c r="D42" s="235" t="s">
        <v>538</v>
      </c>
    </row>
  </sheetData>
  <sheetProtection algorithmName="SHA-512" hashValue="po+M/uk1vBjmjjm/HfjwAOf3E0Z+/FhfsBI1g0P00AJQMwajOxBcHZwJYLyKrcCcu52ax/l4PU/u3kETfhiCXg==" saltValue="CQWCTe8V5LztRkqp1H0+J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73" t="s">
        <v>422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</row>
    <row r="3" spans="2:18" ht="15.6" thickTop="1" thickBot="1" x14ac:dyDescent="0.35">
      <c r="D3" s="371"/>
      <c r="E3" s="80"/>
      <c r="F3" s="371" t="s">
        <v>546</v>
      </c>
      <c r="G3" s="372"/>
      <c r="H3" s="352"/>
      <c r="I3" s="371" t="s">
        <v>547</v>
      </c>
      <c r="J3" s="80"/>
      <c r="K3" s="352"/>
    </row>
    <row r="4" spans="2:18" ht="15" thickTop="1" x14ac:dyDescent="0.3">
      <c r="B4" s="375" t="s">
        <v>410</v>
      </c>
      <c r="E4" s="353"/>
      <c r="F4" s="353"/>
      <c r="G4" s="354" t="s">
        <v>413</v>
      </c>
      <c r="H4" s="354" t="s">
        <v>414</v>
      </c>
      <c r="I4" s="355" t="s">
        <v>416</v>
      </c>
      <c r="J4" s="355" t="s">
        <v>414</v>
      </c>
      <c r="K4" s="356" t="s">
        <v>414</v>
      </c>
      <c r="L4" s="357" t="s">
        <v>413</v>
      </c>
      <c r="M4" s="357" t="s">
        <v>32</v>
      </c>
      <c r="N4" s="353"/>
      <c r="O4" s="353"/>
      <c r="P4" s="353"/>
      <c r="Q4" s="353"/>
    </row>
    <row r="5" spans="2:18" x14ac:dyDescent="0.3">
      <c r="B5" s="375" t="s">
        <v>27</v>
      </c>
      <c r="C5" s="375" t="s">
        <v>11</v>
      </c>
      <c r="D5" t="s">
        <v>545</v>
      </c>
      <c r="E5" s="355" t="s">
        <v>411</v>
      </c>
      <c r="F5" s="355" t="s">
        <v>412</v>
      </c>
      <c r="G5" s="354" t="s">
        <v>116</v>
      </c>
      <c r="H5" s="354" t="s">
        <v>116</v>
      </c>
      <c r="I5" s="355" t="s">
        <v>415</v>
      </c>
      <c r="J5" s="355" t="s">
        <v>415</v>
      </c>
      <c r="K5" s="356" t="s">
        <v>549</v>
      </c>
      <c r="L5" s="357" t="s">
        <v>548</v>
      </c>
      <c r="M5" s="357" t="s">
        <v>548</v>
      </c>
      <c r="N5" s="355" t="s">
        <v>418</v>
      </c>
      <c r="O5" s="355" t="s">
        <v>419</v>
      </c>
      <c r="P5" s="355" t="s">
        <v>421</v>
      </c>
      <c r="Q5" s="355" t="s">
        <v>25</v>
      </c>
    </row>
    <row r="6" spans="2:18" x14ac:dyDescent="0.3">
      <c r="B6" s="358">
        <v>1</v>
      </c>
      <c r="C6" s="358" t="s">
        <v>70</v>
      </c>
      <c r="D6" s="358">
        <v>1</v>
      </c>
      <c r="E6" s="358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59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0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0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59">
        <v>0</v>
      </c>
      <c r="J6" s="359">
        <v>0</v>
      </c>
      <c r="K6" s="361">
        <v>0</v>
      </c>
      <c r="L6" s="362">
        <f>+G6-(I6)</f>
        <v>0</v>
      </c>
      <c r="M6" s="362">
        <f t="shared" ref="M6:M23" si="0">+H6-(J6+K6)</f>
        <v>0</v>
      </c>
      <c r="N6" s="363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33.5</v>
      </c>
      <c r="O6" s="363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64">
        <f>IF(OR(B6=1,B6=2),0,($H$24+$N$24)-($O$24+$K$24))/16</f>
        <v>0</v>
      </c>
      <c r="Q6" s="365">
        <f>+E6+P6</f>
        <v>0</v>
      </c>
    </row>
    <row r="7" spans="2:18" x14ac:dyDescent="0.3">
      <c r="B7" s="358">
        <v>2</v>
      </c>
      <c r="C7" s="358" t="s">
        <v>71</v>
      </c>
      <c r="D7" s="358">
        <v>1</v>
      </c>
      <c r="E7" s="358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59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0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0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59">
        <v>0</v>
      </c>
      <c r="J7" s="359">
        <v>0</v>
      </c>
      <c r="K7" s="361">
        <v>0</v>
      </c>
      <c r="L7" s="362">
        <f t="shared" ref="L7:L23" si="1">+G7-(I7)</f>
        <v>0</v>
      </c>
      <c r="M7" s="362">
        <f t="shared" si="0"/>
        <v>0</v>
      </c>
      <c r="N7" s="363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3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1268.31</v>
      </c>
      <c r="P7" s="364">
        <f t="shared" ref="P7:P23" si="2">IF(OR(B7=1,B7=2),0,($H$24+$N$24)-($O$24+$K$24))/16</f>
        <v>0</v>
      </c>
      <c r="Q7" s="365">
        <f t="shared" ref="Q7:Q23" si="3">+E7+P7</f>
        <v>0</v>
      </c>
    </row>
    <row r="8" spans="2:18" x14ac:dyDescent="0.3">
      <c r="B8" s="358">
        <v>3</v>
      </c>
      <c r="C8" s="358" t="s">
        <v>13</v>
      </c>
      <c r="D8" s="358">
        <v>41</v>
      </c>
      <c r="E8" s="358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410</v>
      </c>
      <c r="F8" s="359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0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0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59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59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1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2">
        <f t="shared" si="1"/>
        <v>-9.9999999999909051E-3</v>
      </c>
      <c r="M8" s="362">
        <f t="shared" si="0"/>
        <v>0</v>
      </c>
      <c r="N8" s="363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3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64">
        <f t="shared" si="2"/>
        <v>222.75184990788003</v>
      </c>
      <c r="Q8" s="365">
        <f t="shared" si="3"/>
        <v>632.75184990788</v>
      </c>
      <c r="R8" s="110"/>
    </row>
    <row r="9" spans="2:18" x14ac:dyDescent="0.3">
      <c r="B9" s="358">
        <v>4</v>
      </c>
      <c r="C9" s="358" t="s">
        <v>12</v>
      </c>
      <c r="D9" s="358">
        <v>41</v>
      </c>
      <c r="E9" s="358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410</v>
      </c>
      <c r="F9" s="359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0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0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59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59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1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2">
        <f t="shared" si="1"/>
        <v>0</v>
      </c>
      <c r="M9" s="362">
        <f t="shared" si="0"/>
        <v>0</v>
      </c>
      <c r="N9" s="363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3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64">
        <f t="shared" si="2"/>
        <v>222.75184990788003</v>
      </c>
      <c r="Q9" s="365">
        <f t="shared" si="3"/>
        <v>632.75184990788</v>
      </c>
      <c r="R9" s="110"/>
    </row>
    <row r="10" spans="2:18" x14ac:dyDescent="0.3">
      <c r="B10" s="358">
        <v>5</v>
      </c>
      <c r="C10" s="358" t="s">
        <v>14</v>
      </c>
      <c r="D10" s="358">
        <v>41</v>
      </c>
      <c r="E10" s="358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410</v>
      </c>
      <c r="F10" s="359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0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3800</v>
      </c>
      <c r="H10" s="360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612</v>
      </c>
      <c r="I10" s="359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3300</v>
      </c>
      <c r="J10" s="359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472</v>
      </c>
      <c r="K10" s="361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20</v>
      </c>
      <c r="L10" s="362">
        <f t="shared" si="1"/>
        <v>500</v>
      </c>
      <c r="M10" s="362">
        <f t="shared" si="0"/>
        <v>120</v>
      </c>
      <c r="N10" s="363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3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64">
        <f t="shared" si="2"/>
        <v>222.75184990788003</v>
      </c>
      <c r="Q10" s="365">
        <f t="shared" si="3"/>
        <v>632.75184990788</v>
      </c>
    </row>
    <row r="11" spans="2:18" x14ac:dyDescent="0.3">
      <c r="B11" s="358">
        <v>6</v>
      </c>
      <c r="C11" s="358" t="s">
        <v>24</v>
      </c>
      <c r="D11" s="358">
        <v>41</v>
      </c>
      <c r="E11" s="358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410</v>
      </c>
      <c r="F11" s="359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0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0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59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2480</v>
      </c>
      <c r="J11" s="359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357.6</v>
      </c>
      <c r="K11" s="361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2">
        <f t="shared" si="1"/>
        <v>1100</v>
      </c>
      <c r="M11" s="362">
        <f t="shared" si="0"/>
        <v>228</v>
      </c>
      <c r="N11" s="363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3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64">
        <f t="shared" si="2"/>
        <v>222.75184990788003</v>
      </c>
      <c r="Q11" s="365">
        <f t="shared" si="3"/>
        <v>632.75184990788</v>
      </c>
    </row>
    <row r="12" spans="2:18" x14ac:dyDescent="0.3">
      <c r="B12" s="358">
        <v>7</v>
      </c>
      <c r="C12" s="358" t="s">
        <v>408</v>
      </c>
      <c r="D12" s="358">
        <v>41</v>
      </c>
      <c r="E12" s="358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410</v>
      </c>
      <c r="F12" s="359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0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3750</v>
      </c>
      <c r="H12" s="360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162</v>
      </c>
      <c r="I12" s="359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59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1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2">
        <f t="shared" si="1"/>
        <v>0</v>
      </c>
      <c r="M12" s="362">
        <f t="shared" si="0"/>
        <v>0</v>
      </c>
      <c r="N12" s="363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3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64">
        <f t="shared" si="2"/>
        <v>222.75184990788003</v>
      </c>
      <c r="Q12" s="365">
        <f t="shared" si="3"/>
        <v>632.75184990788</v>
      </c>
    </row>
    <row r="13" spans="2:18" x14ac:dyDescent="0.3">
      <c r="B13" s="358">
        <v>8</v>
      </c>
      <c r="C13" s="358" t="s">
        <v>409</v>
      </c>
      <c r="D13" s="358">
        <v>41</v>
      </c>
      <c r="E13" s="358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410</v>
      </c>
      <c r="F13" s="359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0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0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59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59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1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2">
        <f t="shared" si="1"/>
        <v>0</v>
      </c>
      <c r="M13" s="362">
        <f t="shared" si="0"/>
        <v>0</v>
      </c>
      <c r="N13" s="363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3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64">
        <f t="shared" si="2"/>
        <v>222.75184990788003</v>
      </c>
      <c r="Q13" s="365">
        <f t="shared" si="3"/>
        <v>632.75184990788</v>
      </c>
    </row>
    <row r="14" spans="2:18" x14ac:dyDescent="0.3">
      <c r="B14" s="358">
        <v>9</v>
      </c>
      <c r="C14" s="358" t="s">
        <v>17</v>
      </c>
      <c r="D14" s="358">
        <v>42</v>
      </c>
      <c r="E14" s="358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410</v>
      </c>
      <c r="F14" s="359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0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0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59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2860</v>
      </c>
      <c r="J14" s="359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276.39999999999998</v>
      </c>
      <c r="K14" s="361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2">
        <f t="shared" si="1"/>
        <v>500</v>
      </c>
      <c r="M14" s="362">
        <f t="shared" si="0"/>
        <v>50</v>
      </c>
      <c r="N14" s="363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3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64">
        <f t="shared" si="2"/>
        <v>222.75184990788003</v>
      </c>
      <c r="Q14" s="365">
        <f t="shared" si="3"/>
        <v>632.75184990788</v>
      </c>
    </row>
    <row r="15" spans="2:18" x14ac:dyDescent="0.3">
      <c r="B15" s="358">
        <v>10</v>
      </c>
      <c r="C15" s="358" t="s">
        <v>18</v>
      </c>
      <c r="D15" s="358">
        <v>42</v>
      </c>
      <c r="E15" s="358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410</v>
      </c>
      <c r="F15" s="359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0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0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59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700</v>
      </c>
      <c r="J15" s="359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56</v>
      </c>
      <c r="K15" s="361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2">
        <f t="shared" si="1"/>
        <v>50</v>
      </c>
      <c r="M15" s="362">
        <f t="shared" si="0"/>
        <v>3</v>
      </c>
      <c r="N15" s="363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3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64">
        <f t="shared" si="2"/>
        <v>222.75184990788003</v>
      </c>
      <c r="Q15" s="365">
        <f t="shared" si="3"/>
        <v>632.75184990788</v>
      </c>
    </row>
    <row r="16" spans="2:18" x14ac:dyDescent="0.3">
      <c r="B16" s="358">
        <v>11</v>
      </c>
      <c r="C16" s="358" t="s">
        <v>19</v>
      </c>
      <c r="D16" s="358">
        <v>41</v>
      </c>
      <c r="E16" s="358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410</v>
      </c>
      <c r="F16" s="359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0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0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59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1433.33</v>
      </c>
      <c r="J16" s="359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100</v>
      </c>
      <c r="K16" s="361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2">
        <f t="shared" si="1"/>
        <v>166.67000000000007</v>
      </c>
      <c r="M16" s="362">
        <f t="shared" si="0"/>
        <v>20</v>
      </c>
      <c r="N16" s="363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3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64">
        <f t="shared" si="2"/>
        <v>222.75184990788003</v>
      </c>
      <c r="Q16" s="365">
        <f t="shared" si="3"/>
        <v>632.75184990788</v>
      </c>
    </row>
    <row r="17" spans="2:17" x14ac:dyDescent="0.3">
      <c r="B17" s="358">
        <v>12</v>
      </c>
      <c r="C17" s="358" t="s">
        <v>20</v>
      </c>
      <c r="D17" s="358">
        <v>41</v>
      </c>
      <c r="E17" s="358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410</v>
      </c>
      <c r="F17" s="359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0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0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59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2840</v>
      </c>
      <c r="J17" s="359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424</v>
      </c>
      <c r="K17" s="361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2">
        <f t="shared" si="1"/>
        <v>660</v>
      </c>
      <c r="M17" s="362">
        <f t="shared" si="0"/>
        <v>132</v>
      </c>
      <c r="N17" s="363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3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64">
        <f t="shared" si="2"/>
        <v>222.75184990788003</v>
      </c>
      <c r="Q17" s="365">
        <f t="shared" si="3"/>
        <v>632.75184990788</v>
      </c>
    </row>
    <row r="18" spans="2:17" x14ac:dyDescent="0.3">
      <c r="B18" s="358">
        <v>13</v>
      </c>
      <c r="C18" s="358" t="s">
        <v>341</v>
      </c>
      <c r="D18" s="358">
        <v>9</v>
      </c>
      <c r="E18" s="358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410</v>
      </c>
      <c r="F18" s="359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0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0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59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100</v>
      </c>
      <c r="J18" s="359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20</v>
      </c>
      <c r="K18" s="361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2">
        <f t="shared" si="1"/>
        <v>900</v>
      </c>
      <c r="M18" s="362">
        <f t="shared" si="0"/>
        <v>180</v>
      </c>
      <c r="N18" s="363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3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64">
        <f t="shared" si="2"/>
        <v>222.75184990788003</v>
      </c>
      <c r="Q18" s="365">
        <f t="shared" si="3"/>
        <v>632.75184990788</v>
      </c>
    </row>
    <row r="19" spans="2:17" x14ac:dyDescent="0.3">
      <c r="B19" s="358">
        <v>14</v>
      </c>
      <c r="C19" s="358" t="s">
        <v>21</v>
      </c>
      <c r="D19" s="358">
        <v>41</v>
      </c>
      <c r="E19" s="358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410</v>
      </c>
      <c r="F19" s="359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0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0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59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3620</v>
      </c>
      <c r="J19" s="359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287</v>
      </c>
      <c r="K19" s="361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2">
        <f t="shared" si="1"/>
        <v>2000</v>
      </c>
      <c r="M19" s="362">
        <f t="shared" si="0"/>
        <v>720</v>
      </c>
      <c r="N19" s="363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3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64">
        <f t="shared" si="2"/>
        <v>222.75184990788003</v>
      </c>
      <c r="Q19" s="365">
        <f t="shared" si="3"/>
        <v>632.75184990788</v>
      </c>
    </row>
    <row r="20" spans="2:17" x14ac:dyDescent="0.3">
      <c r="B20" s="358">
        <v>15</v>
      </c>
      <c r="C20" s="358" t="s">
        <v>22</v>
      </c>
      <c r="D20" s="358">
        <v>41</v>
      </c>
      <c r="E20" s="358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410</v>
      </c>
      <c r="F20" s="359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0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0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59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1500</v>
      </c>
      <c r="J20" s="359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232</v>
      </c>
      <c r="K20" s="361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2">
        <f t="shared" si="1"/>
        <v>300</v>
      </c>
      <c r="M20" s="362">
        <f t="shared" si="0"/>
        <v>42</v>
      </c>
      <c r="N20" s="363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3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64">
        <f t="shared" si="2"/>
        <v>222.75184990788003</v>
      </c>
      <c r="Q20" s="365">
        <f t="shared" si="3"/>
        <v>632.75184990788</v>
      </c>
    </row>
    <row r="21" spans="2:17" x14ac:dyDescent="0.3">
      <c r="B21" s="358">
        <v>16</v>
      </c>
      <c r="C21" s="358" t="s">
        <v>23</v>
      </c>
      <c r="D21" s="358">
        <v>41</v>
      </c>
      <c r="E21" s="358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410</v>
      </c>
      <c r="F21" s="359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0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3010</v>
      </c>
      <c r="H21" s="360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237.23959852608056</v>
      </c>
      <c r="I21" s="359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2420.04</v>
      </c>
      <c r="J21" s="359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198.20000000000002</v>
      </c>
      <c r="K21" s="361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2">
        <f t="shared" si="1"/>
        <v>589.96</v>
      </c>
      <c r="M21" s="362">
        <f t="shared" si="0"/>
        <v>39.039598526080539</v>
      </c>
      <c r="N21" s="363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3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64">
        <f t="shared" si="2"/>
        <v>222.75184990788003</v>
      </c>
      <c r="Q21" s="365">
        <f t="shared" si="3"/>
        <v>632.75184990788</v>
      </c>
    </row>
    <row r="22" spans="2:17" x14ac:dyDescent="0.3">
      <c r="B22" s="358">
        <v>17</v>
      </c>
      <c r="C22" s="358" t="s">
        <v>339</v>
      </c>
      <c r="D22" s="358">
        <v>9</v>
      </c>
      <c r="E22" s="358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410</v>
      </c>
      <c r="F22" s="359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0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0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59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1166.6899999999998</v>
      </c>
      <c r="J22" s="359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280</v>
      </c>
      <c r="K22" s="361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2">
        <f t="shared" si="1"/>
        <v>833.31000000000017</v>
      </c>
      <c r="M22" s="362">
        <f t="shared" si="0"/>
        <v>200</v>
      </c>
      <c r="N22" s="363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3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64">
        <f t="shared" si="2"/>
        <v>222.75184990788003</v>
      </c>
      <c r="Q22" s="365">
        <f t="shared" si="3"/>
        <v>632.75184990788</v>
      </c>
    </row>
    <row r="23" spans="2:17" x14ac:dyDescent="0.3">
      <c r="B23" s="358">
        <v>18</v>
      </c>
      <c r="C23" s="358" t="s">
        <v>340</v>
      </c>
      <c r="D23" s="358">
        <v>9</v>
      </c>
      <c r="E23" s="358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410</v>
      </c>
      <c r="F23" s="359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0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0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59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600</v>
      </c>
      <c r="J23" s="359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28</v>
      </c>
      <c r="K23" s="361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2">
        <f t="shared" si="1"/>
        <v>700</v>
      </c>
      <c r="M23" s="362">
        <f t="shared" si="0"/>
        <v>98</v>
      </c>
      <c r="N23" s="363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3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64">
        <f t="shared" si="2"/>
        <v>222.75184990788003</v>
      </c>
      <c r="Q23" s="365">
        <f t="shared" si="3"/>
        <v>632.75184990788</v>
      </c>
    </row>
    <row r="24" spans="2:17" x14ac:dyDescent="0.3">
      <c r="B24" t="s">
        <v>261</v>
      </c>
      <c r="D24">
        <v>564</v>
      </c>
      <c r="E24" s="366">
        <f>+SUM(E6:E23)</f>
        <v>6560</v>
      </c>
      <c r="F24" s="366">
        <f>+SUM(F6:F23)</f>
        <v>460</v>
      </c>
      <c r="G24" s="367">
        <f t="shared" ref="G24:K24" si="4">+SUM(G6:G23)</f>
        <v>40280</v>
      </c>
      <c r="H24" s="367">
        <f t="shared" si="4"/>
        <v>5307.6395985260806</v>
      </c>
      <c r="I24" s="366">
        <f t="shared" si="4"/>
        <v>31980.070000000003</v>
      </c>
      <c r="J24" s="366">
        <f t="shared" si="4"/>
        <v>3249.6</v>
      </c>
      <c r="K24" s="368">
        <f t="shared" si="4"/>
        <v>226</v>
      </c>
      <c r="L24" s="369">
        <f t="shared" ref="L24" si="5">+SUM(L6:L23)</f>
        <v>8299.93</v>
      </c>
      <c r="M24" s="369">
        <f t="shared" ref="M24:Q24" si="6">+SUM(M6:M23)</f>
        <v>1832.0395985260805</v>
      </c>
      <c r="N24" s="366">
        <f t="shared" si="6"/>
        <v>210.69999999999996</v>
      </c>
      <c r="O24" s="366">
        <f t="shared" si="6"/>
        <v>1728.31</v>
      </c>
      <c r="P24" s="366">
        <f t="shared" si="6"/>
        <v>3564.0295985260814</v>
      </c>
      <c r="Q24" s="366">
        <f t="shared" si="6"/>
        <v>10124.029598526078</v>
      </c>
    </row>
    <row r="26" spans="2:17" x14ac:dyDescent="0.3">
      <c r="J26" s="110"/>
    </row>
    <row r="27" spans="2:17" x14ac:dyDescent="0.3">
      <c r="I27" s="110"/>
      <c r="M27" s="370"/>
    </row>
    <row r="28" spans="2:17" x14ac:dyDescent="0.3">
      <c r="L28" s="370"/>
    </row>
  </sheetData>
  <sheetProtection algorithmName="SHA-512" hashValue="K6wzbMWz7JIlksAqaF9V+GLbXZBAFmdGmxDjdw2xsKKmcyG2vQWhBhgSDcK5eybKIvvm1UeWtmX1BUTpyjWCXw==" saltValue="RxIRF7rq3Cy5PDGj+sHtAA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448</v>
      </c>
    </row>
    <row r="2" spans="2:34 16375:16375" ht="15.6" thickTop="1" thickBot="1" x14ac:dyDescent="0.35">
      <c r="B2" s="396" t="s">
        <v>92</v>
      </c>
      <c r="C2" s="397"/>
      <c r="D2" s="243" t="s">
        <v>397</v>
      </c>
      <c r="E2" s="111">
        <v>46006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8"/>
      <c r="C3" s="399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400"/>
      <c r="C4" s="401"/>
      <c r="D4" s="243" t="s">
        <v>396</v>
      </c>
      <c r="E4" s="111">
        <v>46036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/>
      <c r="R4" s="123">
        <v>1</v>
      </c>
      <c r="S4" s="124">
        <f>SUM(P4*100+Q4*10+R4*1)</f>
        <v>1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6560</v>
      </c>
      <c r="G5" s="88" t="s">
        <v>103</v>
      </c>
      <c r="H5" s="2"/>
      <c r="I5" s="2"/>
      <c r="J5" s="98">
        <f>E9</f>
        <v>3900</v>
      </c>
      <c r="M5" s="113">
        <v>10</v>
      </c>
      <c r="N5" s="115">
        <v>100000</v>
      </c>
      <c r="O5" s="115">
        <v>10000</v>
      </c>
      <c r="P5" s="123"/>
      <c r="Q5" s="123">
        <v>3</v>
      </c>
      <c r="R5" s="123">
        <v>5</v>
      </c>
      <c r="S5" s="124">
        <f>SUM(P5*100+Q5*10+R5*1)</f>
        <v>35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446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980</v>
      </c>
      <c r="M6" s="113">
        <v>5</v>
      </c>
      <c r="N6" s="115">
        <v>50000</v>
      </c>
      <c r="O6" s="115">
        <v>5000</v>
      </c>
      <c r="P6" s="123"/>
      <c r="Q6" s="123"/>
      <c r="R6" s="123">
        <v>1</v>
      </c>
      <c r="S6" s="124">
        <f>SUM(P6*100+Q6*10+R6*1)</f>
        <v>1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40280</v>
      </c>
      <c r="G7" s="88" t="s">
        <v>447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200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928.03959852608057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3900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171</v>
      </c>
      <c r="M9" s="113">
        <v>1</v>
      </c>
      <c r="N9" s="117">
        <v>10000</v>
      </c>
      <c r="O9" s="117">
        <v>1000</v>
      </c>
      <c r="P9" s="122"/>
      <c r="Q9" s="122"/>
      <c r="R9" s="122">
        <v>2</v>
      </c>
      <c r="S9" s="124">
        <f t="shared" ref="S9:S14" si="5">SUM(P9*100+Q9*10+R9*1)</f>
        <v>2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5307.6395985260806</v>
      </c>
      <c r="G10" s="93" t="s">
        <v>117</v>
      </c>
      <c r="H10" s="94"/>
      <c r="I10" s="94"/>
      <c r="J10" s="187">
        <v>2381.06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/>
      <c r="S10" s="124">
        <f t="shared" si="5"/>
        <v>0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928.03959852608057</v>
      </c>
      <c r="G11" s="105" t="s">
        <v>115</v>
      </c>
      <c r="H11" s="85"/>
      <c r="I11" s="85"/>
      <c r="J11" s="107">
        <f>J4+J6+J9+J10+J7</f>
        <v>3892.06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/>
      <c r="S11" s="124">
        <f t="shared" si="5"/>
        <v>10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3900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/>
      <c r="S12" s="124">
        <f t="shared" si="5"/>
        <v>10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31980.069999999982</v>
      </c>
      <c r="G13" s="86" t="s">
        <v>128</v>
      </c>
      <c r="H13" s="87"/>
      <c r="I13" s="87"/>
      <c r="J13" s="109">
        <f>J11-J12</f>
        <v>-7.9400000000000546</v>
      </c>
      <c r="K13" s="104"/>
      <c r="M13" s="113">
        <v>0.05</v>
      </c>
      <c r="N13" s="115">
        <v>500</v>
      </c>
      <c r="O13" s="115">
        <v>50</v>
      </c>
      <c r="P13" s="123"/>
      <c r="Q13" s="123"/>
      <c r="R13" s="123">
        <v>9</v>
      </c>
      <c r="S13" s="124">
        <f t="shared" si="5"/>
        <v>9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1180</v>
      </c>
      <c r="K14" s="104"/>
      <c r="M14" s="113">
        <v>0.01</v>
      </c>
      <c r="N14" s="115">
        <v>100</v>
      </c>
      <c r="O14" s="115">
        <v>10</v>
      </c>
      <c r="P14" s="123"/>
      <c r="Q14" s="123">
        <v>1</v>
      </c>
      <c r="R14" s="123">
        <v>1</v>
      </c>
      <c r="S14" s="124">
        <f t="shared" si="5"/>
        <v>11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8299.9300000000185</v>
      </c>
      <c r="G15" s="126" t="s">
        <v>140</v>
      </c>
      <c r="H15" s="127">
        <f>K16+K21</f>
        <v>381.06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3475.5999999999995</v>
      </c>
      <c r="G16" s="112" t="s">
        <v>131</v>
      </c>
      <c r="H16" s="112"/>
      <c r="I16" s="112"/>
      <c r="J16" s="118"/>
      <c r="K16" s="113">
        <f>SUM(K17:K20)</f>
        <v>375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171</v>
      </c>
      <c r="G17" s="113">
        <v>20</v>
      </c>
      <c r="H17" s="115">
        <f t="shared" ref="H17:J20" si="11">AF5*P4</f>
        <v>0</v>
      </c>
      <c r="I17" s="115">
        <f t="shared" si="11"/>
        <v>0</v>
      </c>
      <c r="J17" s="115">
        <f t="shared" si="11"/>
        <v>20</v>
      </c>
      <c r="K17" s="121">
        <f>SUM(H17:J17)</f>
        <v>20</v>
      </c>
      <c r="M17" s="104"/>
      <c r="P17" s="265">
        <f>+J13-H15</f>
        <v>-389.00000000000006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1832.0395985260811</v>
      </c>
      <c r="G18" s="113">
        <v>10</v>
      </c>
      <c r="H18" s="115">
        <f t="shared" si="11"/>
        <v>0</v>
      </c>
      <c r="I18" s="115">
        <f t="shared" si="11"/>
        <v>300</v>
      </c>
      <c r="J18" s="115">
        <f t="shared" si="11"/>
        <v>50</v>
      </c>
      <c r="K18" s="121">
        <f>SUM(H18:J18)</f>
        <v>350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5</v>
      </c>
      <c r="K19" s="121">
        <f>SUM(H19:J19)</f>
        <v>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210.69999999999996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1728.31</v>
      </c>
      <c r="G21" s="114" t="s">
        <v>132</v>
      </c>
      <c r="H21" s="116"/>
      <c r="I21" s="116"/>
      <c r="J21" s="119"/>
      <c r="K21" s="113">
        <f>SUM(K22:K27)</f>
        <v>6.0600000000000005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226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2</v>
      </c>
      <c r="K22" s="121">
        <f t="shared" ref="K22:K27" si="13">SUM(H22:J22)</f>
        <v>2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6560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0</v>
      </c>
      <c r="K23" s="121">
        <f t="shared" si="13"/>
        <v>0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410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</v>
      </c>
      <c r="K24" s="121">
        <f t="shared" si="13"/>
        <v>2.5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3564.0295985260805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</v>
      </c>
      <c r="K25" s="121">
        <f t="shared" si="13"/>
        <v>1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SUMIFS(DENERO_CAJA[MONTO],DENERO_CAJA[FECHA],"&gt;="&amp;$E$2,DENERO_CAJA[FECHA],"&lt;="&amp;$E$4)</f>
        <v>381.06</v>
      </c>
      <c r="G26" s="113">
        <v>0.05</v>
      </c>
      <c r="H26" s="117">
        <f t="shared" si="12"/>
        <v>0</v>
      </c>
      <c r="I26" s="117">
        <f t="shared" si="12"/>
        <v>0</v>
      </c>
      <c r="J26" s="117">
        <f t="shared" si="12"/>
        <v>0.45</v>
      </c>
      <c r="K26" s="121">
        <f t="shared" si="13"/>
        <v>0.45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10124.02959852608</v>
      </c>
      <c r="G27" s="113">
        <v>0.01</v>
      </c>
      <c r="H27" s="117">
        <f t="shared" si="12"/>
        <v>0</v>
      </c>
      <c r="I27" s="117">
        <f t="shared" si="12"/>
        <v>0.1</v>
      </c>
      <c r="J27" s="117">
        <f t="shared" si="12"/>
        <v>0.01</v>
      </c>
      <c r="K27" s="121">
        <f t="shared" si="13"/>
        <v>0.11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10513.029598526098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381.06</v>
      </c>
      <c r="H30" s="200"/>
      <c r="S30" s="120"/>
    </row>
    <row r="31" spans="2:20" x14ac:dyDescent="0.3">
      <c r="C31" s="104">
        <f>+E27-E28</f>
        <v>-389.00000000001819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69" activePane="bottomLeft" state="frozen"/>
      <selection pane="bottomLeft" activeCell="H395" sqref="H395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2" t="s">
        <v>296</v>
      </c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</row>
    <row r="2" spans="2:17" x14ac:dyDescent="0.3"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Q2" s="24"/>
    </row>
    <row r="3" spans="2:17" ht="15" thickBot="1" x14ac:dyDescent="0.35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ht="15.6" thickTop="1" thickBot="1" x14ac:dyDescent="0.35">
      <c r="B4" s="396" t="s">
        <v>92</v>
      </c>
      <c r="C4" s="397"/>
      <c r="D4" s="243" t="s">
        <v>397</v>
      </c>
      <c r="E4" s="111">
        <v>44788</v>
      </c>
      <c r="G4" s="396" t="s">
        <v>92</v>
      </c>
      <c r="H4" s="397"/>
      <c r="I4" s="243" t="s">
        <v>397</v>
      </c>
      <c r="J4" s="111">
        <v>44819</v>
      </c>
      <c r="L4" s="396" t="s">
        <v>92</v>
      </c>
      <c r="M4" s="397"/>
      <c r="N4" s="243" t="s">
        <v>397</v>
      </c>
      <c r="O4" s="111">
        <v>44849</v>
      </c>
      <c r="Q4" s="24"/>
    </row>
    <row r="5" spans="2:17" ht="15.6" thickTop="1" thickBot="1" x14ac:dyDescent="0.35">
      <c r="B5" s="398"/>
      <c r="C5" s="399"/>
      <c r="D5" s="243" t="s">
        <v>398</v>
      </c>
      <c r="E5" s="111">
        <v>44788</v>
      </c>
      <c r="G5" s="398"/>
      <c r="H5" s="399"/>
      <c r="I5" s="243" t="s">
        <v>398</v>
      </c>
      <c r="J5" s="111">
        <v>44788</v>
      </c>
      <c r="L5" s="398"/>
      <c r="M5" s="399"/>
      <c r="N5" s="243" t="s">
        <v>398</v>
      </c>
      <c r="O5" s="111">
        <v>44788</v>
      </c>
    </row>
    <row r="6" spans="2:17" ht="15.6" thickTop="1" thickBot="1" x14ac:dyDescent="0.35">
      <c r="B6" s="400"/>
      <c r="C6" s="401"/>
      <c r="D6" s="243" t="s">
        <v>396</v>
      </c>
      <c r="E6" s="111">
        <v>44818</v>
      </c>
      <c r="G6" s="400"/>
      <c r="H6" s="401"/>
      <c r="I6" s="243" t="s">
        <v>396</v>
      </c>
      <c r="J6" s="111">
        <v>44848</v>
      </c>
      <c r="L6" s="400"/>
      <c r="M6" s="401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396" t="s">
        <v>92</v>
      </c>
      <c r="C32" s="397"/>
      <c r="D32" s="243" t="s">
        <v>397</v>
      </c>
      <c r="E32" s="111">
        <v>44880</v>
      </c>
      <c r="G32" s="396" t="s">
        <v>92</v>
      </c>
      <c r="H32" s="397"/>
      <c r="I32" s="243" t="s">
        <v>397</v>
      </c>
      <c r="J32" s="111">
        <v>44910</v>
      </c>
      <c r="L32" s="396" t="s">
        <v>92</v>
      </c>
      <c r="M32" s="397"/>
      <c r="N32" s="243" t="s">
        <v>397</v>
      </c>
      <c r="O32" s="111">
        <v>44941</v>
      </c>
    </row>
    <row r="33" spans="2:15" ht="15.6" thickTop="1" thickBot="1" x14ac:dyDescent="0.35">
      <c r="B33" s="398"/>
      <c r="C33" s="399"/>
      <c r="D33" s="243" t="s">
        <v>398</v>
      </c>
      <c r="E33" s="111">
        <v>44788</v>
      </c>
      <c r="G33" s="398"/>
      <c r="H33" s="399"/>
      <c r="I33" s="243" t="s">
        <v>398</v>
      </c>
      <c r="J33" s="111">
        <v>44788</v>
      </c>
      <c r="L33" s="398"/>
      <c r="M33" s="399"/>
      <c r="N33" s="243" t="s">
        <v>398</v>
      </c>
      <c r="O33" s="111">
        <v>44788</v>
      </c>
    </row>
    <row r="34" spans="2:15" ht="15.6" thickTop="1" thickBot="1" x14ac:dyDescent="0.35">
      <c r="B34" s="400"/>
      <c r="C34" s="401"/>
      <c r="D34" s="243" t="s">
        <v>396</v>
      </c>
      <c r="E34" s="111">
        <v>44909</v>
      </c>
      <c r="G34" s="400"/>
      <c r="H34" s="401"/>
      <c r="I34" s="243" t="s">
        <v>396</v>
      </c>
      <c r="J34" s="111">
        <v>44940</v>
      </c>
      <c r="L34" s="400"/>
      <c r="M34" s="401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396" t="s">
        <v>92</v>
      </c>
      <c r="C60" s="397"/>
      <c r="D60" s="243" t="s">
        <v>397</v>
      </c>
      <c r="E60" s="111">
        <v>44972</v>
      </c>
      <c r="G60" s="396" t="s">
        <v>92</v>
      </c>
      <c r="H60" s="397"/>
      <c r="I60" s="243" t="s">
        <v>397</v>
      </c>
      <c r="J60" s="111">
        <v>45000</v>
      </c>
      <c r="L60" s="396" t="s">
        <v>92</v>
      </c>
      <c r="M60" s="397"/>
      <c r="N60" s="243" t="s">
        <v>397</v>
      </c>
      <c r="O60" s="111">
        <v>45031</v>
      </c>
    </row>
    <row r="61" spans="2:15" ht="15.6" thickTop="1" thickBot="1" x14ac:dyDescent="0.35">
      <c r="B61" s="398"/>
      <c r="C61" s="399"/>
      <c r="D61" s="243" t="s">
        <v>398</v>
      </c>
      <c r="E61" s="111">
        <v>44788</v>
      </c>
      <c r="G61" s="398"/>
      <c r="H61" s="399"/>
      <c r="I61" s="243" t="s">
        <v>398</v>
      </c>
      <c r="J61" s="111">
        <v>44788</v>
      </c>
      <c r="L61" s="398"/>
      <c r="M61" s="399"/>
      <c r="N61" s="243" t="s">
        <v>398</v>
      </c>
      <c r="O61" s="111">
        <v>44788</v>
      </c>
    </row>
    <row r="62" spans="2:15" ht="15.6" thickTop="1" thickBot="1" x14ac:dyDescent="0.35">
      <c r="B62" s="400"/>
      <c r="C62" s="401"/>
      <c r="D62" s="243" t="s">
        <v>396</v>
      </c>
      <c r="E62" s="111">
        <v>44999</v>
      </c>
      <c r="G62" s="400"/>
      <c r="H62" s="401"/>
      <c r="I62" s="243" t="s">
        <v>396</v>
      </c>
      <c r="J62" s="111">
        <v>45030</v>
      </c>
      <c r="L62" s="400"/>
      <c r="M62" s="401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396" t="s">
        <v>92</v>
      </c>
      <c r="C88" s="397"/>
      <c r="D88" s="243" t="s">
        <v>397</v>
      </c>
      <c r="E88" s="111">
        <v>45061</v>
      </c>
      <c r="G88" s="396" t="s">
        <v>92</v>
      </c>
      <c r="H88" s="397"/>
      <c r="I88" s="243" t="s">
        <v>397</v>
      </c>
      <c r="J88" s="111">
        <v>45092</v>
      </c>
      <c r="L88" s="396" t="s">
        <v>92</v>
      </c>
      <c r="M88" s="397"/>
      <c r="N88" s="243" t="s">
        <v>397</v>
      </c>
      <c r="O88" s="111">
        <v>45122</v>
      </c>
    </row>
    <row r="89" spans="2:15" ht="15.6" thickTop="1" thickBot="1" x14ac:dyDescent="0.35">
      <c r="B89" s="398"/>
      <c r="C89" s="399"/>
      <c r="D89" s="243" t="s">
        <v>398</v>
      </c>
      <c r="E89" s="111">
        <v>44788</v>
      </c>
      <c r="G89" s="398"/>
      <c r="H89" s="399"/>
      <c r="I89" s="243" t="s">
        <v>398</v>
      </c>
      <c r="J89" s="111">
        <v>44788</v>
      </c>
      <c r="L89" s="398"/>
      <c r="M89" s="399"/>
      <c r="N89" s="243" t="s">
        <v>398</v>
      </c>
      <c r="O89" s="111">
        <v>44788</v>
      </c>
    </row>
    <row r="90" spans="2:15" ht="15.6" thickTop="1" thickBot="1" x14ac:dyDescent="0.35">
      <c r="B90" s="400"/>
      <c r="C90" s="401"/>
      <c r="D90" s="243" t="s">
        <v>396</v>
      </c>
      <c r="E90" s="111">
        <v>45091</v>
      </c>
      <c r="G90" s="400"/>
      <c r="H90" s="401"/>
      <c r="I90" s="243" t="s">
        <v>396</v>
      </c>
      <c r="J90" s="111">
        <v>45121</v>
      </c>
      <c r="L90" s="400"/>
      <c r="M90" s="401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396" t="s">
        <v>92</v>
      </c>
      <c r="C117" s="397"/>
      <c r="D117" s="243" t="s">
        <v>397</v>
      </c>
      <c r="E117" s="111">
        <v>45153</v>
      </c>
      <c r="G117" s="396" t="s">
        <v>92</v>
      </c>
      <c r="H117" s="397"/>
      <c r="I117" s="243" t="s">
        <v>397</v>
      </c>
      <c r="J117" s="111">
        <v>45184</v>
      </c>
      <c r="L117" s="396" t="s">
        <v>92</v>
      </c>
      <c r="M117" s="397"/>
      <c r="N117" s="243" t="s">
        <v>397</v>
      </c>
      <c r="O117" s="111">
        <v>45214</v>
      </c>
    </row>
    <row r="118" spans="2:15" ht="15.6" thickTop="1" thickBot="1" x14ac:dyDescent="0.35">
      <c r="B118" s="398"/>
      <c r="C118" s="399"/>
      <c r="D118" s="243" t="s">
        <v>398</v>
      </c>
      <c r="E118" s="111">
        <v>44788</v>
      </c>
      <c r="G118" s="398"/>
      <c r="H118" s="399"/>
      <c r="I118" s="243" t="s">
        <v>398</v>
      </c>
      <c r="J118" s="111">
        <v>44788</v>
      </c>
      <c r="L118" s="398"/>
      <c r="M118" s="399"/>
      <c r="N118" s="243" t="s">
        <v>398</v>
      </c>
      <c r="O118" s="111">
        <v>44788</v>
      </c>
    </row>
    <row r="119" spans="2:15" ht="15.6" thickTop="1" thickBot="1" x14ac:dyDescent="0.35">
      <c r="B119" s="400"/>
      <c r="C119" s="401"/>
      <c r="D119" s="243" t="s">
        <v>396</v>
      </c>
      <c r="E119" s="111">
        <v>45183</v>
      </c>
      <c r="G119" s="400"/>
      <c r="H119" s="401"/>
      <c r="I119" s="243" t="s">
        <v>396</v>
      </c>
      <c r="J119" s="111">
        <v>45213</v>
      </c>
      <c r="L119" s="400"/>
      <c r="M119" s="401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396" t="s">
        <v>92</v>
      </c>
      <c r="C145" s="397"/>
      <c r="D145" s="243" t="s">
        <v>397</v>
      </c>
      <c r="E145" s="111">
        <v>45245</v>
      </c>
      <c r="G145" s="396" t="s">
        <v>92</v>
      </c>
      <c r="H145" s="397"/>
      <c r="I145" s="243" t="s">
        <v>397</v>
      </c>
      <c r="J145" s="111">
        <v>45275</v>
      </c>
      <c r="L145" s="396" t="s">
        <v>92</v>
      </c>
      <c r="M145" s="397"/>
      <c r="N145" s="243" t="s">
        <v>397</v>
      </c>
      <c r="O145" s="111">
        <v>45306</v>
      </c>
    </row>
    <row r="146" spans="2:15" ht="15.6" thickTop="1" thickBot="1" x14ac:dyDescent="0.35">
      <c r="B146" s="398"/>
      <c r="C146" s="399"/>
      <c r="D146" s="243" t="s">
        <v>398</v>
      </c>
      <c r="E146" s="111">
        <v>44788</v>
      </c>
      <c r="G146" s="398"/>
      <c r="H146" s="399"/>
      <c r="I146" s="243" t="s">
        <v>398</v>
      </c>
      <c r="J146" s="111">
        <v>44788</v>
      </c>
      <c r="L146" s="398"/>
      <c r="M146" s="399"/>
      <c r="N146" s="243" t="s">
        <v>398</v>
      </c>
      <c r="O146" s="111">
        <v>44788</v>
      </c>
    </row>
    <row r="147" spans="2:15" ht="15.6" thickTop="1" thickBot="1" x14ac:dyDescent="0.35">
      <c r="B147" s="400"/>
      <c r="C147" s="401"/>
      <c r="D147" s="243" t="s">
        <v>396</v>
      </c>
      <c r="E147" s="111">
        <v>45274</v>
      </c>
      <c r="G147" s="400"/>
      <c r="H147" s="401"/>
      <c r="I147" s="243" t="s">
        <v>396</v>
      </c>
      <c r="J147" s="111">
        <v>45305</v>
      </c>
      <c r="L147" s="400"/>
      <c r="M147" s="401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396" t="s">
        <v>92</v>
      </c>
      <c r="C173" s="397"/>
      <c r="D173" s="243" t="s">
        <v>397</v>
      </c>
      <c r="E173" s="111">
        <v>45337</v>
      </c>
      <c r="G173" s="396" t="s">
        <v>92</v>
      </c>
      <c r="H173" s="397"/>
      <c r="I173" s="243" t="s">
        <v>397</v>
      </c>
      <c r="J173" s="111">
        <v>45366</v>
      </c>
      <c r="L173" s="396" t="s">
        <v>92</v>
      </c>
      <c r="M173" s="397"/>
      <c r="N173" s="243" t="s">
        <v>397</v>
      </c>
      <c r="O173" s="111">
        <v>45397</v>
      </c>
    </row>
    <row r="174" spans="2:15" ht="15.6" thickTop="1" thickBot="1" x14ac:dyDescent="0.35">
      <c r="B174" s="398"/>
      <c r="C174" s="399"/>
      <c r="D174" s="243" t="s">
        <v>398</v>
      </c>
      <c r="E174" s="111">
        <v>44788</v>
      </c>
      <c r="G174" s="398"/>
      <c r="H174" s="399"/>
      <c r="I174" s="243" t="s">
        <v>398</v>
      </c>
      <c r="J174" s="111">
        <v>44788</v>
      </c>
      <c r="L174" s="398"/>
      <c r="M174" s="399"/>
      <c r="N174" s="243" t="s">
        <v>398</v>
      </c>
      <c r="O174" s="111">
        <v>44788</v>
      </c>
    </row>
    <row r="175" spans="2:15" ht="15.6" thickTop="1" thickBot="1" x14ac:dyDescent="0.35">
      <c r="B175" s="400"/>
      <c r="C175" s="401"/>
      <c r="D175" s="243" t="s">
        <v>396</v>
      </c>
      <c r="E175" s="111">
        <v>45365</v>
      </c>
      <c r="G175" s="400"/>
      <c r="H175" s="401"/>
      <c r="I175" s="243" t="s">
        <v>396</v>
      </c>
      <c r="J175" s="111">
        <v>45396</v>
      </c>
      <c r="L175" s="400"/>
      <c r="M175" s="401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396" t="s">
        <v>92</v>
      </c>
      <c r="C201" s="397"/>
      <c r="D201" s="243" t="s">
        <v>397</v>
      </c>
      <c r="E201" s="111">
        <v>45427</v>
      </c>
      <c r="G201" s="396" t="s">
        <v>92</v>
      </c>
      <c r="H201" s="397"/>
      <c r="I201" s="243" t="s">
        <v>397</v>
      </c>
      <c r="J201" s="111">
        <v>45458</v>
      </c>
      <c r="L201" s="396" t="s">
        <v>92</v>
      </c>
      <c r="M201" s="397"/>
      <c r="N201" s="243" t="s">
        <v>397</v>
      </c>
      <c r="O201" s="111">
        <v>45488</v>
      </c>
    </row>
    <row r="202" spans="2:15" ht="15.6" thickTop="1" thickBot="1" x14ac:dyDescent="0.35">
      <c r="B202" s="398"/>
      <c r="C202" s="399"/>
      <c r="D202" s="243" t="s">
        <v>398</v>
      </c>
      <c r="E202" s="111">
        <v>44788</v>
      </c>
      <c r="G202" s="398"/>
      <c r="H202" s="399"/>
      <c r="I202" s="243" t="s">
        <v>398</v>
      </c>
      <c r="J202" s="111">
        <v>44788</v>
      </c>
      <c r="L202" s="398"/>
      <c r="M202" s="399"/>
      <c r="N202" s="243" t="s">
        <v>398</v>
      </c>
      <c r="O202" s="111">
        <v>44788</v>
      </c>
    </row>
    <row r="203" spans="2:15" ht="15.6" thickTop="1" thickBot="1" x14ac:dyDescent="0.35">
      <c r="B203" s="400"/>
      <c r="C203" s="401"/>
      <c r="D203" s="243" t="s">
        <v>396</v>
      </c>
      <c r="E203" s="111">
        <v>45457</v>
      </c>
      <c r="G203" s="400"/>
      <c r="H203" s="401"/>
      <c r="I203" s="243" t="s">
        <v>396</v>
      </c>
      <c r="J203" s="111">
        <v>45487</v>
      </c>
      <c r="L203" s="400"/>
      <c r="M203" s="401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396" t="s">
        <v>92</v>
      </c>
      <c r="C229" s="397"/>
      <c r="D229" s="243" t="s">
        <v>397</v>
      </c>
      <c r="E229" s="111">
        <v>45519</v>
      </c>
      <c r="G229" s="396" t="s">
        <v>92</v>
      </c>
      <c r="H229" s="397"/>
      <c r="I229" s="243" t="s">
        <v>397</v>
      </c>
      <c r="J229" s="111">
        <v>45550</v>
      </c>
      <c r="L229" s="396" t="s">
        <v>92</v>
      </c>
      <c r="M229" s="397"/>
      <c r="N229" s="243" t="s">
        <v>397</v>
      </c>
      <c r="O229" s="111">
        <v>45580</v>
      </c>
    </row>
    <row r="230" spans="2:15" ht="15.6" thickTop="1" thickBot="1" x14ac:dyDescent="0.35">
      <c r="B230" s="398"/>
      <c r="C230" s="399"/>
      <c r="D230" s="243" t="s">
        <v>398</v>
      </c>
      <c r="E230" s="111">
        <v>44788</v>
      </c>
      <c r="G230" s="398"/>
      <c r="H230" s="399"/>
      <c r="I230" s="243" t="s">
        <v>398</v>
      </c>
      <c r="J230" s="111">
        <v>44788</v>
      </c>
      <c r="L230" s="398"/>
      <c r="M230" s="399"/>
      <c r="N230" s="243" t="s">
        <v>398</v>
      </c>
      <c r="O230" s="111">
        <v>44788</v>
      </c>
    </row>
    <row r="231" spans="2:15" ht="15.6" thickTop="1" thickBot="1" x14ac:dyDescent="0.35">
      <c r="B231" s="400"/>
      <c r="C231" s="401"/>
      <c r="D231" s="243" t="s">
        <v>396</v>
      </c>
      <c r="E231" s="111">
        <v>45549</v>
      </c>
      <c r="G231" s="400"/>
      <c r="H231" s="401"/>
      <c r="I231" s="243" t="s">
        <v>396</v>
      </c>
      <c r="J231" s="111">
        <v>45579</v>
      </c>
      <c r="L231" s="400"/>
      <c r="M231" s="401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396" t="s">
        <v>92</v>
      </c>
      <c r="C257" s="397"/>
      <c r="D257" s="243" t="s">
        <v>397</v>
      </c>
      <c r="E257" s="111">
        <v>45611</v>
      </c>
      <c r="G257" s="396" t="s">
        <v>92</v>
      </c>
      <c r="H257" s="397"/>
      <c r="I257" s="243" t="s">
        <v>397</v>
      </c>
      <c r="J257" s="111">
        <v>45641</v>
      </c>
      <c r="L257" s="396" t="s">
        <v>92</v>
      </c>
      <c r="M257" s="397"/>
      <c r="N257" s="243" t="s">
        <v>397</v>
      </c>
      <c r="O257" s="111">
        <v>45672</v>
      </c>
    </row>
    <row r="258" spans="2:15" ht="15.6" thickTop="1" thickBot="1" x14ac:dyDescent="0.35">
      <c r="B258" s="398"/>
      <c r="C258" s="399"/>
      <c r="D258" s="243" t="s">
        <v>398</v>
      </c>
      <c r="E258" s="111">
        <v>44788</v>
      </c>
      <c r="G258" s="398"/>
      <c r="H258" s="399"/>
      <c r="I258" s="243" t="s">
        <v>398</v>
      </c>
      <c r="J258" s="111">
        <v>44788</v>
      </c>
      <c r="L258" s="398"/>
      <c r="M258" s="399"/>
      <c r="N258" s="243" t="s">
        <v>398</v>
      </c>
      <c r="O258" s="111">
        <v>44788</v>
      </c>
    </row>
    <row r="259" spans="2:15" ht="15.6" thickTop="1" thickBot="1" x14ac:dyDescent="0.35">
      <c r="B259" s="400"/>
      <c r="C259" s="401"/>
      <c r="D259" s="243" t="s">
        <v>396</v>
      </c>
      <c r="E259" s="111">
        <v>45640</v>
      </c>
      <c r="G259" s="400"/>
      <c r="H259" s="401"/>
      <c r="I259" s="243" t="s">
        <v>396</v>
      </c>
      <c r="J259" s="111">
        <v>45671</v>
      </c>
      <c r="L259" s="400"/>
      <c r="M259" s="401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396" t="s">
        <v>92</v>
      </c>
      <c r="C285" s="397"/>
      <c r="D285" s="243" t="s">
        <v>397</v>
      </c>
      <c r="E285" s="111">
        <v>45703</v>
      </c>
      <c r="G285" s="396" t="s">
        <v>92</v>
      </c>
      <c r="H285" s="397"/>
      <c r="I285" s="243" t="s">
        <v>397</v>
      </c>
      <c r="J285" s="111">
        <v>45731</v>
      </c>
      <c r="L285" s="396" t="s">
        <v>92</v>
      </c>
      <c r="M285" s="397"/>
      <c r="N285" s="243" t="s">
        <v>397</v>
      </c>
      <c r="O285" s="111">
        <v>45762</v>
      </c>
    </row>
    <row r="286" spans="2:15" ht="15.6" thickTop="1" thickBot="1" x14ac:dyDescent="0.35">
      <c r="B286" s="398"/>
      <c r="C286" s="399"/>
      <c r="D286" s="243" t="s">
        <v>398</v>
      </c>
      <c r="E286" s="111">
        <v>44788</v>
      </c>
      <c r="G286" s="398"/>
      <c r="H286" s="399"/>
      <c r="I286" s="243" t="s">
        <v>398</v>
      </c>
      <c r="J286" s="111">
        <v>44788</v>
      </c>
      <c r="L286" s="398"/>
      <c r="M286" s="399"/>
      <c r="N286" s="243" t="s">
        <v>398</v>
      </c>
      <c r="O286" s="111">
        <v>44788</v>
      </c>
    </row>
    <row r="287" spans="2:15" ht="15.6" thickTop="1" thickBot="1" x14ac:dyDescent="0.35">
      <c r="B287" s="400"/>
      <c r="C287" s="401"/>
      <c r="D287" s="243" t="s">
        <v>396</v>
      </c>
      <c r="E287" s="111">
        <v>45730</v>
      </c>
      <c r="G287" s="400"/>
      <c r="H287" s="401"/>
      <c r="I287" s="243" t="s">
        <v>396</v>
      </c>
      <c r="J287" s="111">
        <v>45761</v>
      </c>
      <c r="L287" s="400"/>
      <c r="M287" s="401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396" t="s">
        <v>92</v>
      </c>
      <c r="C313" s="397"/>
      <c r="D313" s="243" t="s">
        <v>397</v>
      </c>
      <c r="E313" s="111">
        <v>45792</v>
      </c>
      <c r="G313" s="396" t="s">
        <v>92</v>
      </c>
      <c r="H313" s="397"/>
      <c r="I313" s="243" t="s">
        <v>397</v>
      </c>
      <c r="J313" s="111">
        <v>45823</v>
      </c>
      <c r="L313" s="396" t="s">
        <v>92</v>
      </c>
      <c r="M313" s="397"/>
      <c r="N313" s="243" t="s">
        <v>397</v>
      </c>
      <c r="O313" s="111">
        <v>45853</v>
      </c>
    </row>
    <row r="314" spans="2:15" ht="15.6" thickTop="1" thickBot="1" x14ac:dyDescent="0.35">
      <c r="B314" s="398"/>
      <c r="C314" s="399"/>
      <c r="D314" s="243" t="s">
        <v>398</v>
      </c>
      <c r="E314" s="111">
        <v>44788</v>
      </c>
      <c r="G314" s="398"/>
      <c r="H314" s="399"/>
      <c r="I314" s="243" t="s">
        <v>398</v>
      </c>
      <c r="J314" s="111">
        <v>44788</v>
      </c>
      <c r="L314" s="398"/>
      <c r="M314" s="399"/>
      <c r="N314" s="243" t="s">
        <v>398</v>
      </c>
      <c r="O314" s="111">
        <v>44788</v>
      </c>
    </row>
    <row r="315" spans="2:15" ht="15.6" thickTop="1" thickBot="1" x14ac:dyDescent="0.35">
      <c r="B315" s="400"/>
      <c r="C315" s="401"/>
      <c r="D315" s="243" t="s">
        <v>396</v>
      </c>
      <c r="E315" s="111">
        <v>45822</v>
      </c>
      <c r="G315" s="400"/>
      <c r="H315" s="401"/>
      <c r="I315" s="243" t="s">
        <v>396</v>
      </c>
      <c r="J315" s="111">
        <v>45852</v>
      </c>
      <c r="L315" s="400"/>
      <c r="M315" s="401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396" t="s">
        <v>92</v>
      </c>
      <c r="C341" s="397"/>
      <c r="D341" s="243" t="s">
        <v>397</v>
      </c>
      <c r="E341" s="111">
        <v>45884</v>
      </c>
      <c r="G341" s="396" t="s">
        <v>92</v>
      </c>
      <c r="H341" s="397"/>
      <c r="I341" s="243" t="s">
        <v>397</v>
      </c>
      <c r="J341" s="111">
        <v>45915</v>
      </c>
      <c r="L341" s="396" t="s">
        <v>92</v>
      </c>
      <c r="M341" s="397"/>
      <c r="N341" s="243" t="s">
        <v>397</v>
      </c>
      <c r="O341" s="111">
        <v>45945</v>
      </c>
    </row>
    <row r="342" spans="2:15" ht="15.6" thickTop="1" thickBot="1" x14ac:dyDescent="0.35">
      <c r="B342" s="398"/>
      <c r="C342" s="399"/>
      <c r="D342" s="243" t="s">
        <v>398</v>
      </c>
      <c r="E342" s="111">
        <v>44788</v>
      </c>
      <c r="G342" s="398"/>
      <c r="H342" s="399"/>
      <c r="I342" s="243" t="s">
        <v>398</v>
      </c>
      <c r="J342" s="111">
        <v>44788</v>
      </c>
      <c r="L342" s="398"/>
      <c r="M342" s="399"/>
      <c r="N342" s="243" t="s">
        <v>398</v>
      </c>
      <c r="O342" s="111">
        <v>44788</v>
      </c>
    </row>
    <row r="343" spans="2:15" ht="15.6" thickTop="1" thickBot="1" x14ac:dyDescent="0.35">
      <c r="B343" s="400"/>
      <c r="C343" s="401"/>
      <c r="D343" s="243" t="s">
        <v>396</v>
      </c>
      <c r="E343" s="111">
        <v>45914</v>
      </c>
      <c r="G343" s="400"/>
      <c r="H343" s="401"/>
      <c r="I343" s="243" t="s">
        <v>396</v>
      </c>
      <c r="J343" s="111">
        <v>45944</v>
      </c>
      <c r="L343" s="400"/>
      <c r="M343" s="401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10" ht="15.6" thickTop="1" thickBot="1" x14ac:dyDescent="0.35">
      <c r="B369" s="396" t="s">
        <v>92</v>
      </c>
      <c r="C369" s="397"/>
      <c r="D369" s="243" t="s">
        <v>397</v>
      </c>
      <c r="E369" s="111">
        <v>45976</v>
      </c>
      <c r="G369" s="396" t="s">
        <v>92</v>
      </c>
      <c r="H369" s="397"/>
      <c r="I369" s="243" t="s">
        <v>397</v>
      </c>
      <c r="J369" s="111">
        <v>46006</v>
      </c>
    </row>
    <row r="370" spans="2:10" ht="15.6" thickTop="1" thickBot="1" x14ac:dyDescent="0.35">
      <c r="B370" s="398"/>
      <c r="C370" s="399"/>
      <c r="D370" s="243" t="s">
        <v>398</v>
      </c>
      <c r="E370" s="111">
        <v>44788</v>
      </c>
      <c r="G370" s="398"/>
      <c r="H370" s="399"/>
      <c r="I370" s="243" t="s">
        <v>398</v>
      </c>
      <c r="J370" s="111">
        <v>44788</v>
      </c>
    </row>
    <row r="371" spans="2:10" ht="15.6" thickTop="1" thickBot="1" x14ac:dyDescent="0.35">
      <c r="B371" s="400"/>
      <c r="C371" s="401"/>
      <c r="D371" s="243" t="s">
        <v>396</v>
      </c>
      <c r="E371" s="111">
        <v>46005</v>
      </c>
      <c r="G371" s="400"/>
      <c r="H371" s="401"/>
      <c r="I371" s="243" t="s">
        <v>396</v>
      </c>
      <c r="J371" s="111">
        <v>46036</v>
      </c>
    </row>
    <row r="372" spans="2:10" ht="15.6" thickTop="1" thickBot="1" x14ac:dyDescent="0.35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</row>
    <row r="373" spans="2:10" ht="15.6" thickTop="1" thickBot="1" x14ac:dyDescent="0.35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</row>
    <row r="374" spans="2:10" ht="15" thickTop="1" x14ac:dyDescent="0.3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39880</v>
      </c>
    </row>
    <row r="375" spans="2:10" x14ac:dyDescent="0.3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</row>
    <row r="376" spans="2:10" x14ac:dyDescent="0.3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3500</v>
      </c>
    </row>
    <row r="377" spans="2:10" x14ac:dyDescent="0.3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5283.6</v>
      </c>
    </row>
    <row r="378" spans="2:10" ht="15" thickBot="1" x14ac:dyDescent="0.35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904</v>
      </c>
    </row>
    <row r="379" spans="2:10" ht="15.6" thickTop="1" thickBot="1" x14ac:dyDescent="0.35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</row>
    <row r="380" spans="2:10" ht="15" thickTop="1" x14ac:dyDescent="0.3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</row>
    <row r="381" spans="2:10" x14ac:dyDescent="0.3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</row>
    <row r="382" spans="2:10" ht="15" thickBot="1" x14ac:dyDescent="0.35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7909.9300000000185</v>
      </c>
    </row>
    <row r="383" spans="2:10" ht="15" thickTop="1" x14ac:dyDescent="0.3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</row>
    <row r="384" spans="2:10" x14ac:dyDescent="0.3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</row>
    <row r="385" spans="2:10" ht="15" thickBot="1" x14ac:dyDescent="0.35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1809.0000000000009</v>
      </c>
    </row>
    <row r="386" spans="2:10" ht="15.6" thickTop="1" thickBot="1" x14ac:dyDescent="0.35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</row>
    <row r="387" spans="2:10" ht="15" thickTop="1" x14ac:dyDescent="0.3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</row>
    <row r="388" spans="2:10" x14ac:dyDescent="0.3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</row>
    <row r="389" spans="2:10" x14ac:dyDescent="0.3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</row>
    <row r="390" spans="2:10" x14ac:dyDescent="0.3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</row>
    <row r="391" spans="2:10" x14ac:dyDescent="0.3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</row>
    <row r="392" spans="2:10" x14ac:dyDescent="0.3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3539.9900000000002</v>
      </c>
    </row>
    <row r="393" spans="2:10" ht="15" thickBot="1" x14ac:dyDescent="0.35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381.06</v>
      </c>
    </row>
    <row r="394" spans="2:10" ht="15.6" thickTop="1" thickBot="1" x14ac:dyDescent="0.35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10099.99</v>
      </c>
    </row>
    <row r="395" spans="2:10" ht="15.6" thickTop="1" thickBot="1" x14ac:dyDescent="0.35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10099.990000000018</v>
      </c>
    </row>
    <row r="396" spans="2:10" ht="15" thickTop="1" x14ac:dyDescent="0.3"/>
  </sheetData>
  <mergeCells count="42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2" t="s">
        <v>296</v>
      </c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</row>
    <row r="3" spans="2:17" x14ac:dyDescent="0.3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x14ac:dyDescent="0.3">
      <c r="B4" s="402"/>
      <c r="C4" s="402"/>
      <c r="D4" s="402"/>
      <c r="E4" s="402"/>
      <c r="F4" s="402"/>
      <c r="G4" s="402"/>
      <c r="H4" s="402"/>
      <c r="I4" s="402"/>
      <c r="J4" s="402"/>
      <c r="K4" s="402"/>
      <c r="L4" s="402"/>
      <c r="M4" s="402"/>
      <c r="N4" s="402"/>
      <c r="O4" s="402"/>
      <c r="Q4" s="24"/>
    </row>
    <row r="5" spans="2:17" ht="15" thickBot="1" x14ac:dyDescent="0.35">
      <c r="Q5" s="24"/>
    </row>
    <row r="6" spans="2:17" ht="15.6" thickTop="1" thickBot="1" x14ac:dyDescent="0.35">
      <c r="B6" s="396" t="s">
        <v>92</v>
      </c>
      <c r="C6" s="403"/>
      <c r="D6" s="397"/>
      <c r="E6" s="111">
        <v>44788</v>
      </c>
      <c r="G6" s="396" t="s">
        <v>92</v>
      </c>
      <c r="H6" s="403"/>
      <c r="I6" s="397"/>
      <c r="J6" s="111">
        <v>44788</v>
      </c>
      <c r="L6" s="396" t="s">
        <v>92</v>
      </c>
      <c r="M6" s="403"/>
      <c r="N6" s="397"/>
      <c r="O6" s="111">
        <v>44788</v>
      </c>
      <c r="Q6" s="24"/>
    </row>
    <row r="7" spans="2:17" ht="15.6" thickTop="1" thickBot="1" x14ac:dyDescent="0.35">
      <c r="B7" s="400"/>
      <c r="C7" s="404"/>
      <c r="D7" s="401"/>
      <c r="E7" s="111">
        <v>44788</v>
      </c>
      <c r="G7" s="400"/>
      <c r="H7" s="404"/>
      <c r="I7" s="401"/>
      <c r="J7" s="111">
        <v>44819</v>
      </c>
      <c r="L7" s="400"/>
      <c r="M7" s="404"/>
      <c r="N7" s="401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6" t="s">
        <v>92</v>
      </c>
      <c r="C33" s="403"/>
      <c r="D33" s="397"/>
      <c r="E33" s="111">
        <v>44788</v>
      </c>
      <c r="G33" s="396" t="s">
        <v>92</v>
      </c>
      <c r="H33" s="403"/>
      <c r="I33" s="397"/>
      <c r="J33" s="111">
        <v>44788</v>
      </c>
      <c r="L33" s="396" t="s">
        <v>92</v>
      </c>
      <c r="M33" s="403"/>
      <c r="N33" s="397"/>
      <c r="O33" s="111">
        <v>44788</v>
      </c>
    </row>
    <row r="34" spans="2:15" ht="15.6" thickTop="1" thickBot="1" x14ac:dyDescent="0.35">
      <c r="B34" s="400"/>
      <c r="C34" s="404"/>
      <c r="D34" s="401"/>
      <c r="E34" s="111">
        <v>44880</v>
      </c>
      <c r="G34" s="400"/>
      <c r="H34" s="404"/>
      <c r="I34" s="401"/>
      <c r="J34" s="111">
        <v>44910</v>
      </c>
      <c r="L34" s="400"/>
      <c r="M34" s="404"/>
      <c r="N34" s="401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6" t="s">
        <v>92</v>
      </c>
      <c r="C60" s="403"/>
      <c r="D60" s="397"/>
      <c r="E60" s="111">
        <v>44788</v>
      </c>
      <c r="G60" s="396" t="s">
        <v>92</v>
      </c>
      <c r="H60" s="403"/>
      <c r="I60" s="397"/>
      <c r="J60" s="111">
        <v>44788</v>
      </c>
      <c r="L60" s="396" t="s">
        <v>92</v>
      </c>
      <c r="M60" s="403"/>
      <c r="N60" s="397"/>
      <c r="O60" s="111">
        <v>44788</v>
      </c>
    </row>
    <row r="61" spans="2:15" ht="15.6" thickTop="1" thickBot="1" x14ac:dyDescent="0.35">
      <c r="B61" s="400"/>
      <c r="C61" s="404"/>
      <c r="D61" s="401"/>
      <c r="E61" s="111">
        <v>44972</v>
      </c>
      <c r="G61" s="400"/>
      <c r="H61" s="404"/>
      <c r="I61" s="401"/>
      <c r="J61" s="111">
        <v>45000</v>
      </c>
      <c r="L61" s="400"/>
      <c r="M61" s="404"/>
      <c r="N61" s="401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6" t="s">
        <v>92</v>
      </c>
      <c r="C87" s="403"/>
      <c r="D87" s="397"/>
      <c r="E87" s="111">
        <v>44788</v>
      </c>
      <c r="G87" s="396" t="s">
        <v>92</v>
      </c>
      <c r="H87" s="403"/>
      <c r="I87" s="397"/>
      <c r="J87" s="111">
        <v>44788</v>
      </c>
      <c r="L87" s="396" t="s">
        <v>92</v>
      </c>
      <c r="M87" s="403"/>
      <c r="N87" s="397"/>
      <c r="O87" s="111">
        <v>44788</v>
      </c>
    </row>
    <row r="88" spans="2:15" ht="15.6" thickTop="1" thickBot="1" x14ac:dyDescent="0.35">
      <c r="B88" s="400"/>
      <c r="C88" s="404"/>
      <c r="D88" s="401"/>
      <c r="E88" s="111">
        <v>45061</v>
      </c>
      <c r="G88" s="400"/>
      <c r="H88" s="404"/>
      <c r="I88" s="401"/>
      <c r="J88" s="111">
        <v>45092</v>
      </c>
      <c r="L88" s="400"/>
      <c r="M88" s="404"/>
      <c r="N88" s="401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6" t="s">
        <v>92</v>
      </c>
      <c r="C114" s="403"/>
      <c r="D114" s="397"/>
      <c r="E114" s="111">
        <v>44788</v>
      </c>
      <c r="G114" s="396" t="s">
        <v>92</v>
      </c>
      <c r="H114" s="403"/>
      <c r="I114" s="397"/>
      <c r="J114" s="111">
        <v>44788</v>
      </c>
      <c r="L114" s="396" t="s">
        <v>92</v>
      </c>
      <c r="M114" s="403"/>
      <c r="N114" s="397"/>
      <c r="O114" s="111">
        <v>44788</v>
      </c>
    </row>
    <row r="115" spans="2:15" ht="15.6" thickTop="1" thickBot="1" x14ac:dyDescent="0.35">
      <c r="B115" s="400"/>
      <c r="C115" s="404"/>
      <c r="D115" s="401"/>
      <c r="E115" s="111">
        <v>45153</v>
      </c>
      <c r="G115" s="400"/>
      <c r="H115" s="404"/>
      <c r="I115" s="401"/>
      <c r="J115" s="111">
        <v>45184</v>
      </c>
      <c r="L115" s="400"/>
      <c r="M115" s="404"/>
      <c r="N115" s="401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6" t="s">
        <v>92</v>
      </c>
      <c r="C141" s="403"/>
      <c r="D141" s="397"/>
      <c r="E141" s="111">
        <v>44788</v>
      </c>
      <c r="G141" s="396" t="s">
        <v>92</v>
      </c>
      <c r="H141" s="403"/>
      <c r="I141" s="397"/>
      <c r="J141" s="111">
        <v>44788</v>
      </c>
      <c r="L141" s="396" t="s">
        <v>92</v>
      </c>
      <c r="M141" s="403"/>
      <c r="N141" s="397"/>
      <c r="O141" s="111">
        <v>44788</v>
      </c>
    </row>
    <row r="142" spans="2:15" ht="15.6" thickTop="1" thickBot="1" x14ac:dyDescent="0.35">
      <c r="B142" s="400"/>
      <c r="C142" s="404"/>
      <c r="D142" s="401"/>
      <c r="E142" s="111">
        <v>45245</v>
      </c>
      <c r="G142" s="400"/>
      <c r="H142" s="404"/>
      <c r="I142" s="401"/>
      <c r="J142" s="111">
        <v>45275</v>
      </c>
      <c r="L142" s="400"/>
      <c r="M142" s="404"/>
      <c r="N142" s="401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6" t="s">
        <v>92</v>
      </c>
      <c r="C168" s="403"/>
      <c r="D168" s="397"/>
      <c r="E168" s="111">
        <v>44788</v>
      </c>
      <c r="G168" s="396" t="s">
        <v>92</v>
      </c>
      <c r="H168" s="403"/>
      <c r="I168" s="397"/>
      <c r="J168" s="111">
        <v>44788</v>
      </c>
      <c r="L168" s="396" t="s">
        <v>92</v>
      </c>
      <c r="M168" s="403"/>
      <c r="N168" s="397"/>
      <c r="O168" s="111">
        <v>44788</v>
      </c>
    </row>
    <row r="169" spans="2:15" ht="15.6" thickTop="1" thickBot="1" x14ac:dyDescent="0.35">
      <c r="B169" s="400"/>
      <c r="C169" s="404"/>
      <c r="D169" s="401"/>
      <c r="E169" s="111">
        <v>45337</v>
      </c>
      <c r="G169" s="400"/>
      <c r="H169" s="404"/>
      <c r="I169" s="401"/>
      <c r="J169" s="111">
        <v>45366</v>
      </c>
      <c r="L169" s="400"/>
      <c r="M169" s="404"/>
      <c r="N169" s="401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6" t="s">
        <v>92</v>
      </c>
      <c r="C195" s="403"/>
      <c r="D195" s="397"/>
      <c r="E195" s="111">
        <v>44788</v>
      </c>
      <c r="G195" s="396" t="s">
        <v>92</v>
      </c>
      <c r="H195" s="403"/>
      <c r="I195" s="397"/>
      <c r="J195" s="111">
        <v>44788</v>
      </c>
      <c r="L195" s="396" t="s">
        <v>92</v>
      </c>
      <c r="M195" s="403"/>
      <c r="N195" s="397"/>
      <c r="O195" s="111">
        <v>44788</v>
      </c>
    </row>
    <row r="196" spans="2:15" ht="15.6" thickTop="1" thickBot="1" x14ac:dyDescent="0.35">
      <c r="B196" s="400"/>
      <c r="C196" s="404"/>
      <c r="D196" s="401"/>
      <c r="E196" s="111">
        <v>45427</v>
      </c>
      <c r="G196" s="400"/>
      <c r="H196" s="404"/>
      <c r="I196" s="401"/>
      <c r="J196" s="111">
        <v>45458</v>
      </c>
      <c r="L196" s="400"/>
      <c r="M196" s="404"/>
      <c r="N196" s="401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6" t="s">
        <v>92</v>
      </c>
      <c r="C222" s="403"/>
      <c r="D222" s="397"/>
      <c r="E222" s="111">
        <v>44788</v>
      </c>
      <c r="G222" s="396" t="s">
        <v>92</v>
      </c>
      <c r="H222" s="403"/>
      <c r="I222" s="397"/>
      <c r="J222" s="111">
        <v>44788</v>
      </c>
      <c r="L222" s="396" t="s">
        <v>92</v>
      </c>
      <c r="M222" s="403"/>
      <c r="N222" s="397"/>
      <c r="O222" s="111">
        <v>44788</v>
      </c>
    </row>
    <row r="223" spans="2:15" ht="15.6" thickTop="1" thickBot="1" x14ac:dyDescent="0.35">
      <c r="B223" s="400"/>
      <c r="C223" s="404"/>
      <c r="D223" s="401"/>
      <c r="E223" s="111">
        <v>45519</v>
      </c>
      <c r="G223" s="400"/>
      <c r="H223" s="404"/>
      <c r="I223" s="401"/>
      <c r="J223" s="111">
        <v>45550</v>
      </c>
      <c r="L223" s="400"/>
      <c r="M223" s="404"/>
      <c r="N223" s="401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6" t="s">
        <v>92</v>
      </c>
      <c r="C249" s="403"/>
      <c r="D249" s="397"/>
      <c r="E249" s="111">
        <v>44788</v>
      </c>
      <c r="G249" s="396" t="s">
        <v>92</v>
      </c>
      <c r="H249" s="403"/>
      <c r="I249" s="397"/>
      <c r="J249" s="111">
        <v>44788</v>
      </c>
      <c r="L249" s="396" t="s">
        <v>92</v>
      </c>
      <c r="M249" s="403"/>
      <c r="N249" s="397"/>
      <c r="O249" s="111">
        <v>44788</v>
      </c>
    </row>
    <row r="250" spans="2:15" ht="15.6" thickTop="1" thickBot="1" x14ac:dyDescent="0.35">
      <c r="B250" s="400"/>
      <c r="C250" s="404"/>
      <c r="D250" s="401"/>
      <c r="E250" s="111">
        <v>45611</v>
      </c>
      <c r="G250" s="400"/>
      <c r="H250" s="404"/>
      <c r="I250" s="401"/>
      <c r="J250" s="111">
        <v>45656</v>
      </c>
      <c r="L250" s="400"/>
      <c r="M250" s="404"/>
      <c r="N250" s="401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6" t="s">
        <v>92</v>
      </c>
      <c r="C276" s="403"/>
      <c r="D276" s="397"/>
      <c r="E276" s="111">
        <v>44788</v>
      </c>
      <c r="G276" s="396" t="s">
        <v>92</v>
      </c>
      <c r="H276" s="403"/>
      <c r="I276" s="397"/>
      <c r="J276" s="111">
        <v>44788</v>
      </c>
      <c r="L276" s="396" t="s">
        <v>92</v>
      </c>
      <c r="M276" s="403"/>
      <c r="N276" s="397"/>
      <c r="O276" s="111">
        <v>44788</v>
      </c>
    </row>
    <row r="277" spans="2:15" ht="15.6" thickTop="1" thickBot="1" x14ac:dyDescent="0.35">
      <c r="B277" s="400"/>
      <c r="C277" s="404"/>
      <c r="D277" s="401"/>
      <c r="E277" s="111">
        <v>45703</v>
      </c>
      <c r="G277" s="400"/>
      <c r="H277" s="404"/>
      <c r="I277" s="401"/>
      <c r="J277" s="111">
        <v>45732</v>
      </c>
      <c r="L277" s="400"/>
      <c r="M277" s="404"/>
      <c r="N277" s="401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6" t="s">
        <v>92</v>
      </c>
      <c r="C303" s="403"/>
      <c r="D303" s="397"/>
      <c r="E303" s="111">
        <v>44788</v>
      </c>
      <c r="G303" s="396" t="s">
        <v>92</v>
      </c>
      <c r="H303" s="403"/>
      <c r="I303" s="397"/>
      <c r="J303" s="111">
        <v>44788</v>
      </c>
    </row>
    <row r="304" spans="2:15" ht="15.6" thickTop="1" thickBot="1" x14ac:dyDescent="0.35">
      <c r="B304" s="400"/>
      <c r="C304" s="404"/>
      <c r="D304" s="401"/>
      <c r="E304" s="111">
        <v>45791</v>
      </c>
      <c r="G304" s="400"/>
      <c r="H304" s="404"/>
      <c r="I304" s="401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280</v>
      </c>
      <c r="J3" s="132" t="s">
        <v>178</v>
      </c>
      <c r="K3" s="151">
        <f>G3+I3</f>
        <v>2280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1166.6899999999998</v>
      </c>
      <c r="O8" s="110">
        <f t="shared" ref="O8" si="2">E8-N8</f>
        <v>833.31000000000017</v>
      </c>
      <c r="P8" s="110">
        <f>SUMIFS(PAGOS!$H$3:$H$1048576,PAGOS!$A$3:$A$1048576,"&lt;&gt;INGRESO*",PAGOS!$A$3:$A$1048576,"&lt;&gt;EGRESO*",PAGOS!$D$3:$D$1048576,+MID('17'!B8,6,3)*1)</f>
        <v>280</v>
      </c>
      <c r="Q8" s="110">
        <f t="shared" ref="Q8" si="3">K8-P8</f>
        <v>200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28</v>
      </c>
      <c r="J3" s="132" t="s">
        <v>178</v>
      </c>
      <c r="K3" s="151">
        <f>G3+I3</f>
        <v>1328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440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519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3">
      <c r="A10">
        <v>4</v>
      </c>
      <c r="B10" t="s">
        <v>556</v>
      </c>
      <c r="C10" t="s">
        <v>340</v>
      </c>
      <c r="D10" s="24">
        <v>46008</v>
      </c>
      <c r="E10" s="159">
        <v>700</v>
      </c>
      <c r="F10" s="221">
        <v>7</v>
      </c>
      <c r="G10" s="222">
        <v>100</v>
      </c>
      <c r="H10" s="221">
        <v>14</v>
      </c>
      <c r="I10" s="221">
        <v>114</v>
      </c>
      <c r="J10" s="221">
        <v>700</v>
      </c>
      <c r="K10" s="221">
        <v>98</v>
      </c>
      <c r="L10" s="221">
        <v>798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12" sqref="M12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534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46012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524</v>
      </c>
      <c r="D4" s="132" t="s">
        <v>145</v>
      </c>
      <c r="E4" s="136">
        <f>C6*E3</f>
        <v>6</v>
      </c>
      <c r="F4" s="137"/>
    </row>
    <row r="5" spans="2:6" x14ac:dyDescent="0.3">
      <c r="B5" s="132" t="s">
        <v>170</v>
      </c>
      <c r="C5" s="295">
        <v>103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300</v>
      </c>
      <c r="D6" s="132" t="s">
        <v>149</v>
      </c>
      <c r="E6" s="141">
        <f>E4+E5</f>
        <v>106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(E6)*C7</f>
        <v>318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4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46013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144">
        <v>104</v>
      </c>
      <c r="D5" s="132" t="s">
        <v>559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50</v>
      </c>
      <c r="D6" s="132" t="s">
        <v>149</v>
      </c>
      <c r="E6" s="138">
        <f>C6*((E3*(1+E3)^C7)/((1+E3)^C7-1))</f>
        <v>10.60791970521611</v>
      </c>
      <c r="F6" s="142"/>
    </row>
    <row r="7" spans="2:6" x14ac:dyDescent="0.3">
      <c r="B7" s="132" t="s">
        <v>148</v>
      </c>
      <c r="C7" s="140">
        <v>5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567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3" spans="3:5" x14ac:dyDescent="0.3">
      <c r="C23" t="s">
        <v>171</v>
      </c>
      <c r="E23" t="s">
        <v>171</v>
      </c>
    </row>
    <row r="24" spans="3:5" x14ac:dyDescent="0.3">
      <c r="C24" t="s">
        <v>172</v>
      </c>
      <c r="E24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4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46013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295">
        <v>105</v>
      </c>
      <c r="D5" s="132" t="s">
        <v>559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50</v>
      </c>
      <c r="D6" s="132" t="s">
        <v>560</v>
      </c>
      <c r="E6" s="138">
        <f>+C6/C7</f>
        <v>10</v>
      </c>
      <c r="F6" s="142"/>
    </row>
    <row r="7" spans="2:6" x14ac:dyDescent="0.3">
      <c r="B7" s="132" t="s">
        <v>148</v>
      </c>
      <c r="C7" s="140">
        <v>5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568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3" spans="3:5" x14ac:dyDescent="0.3">
      <c r="C23" t="s">
        <v>171</v>
      </c>
      <c r="E23" t="s">
        <v>171</v>
      </c>
    </row>
    <row r="24" spans="3:5" x14ac:dyDescent="0.3">
      <c r="C24" t="s">
        <v>172</v>
      </c>
      <c r="E24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N13" sqref="N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479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L10" sqref="L10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492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472</v>
      </c>
      <c r="J3" s="132" t="s">
        <v>178</v>
      </c>
      <c r="K3" s="151">
        <f>G3+I3</f>
        <v>4272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700</v>
      </c>
      <c r="O13" s="110">
        <f t="shared" ref="O13" si="2">E13-N13</f>
        <v>500</v>
      </c>
      <c r="P13" s="110">
        <f>SUMIFS(PAGOS!$H$3:$H$1048576,PAGOS!$A$3:$A$1048576,"&lt;&gt;INGRESO*",PAGOS!$A$3:$A$1048576,"&lt;&gt;EGRESO*",PAGOS!$D$3:$D$1048576,+MID('05'!B13,6,3)*1)</f>
        <v>168</v>
      </c>
      <c r="Q13" s="110">
        <f t="shared" ref="Q13" si="3">K13-P13</f>
        <v>120</v>
      </c>
    </row>
    <row r="14" spans="1:17" x14ac:dyDescent="0.3">
      <c r="A14" s="45">
        <v>8</v>
      </c>
      <c r="B14" s="45" t="s">
        <v>491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3912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442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3">
      <c r="A15" s="45">
        <v>9</v>
      </c>
      <c r="B15" s="39" t="s">
        <v>484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486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506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501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3636.4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490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3">
      <c r="A15">
        <v>9</v>
      </c>
      <c r="B15" s="10" t="s">
        <v>552</v>
      </c>
      <c r="C15" t="s">
        <v>17</v>
      </c>
      <c r="D15" s="24">
        <v>46008</v>
      </c>
      <c r="E15">
        <v>500</v>
      </c>
      <c r="F15">
        <v>5</v>
      </c>
      <c r="G15">
        <v>100</v>
      </c>
      <c r="H15">
        <v>10</v>
      </c>
      <c r="I15" s="130">
        <v>110</v>
      </c>
      <c r="J15">
        <v>500</v>
      </c>
      <c r="K15">
        <v>50</v>
      </c>
      <c r="L15">
        <v>550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56</v>
      </c>
      <c r="J3" s="132" t="s">
        <v>178</v>
      </c>
      <c r="K3" s="151">
        <f>G3+I3</f>
        <v>806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517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100</v>
      </c>
      <c r="O11" s="110">
        <f>E11-N11</f>
        <v>50</v>
      </c>
      <c r="P11" s="110">
        <f>SUMIFS(PAGOS!$H$3:$H$1048576,PAGOS!$A$3:$A$1048576,"&lt;&gt;INGRESO*",PAGOS!$A$3:$A$1048576,"&lt;&gt;EGRESO*",PAGOS!$D$3:$D$1048576,+MID('10'!B11,6,3)*1)</f>
        <v>6</v>
      </c>
      <c r="Q11" s="110">
        <f>K11-P11</f>
        <v>3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100</v>
      </c>
      <c r="J3" s="132" t="s">
        <v>178</v>
      </c>
      <c r="K3" s="151">
        <f>G3+I3</f>
        <v>1700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535</v>
      </c>
      <c r="C11" s="45" t="s">
        <v>19</v>
      </c>
      <c r="D11" s="41">
        <v>45976</v>
      </c>
      <c r="E11" s="45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33.33</v>
      </c>
      <c r="O11" s="110">
        <f>E11-N11</f>
        <v>166.67000000000002</v>
      </c>
      <c r="P11" s="110">
        <f>SUMIFS(PAGOS!$H$3:$H$1048576,PAGOS!$A$3:$A$1048576,"&lt;&gt;INGRESO*",PAGOS!$A$3:$A$1048576,"&lt;&gt;EGRESO*",PAGOS!$D$3:$D$1048576,+MID('11'!B11,6,3)*1)</f>
        <v>4</v>
      </c>
      <c r="Q11" s="110">
        <f>K11-P11</f>
        <v>20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3924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443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440</v>
      </c>
      <c r="O12" s="110">
        <f t="shared" si="0"/>
        <v>660</v>
      </c>
      <c r="P12" s="110">
        <f>SUMIFS(PAGOS!$H$3:$H$1048576,PAGOS!$A$3:$A$1048576,"&lt;&gt;INGRESO*",PAGOS!$A$3:$A$1048576,"&lt;&gt;EGRESO*",PAGOS!$D$3:$D$1048576,+MID('12'!B12,6,3)*1)</f>
        <v>88</v>
      </c>
      <c r="Q12" s="110">
        <f t="shared" si="1"/>
        <v>132</v>
      </c>
    </row>
    <row r="13" spans="1:17" x14ac:dyDescent="0.3">
      <c r="A13" s="45">
        <v>7</v>
      </c>
      <c r="B13" s="39" t="s">
        <v>489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5907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A15">
        <v>9</v>
      </c>
      <c r="B15" s="10" t="s">
        <v>553</v>
      </c>
      <c r="C15" t="s">
        <v>21</v>
      </c>
      <c r="D15" s="24">
        <v>46008</v>
      </c>
      <c r="E15">
        <v>2000</v>
      </c>
      <c r="F15">
        <v>18</v>
      </c>
      <c r="G15">
        <v>111.11111111111111</v>
      </c>
      <c r="H15">
        <v>40</v>
      </c>
      <c r="I15">
        <v>151.11111111111111</v>
      </c>
      <c r="J15">
        <v>2000</v>
      </c>
      <c r="K15">
        <v>720</v>
      </c>
      <c r="L15">
        <v>2720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232</v>
      </c>
      <c r="J3" s="132" t="s">
        <v>178</v>
      </c>
      <c r="K3" s="151">
        <f>G3+I3</f>
        <v>2032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438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400</v>
      </c>
      <c r="O11" s="110">
        <f>E11-N11</f>
        <v>300</v>
      </c>
      <c r="P11" s="110">
        <f>SUMIFS(PAGOS!$H$3:$H$1048576,PAGOS!$A$3:$A$1048576,"&lt;&gt;INGRESO*",PAGOS!$A$3:$A$1048576,"&lt;&gt;EGRESO*",PAGOS!$D$3:$D$1048576,+MID('15'!B11,6,3)*1)</f>
        <v>56</v>
      </c>
      <c r="Q11" s="110">
        <f>K11-P11</f>
        <v>42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5"/>
  <sheetViews>
    <sheetView zoomScaleNormal="100" workbookViewId="0">
      <selection activeCell="F24" sqref="F24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9.88671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3110</v>
      </c>
      <c r="H3" s="132" t="s">
        <v>177</v>
      </c>
      <c r="I3" s="150">
        <f>SUM($P$7:$P$1048576)</f>
        <v>197.20000000000002</v>
      </c>
      <c r="J3" s="132" t="s">
        <v>178</v>
      </c>
      <c r="K3" s="151">
        <f>G3+I3</f>
        <v>3307.2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5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424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487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494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511</v>
      </c>
      <c r="C19" s="45" t="s">
        <v>510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525</v>
      </c>
      <c r="C20" s="45" t="s">
        <v>524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3">
      <c r="A21" s="45">
        <v>15</v>
      </c>
      <c r="B21" s="39" t="s">
        <v>561</v>
      </c>
      <c r="C21" s="45" t="s">
        <v>524</v>
      </c>
      <c r="D21" s="41">
        <v>46012</v>
      </c>
      <c r="E21" s="11">
        <v>300</v>
      </c>
      <c r="F21" s="45">
        <v>3</v>
      </c>
      <c r="G21" s="11">
        <v>100</v>
      </c>
      <c r="H21" s="11">
        <v>6</v>
      </c>
      <c r="I21" s="199">
        <v>106</v>
      </c>
      <c r="J21" s="11">
        <v>300</v>
      </c>
      <c r="K21" s="11">
        <v>18</v>
      </c>
      <c r="L21" s="11">
        <v>318</v>
      </c>
    </row>
    <row r="22" spans="1:17" x14ac:dyDescent="0.3">
      <c r="A22">
        <v>16</v>
      </c>
      <c r="B22" s="10" t="s">
        <v>563</v>
      </c>
      <c r="C22" t="s">
        <v>23</v>
      </c>
      <c r="D22" s="24">
        <v>46012</v>
      </c>
      <c r="E22" s="159">
        <v>50</v>
      </c>
      <c r="F22">
        <v>5</v>
      </c>
      <c r="G22" s="159">
        <v>0</v>
      </c>
      <c r="H22" s="159">
        <v>0</v>
      </c>
      <c r="I22" s="160">
        <v>10.607919705216108</v>
      </c>
      <c r="J22" s="159">
        <v>50</v>
      </c>
      <c r="K22" s="159">
        <v>3.0395985260805531</v>
      </c>
      <c r="L22" s="159">
        <v>53.039598526080539</v>
      </c>
    </row>
    <row r="23" spans="1:17" x14ac:dyDescent="0.3">
      <c r="A23">
        <v>17</v>
      </c>
      <c r="B23" s="10" t="s">
        <v>564</v>
      </c>
      <c r="C23" t="s">
        <v>23</v>
      </c>
      <c r="D23" s="24">
        <v>46012</v>
      </c>
      <c r="E23" s="159">
        <v>50</v>
      </c>
      <c r="F23">
        <v>5</v>
      </c>
      <c r="G23" s="159">
        <v>0</v>
      </c>
      <c r="H23" s="159">
        <v>0</v>
      </c>
      <c r="I23" s="160" t="s">
        <v>562</v>
      </c>
      <c r="J23" s="159">
        <v>50</v>
      </c>
      <c r="K23" s="159">
        <v>3</v>
      </c>
      <c r="L23" s="159">
        <v>53</v>
      </c>
    </row>
    <row r="24" spans="1:17" x14ac:dyDescent="0.3">
      <c r="A24">
        <v>18</v>
      </c>
      <c r="B24" s="10" t="s">
        <v>563</v>
      </c>
      <c r="C24" t="s">
        <v>23</v>
      </c>
      <c r="D24" s="24">
        <v>46013</v>
      </c>
      <c r="E24" s="159">
        <v>50</v>
      </c>
      <c r="F24">
        <v>5</v>
      </c>
      <c r="G24" s="159">
        <v>0</v>
      </c>
      <c r="H24" s="159">
        <v>0</v>
      </c>
      <c r="I24" s="160">
        <v>10.607919705216108</v>
      </c>
      <c r="J24" s="159">
        <v>50</v>
      </c>
      <c r="K24" s="159">
        <v>3.0395985260805531</v>
      </c>
      <c r="L24" s="159">
        <v>53.039598526080539</v>
      </c>
    </row>
    <row r="25" spans="1:17" x14ac:dyDescent="0.3">
      <c r="A25">
        <v>19</v>
      </c>
      <c r="B25" s="10" t="s">
        <v>564</v>
      </c>
      <c r="C25" t="s">
        <v>23</v>
      </c>
      <c r="D25" s="24">
        <v>46013</v>
      </c>
      <c r="E25" s="159">
        <v>50</v>
      </c>
      <c r="F25">
        <v>5</v>
      </c>
      <c r="G25" s="159">
        <v>0</v>
      </c>
      <c r="H25" s="159">
        <v>0</v>
      </c>
      <c r="I25" s="160" t="s">
        <v>562</v>
      </c>
      <c r="J25" s="159">
        <v>50</v>
      </c>
      <c r="K25" s="159">
        <v>3</v>
      </c>
      <c r="L25" s="159">
        <v>53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357.6</v>
      </c>
      <c r="J3" s="132" t="s">
        <v>178</v>
      </c>
      <c r="K3" s="151">
        <f>G3+I3</f>
        <v>3937.6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436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400</v>
      </c>
      <c r="O11" s="110">
        <f>E11-N11</f>
        <v>800</v>
      </c>
      <c r="P11" s="110">
        <f>SUMIFS(PAGOS!$H$3:$H$1048576,PAGOS!$A$3:$A$1048576,"&lt;&gt;INGRESO*",PAGOS!$A$3:$A$1048576,"&lt;&gt;EGRESO*",PAGOS!$D$3:$D$1048576,+MID('06'!B11,6,3)*1)</f>
        <v>96</v>
      </c>
      <c r="Q11" s="110">
        <f>K11-P11</f>
        <v>192</v>
      </c>
    </row>
    <row r="12" spans="1:17" x14ac:dyDescent="0.3">
      <c r="A12">
        <v>6</v>
      </c>
      <c r="B12" s="10" t="s">
        <v>558</v>
      </c>
      <c r="C12" t="s">
        <v>24</v>
      </c>
      <c r="D12" s="24">
        <v>46008</v>
      </c>
      <c r="E12" s="159">
        <v>300</v>
      </c>
      <c r="F12">
        <v>6</v>
      </c>
      <c r="G12" s="159">
        <v>50</v>
      </c>
      <c r="H12" s="159">
        <v>6</v>
      </c>
      <c r="I12" s="159">
        <v>56</v>
      </c>
      <c r="J12" s="159">
        <v>300</v>
      </c>
      <c r="K12" s="159">
        <v>36</v>
      </c>
      <c r="L12" s="159">
        <v>336</v>
      </c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EAAAD0B9-D380-40DE-B138-5E3E3F103374}">
  <ds:schemaRefs/>
</ds:datastoreItem>
</file>

<file path=customXml/itemProps2.xml><?xml version="1.0" encoding="utf-8"?>
<ds:datastoreItem xmlns:ds="http://schemas.openxmlformats.org/officeDocument/2006/customXml" ds:itemID="{467B89DC-45DC-45DB-AE14-EBE12F6CF689}">
  <ds:schemaRefs/>
</ds:datastoreItem>
</file>

<file path=customXml/itemProps3.xml><?xml version="1.0" encoding="utf-8"?>
<ds:datastoreItem xmlns:ds="http://schemas.openxmlformats.org/officeDocument/2006/customXml" ds:itemID="{1D573793-9A2A-40BB-ACDF-EDBB95B096D0}">
  <ds:schemaRefs/>
</ds:datastoreItem>
</file>

<file path=customXml/itemProps4.xml><?xml version="1.0" encoding="utf-8"?>
<ds:datastoreItem xmlns:ds="http://schemas.openxmlformats.org/officeDocument/2006/customXml" ds:itemID="{7CBDD84F-1825-4B1B-88D4-457D3880B628}">
  <ds:schemaRefs/>
</ds:datastoreItem>
</file>

<file path=customXml/itemProps5.xml><?xml version="1.0" encoding="utf-8"?>
<ds:datastoreItem xmlns:ds="http://schemas.openxmlformats.org/officeDocument/2006/customXml" ds:itemID="{12E6C9B4-C406-4DBA-BDA9-CB28F7BA0F27}">
  <ds:schemaRefs/>
</ds:datastoreItem>
</file>

<file path=customXml/itemProps6.xml><?xml version="1.0" encoding="utf-8"?>
<ds:datastoreItem xmlns:ds="http://schemas.openxmlformats.org/officeDocument/2006/customXml" ds:itemID="{B41D8EFD-3A32-4151-9111-9D1B3D59D808}">
  <ds:schemaRefs/>
</ds:datastoreItem>
</file>

<file path=customXml/itemProps7.xml><?xml version="1.0" encoding="utf-8"?>
<ds:datastoreItem xmlns:ds="http://schemas.openxmlformats.org/officeDocument/2006/customXml" ds:itemID="{56977713-5519-4DDE-A98E-ED694EEEE002}">
  <ds:schemaRefs/>
</ds:datastoreItem>
</file>

<file path=customXml/itemProps8.xml><?xml version="1.0" encoding="utf-8"?>
<ds:datastoreItem xmlns:ds="http://schemas.openxmlformats.org/officeDocument/2006/customXml" ds:itemID="{EA8ECFC1-1041-46A5-AC72-47EFFDA40917}">
  <ds:schemaRefs/>
</ds:datastoreItem>
</file>

<file path=customXml/itemProps9.xml><?xml version="1.0" encoding="utf-8"?>
<ds:datastoreItem xmlns:ds="http://schemas.openxmlformats.org/officeDocument/2006/customXml" ds:itemID="{0AF9AE0E-3BD4-4E99-AEF5-94B0341FFF37}">
  <ds:schemaRefs/>
</ds:datastoreItem>
</file>

<file path=customXml/itemProps10.xml><?xml version="1.0" encoding="utf-8"?>
<ds:datastoreItem xmlns:ds="http://schemas.openxmlformats.org/officeDocument/2006/customXml" ds:itemID="{CCC2BFEA-1C63-45CB-998F-867C60539D8E}">
  <ds:schemaRefs/>
</ds:datastoreItem>
</file>

<file path=customXml/itemProps11.xml><?xml version="1.0" encoding="utf-8"?>
<ds:datastoreItem xmlns:ds="http://schemas.openxmlformats.org/officeDocument/2006/customXml" ds:itemID="{5DE1189C-7EEA-4413-B6A9-21B5269B999E}">
  <ds:schemaRefs/>
</ds:datastoreItem>
</file>

<file path=customXml/itemProps12.xml><?xml version="1.0" encoding="utf-8"?>
<ds:datastoreItem xmlns:ds="http://schemas.openxmlformats.org/officeDocument/2006/customXml" ds:itemID="{A28830D5-EA88-4415-8641-5FA92227B1CF}">
  <ds:schemaRefs/>
</ds:datastoreItem>
</file>

<file path=customXml/itemProps13.xml><?xml version="1.0" encoding="utf-8"?>
<ds:datastoreItem xmlns:ds="http://schemas.openxmlformats.org/officeDocument/2006/customXml" ds:itemID="{6FACA953-6097-4604-A6ED-E95603AC46F9}">
  <ds:schemaRefs/>
</ds:datastoreItem>
</file>

<file path=customXml/itemProps14.xml><?xml version="1.0" encoding="utf-8"?>
<ds:datastoreItem xmlns:ds="http://schemas.openxmlformats.org/officeDocument/2006/customXml" ds:itemID="{5E32B214-C004-4100-B819-CAD753BF0EAD}">
  <ds:schemaRefs/>
</ds:datastoreItem>
</file>

<file path=customXml/itemProps15.xml><?xml version="1.0" encoding="utf-8"?>
<ds:datastoreItem xmlns:ds="http://schemas.openxmlformats.org/officeDocument/2006/customXml" ds:itemID="{1EC8139C-0445-42B8-83DE-6C9E5DF257A4}">
  <ds:schemaRefs/>
</ds:datastoreItem>
</file>

<file path=customXml/itemProps16.xml><?xml version="1.0" encoding="utf-8"?>
<ds:datastoreItem xmlns:ds="http://schemas.openxmlformats.org/officeDocument/2006/customXml" ds:itemID="{970D74BA-31C1-4589-8419-C43A52CE3BC7}">
  <ds:schemaRefs/>
</ds:datastoreItem>
</file>

<file path=customXml/itemProps17.xml><?xml version="1.0" encoding="utf-8"?>
<ds:datastoreItem xmlns:ds="http://schemas.openxmlformats.org/officeDocument/2006/customXml" ds:itemID="{504DB1F8-1600-4022-BDB4-8099180D3EF9}">
  <ds:schemaRefs/>
</ds:datastoreItem>
</file>

<file path=customXml/itemProps18.xml><?xml version="1.0" encoding="utf-8"?>
<ds:datastoreItem xmlns:ds="http://schemas.openxmlformats.org/officeDocument/2006/customXml" ds:itemID="{A9F909EB-F002-45AB-894E-17267888885D}">
  <ds:schemaRefs/>
</ds:datastoreItem>
</file>

<file path=customXml/itemProps19.xml><?xml version="1.0" encoding="utf-8"?>
<ds:datastoreItem xmlns:ds="http://schemas.openxmlformats.org/officeDocument/2006/customXml" ds:itemID="{54414082-E515-4251-B822-C9A98D18339A}">
  <ds:schemaRefs/>
</ds:datastoreItem>
</file>

<file path=customXml/itemProps20.xml><?xml version="1.0" encoding="utf-8"?>
<ds:datastoreItem xmlns:ds="http://schemas.openxmlformats.org/officeDocument/2006/customXml" ds:itemID="{F4B64C65-FDE9-48C7-BFC1-1F5E0CA796BC}">
  <ds:schemaRefs/>
</ds:datastoreItem>
</file>

<file path=customXml/itemProps21.xml><?xml version="1.0" encoding="utf-8"?>
<ds:datastoreItem xmlns:ds="http://schemas.openxmlformats.org/officeDocument/2006/customXml" ds:itemID="{4794A331-D7C0-48C9-A64A-2F708E40918C}">
  <ds:schemaRefs/>
</ds:datastoreItem>
</file>

<file path=customXml/itemProps22.xml><?xml version="1.0" encoding="utf-8"?>
<ds:datastoreItem xmlns:ds="http://schemas.openxmlformats.org/officeDocument/2006/customXml" ds:itemID="{340873D7-D046-4561-83BB-0AF814B7A89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2025-12-23T02:05:38Z</cp:lastPrinted>
  <dcterms:created xsi:type="dcterms:W3CDTF">2023-09-09T22:17:43Z</dcterms:created>
  <dcterms:modified xsi:type="dcterms:W3CDTF">2025-12-23T03:07:52Z</dcterms:modified>
</cp:coreProperties>
</file>