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model" sheetId="1" state="visible" r:id="rId2"/>
    <sheet name="wait times" sheetId="2" state="visible" r:id="rId3"/>
  </sheets>
  <definedNames>
    <definedName function="false" hidden="false" name="Pass1CPUs" vbProcedure="false">model!$B$10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<sst xmlns="http://schemas.openxmlformats.org/spreadsheetml/2006/main" count="191" uniqueCount="153">
  <si>
    <t>GlueX Computing Model</t>
  </si>
  <si>
    <t>parameter</t>
  </si>
  <si>
    <t>fy17</t>
  </si>
  <si>
    <t>fy18</t>
  </si>
  <si>
    <t>units</t>
  </si>
  <si>
    <t>comments</t>
  </si>
  <si>
    <t>event rate</t>
  </si>
  <si>
    <t>events/s</t>
  </si>
  <si>
    <t>raw data rate out of the counting room when beam is on</t>
  </si>
  <si>
    <t>annual running</t>
  </si>
  <si>
    <t>weeks</t>
  </si>
  <si>
    <t>amount of running in a year, fy17: 35+67 days, fy18: 42+10+21 days (see Eugene’s talk, Oct. ‘16 Collab. Mtg.)</t>
  </si>
  <si>
    <t>running efficiency</t>
  </si>
  <si>
    <t>fraction of wall time when beam is on, either due to beam unavailable or detector not ready</t>
  </si>
  <si>
    <t>effective event rate (per second)</t>
  </si>
  <si>
    <t>Event rate averaged over time</t>
  </si>
  <si>
    <t>effective event rate (per year)</t>
  </si>
  <si>
    <t>events/year</t>
  </si>
  <si>
    <t>CPU time per event</t>
  </si>
  <si>
    <t>CPU-s/event</t>
  </si>
  <si>
    <t>Oct. 2016 David benchmark gave 250Hz for 16 threads on Ivy Bridge, 340Hz for 24 threads on Haswell, 600Hz for 36 threads on Broadwell</t>
  </si>
  <si>
    <t>single Pass 1 CPU needed</t>
  </si>
  <si>
    <t>CPU's</t>
  </si>
  <si>
    <t>number of threads to keep up with the raw event rate</t>
  </si>
  <si>
    <t>raw event size</t>
  </si>
  <si>
    <t>bytes</t>
  </si>
  <si>
    <t>size of a single raw event. Actual Spring 2016 data is 16.4kB+4.6kB/10^7 g/s. Estimate from Spring 2016 data for reduced windows is 11.5kB + 0.23kB/10^7 g/s</t>
  </si>
  <si>
    <t>raw instantaneous storage rate</t>
  </si>
  <si>
    <t>MB/s</t>
  </si>
  <si>
    <t>data rate when beam is on</t>
  </si>
  <si>
    <t>raw effective storage rate</t>
  </si>
  <si>
    <t>bytes/year</t>
  </si>
  <si>
    <t>average data volume rate</t>
  </si>
  <si>
    <t>TB/year</t>
  </si>
  <si>
    <t>pass 0 event fraction</t>
  </si>
  <si>
    <t>fraction of events from raw data stream to perform calibrations</t>
  </si>
  <si>
    <t>pass 1 repetition factor</t>
  </si>
  <si>
    <t>number of times event reconstruction will be repeated</t>
  </si>
  <si>
    <t>pass 0 repetition factor</t>
  </si>
  <si>
    <t>number of times calibration will be repeated</t>
  </si>
  <si>
    <t>pass 0 CPU need</t>
  </si>
  <si>
    <t>number of threads of calibration to keep up</t>
  </si>
  <si>
    <t>pass 1 CPU need</t>
  </si>
  <si>
    <t>number of threads of reconstruction to keep up</t>
  </si>
  <si>
    <t>stream/pass-1 CPU ratio</t>
  </si>
  <si>
    <t>ratio of CPU time required for a skim stream to that needed for reconstruction</t>
  </si>
  <si>
    <t>stream output to input size ratio</t>
  </si>
  <si>
    <t>ratio of data volume output for a stream to that of input</t>
  </si>
  <si>
    <t>stream multiplicity factor</t>
  </si>
  <si>
    <t>number of streams to be produced</t>
  </si>
  <si>
    <t>single stream CPU need</t>
  </si>
  <si>
    <t>number of threads for one stream to keep up</t>
  </si>
  <si>
    <t>stream repetition factor</t>
  </si>
  <si>
    <t>number of times streaming will be repeated</t>
  </si>
  <si>
    <t>stream CPU need</t>
  </si>
  <si>
    <t>number of threads for streaming to keep up</t>
  </si>
  <si>
    <t>single stream output data rate</t>
  </si>
  <si>
    <t>total stream output data rate</t>
  </si>
  <si>
    <t>PB/year</t>
  </si>
  <si>
    <t>MC CPU time per event, generation</t>
  </si>
  <si>
    <t>MC CPU time per event, reconstruction</t>
  </si>
  <si>
    <t>MC CPU ratio per event, generation</t>
  </si>
  <si>
    <t>ratio of CPU time required for generating a Monte Carlo event to that needed for reconstruction</t>
  </si>
  <si>
    <t>MC CPU ratio per event, reconstruction</t>
  </si>
  <si>
    <t>ratio of CPU time to reconstruct Monte Carlo events to that to reconstruct real data</t>
  </si>
  <si>
    <t>MC/raw data event rate ratio</t>
  </si>
  <si>
    <t>ratio of number of Monte Carlo events needed to number of raw data events</t>
  </si>
  <si>
    <t>MC event size</t>
  </si>
  <si>
    <t>size of a single generated Monte Carlo event</t>
  </si>
  <si>
    <t>MC multiplicity factor</t>
  </si>
  <si>
    <t>number of times MC data will need to be generated</t>
  </si>
  <si>
    <t>MC effective event rate</t>
  </si>
  <si>
    <t>event rate averaged over time of MC event generation</t>
  </si>
  <si>
    <t>MC CPU need</t>
  </si>
  <si>
    <t>numbers of threads needed for generating Monte Carlo</t>
  </si>
  <si>
    <t>MC pass 1 output event size</t>
  </si>
  <si>
    <t>size of a single reconstructed Monte Carlo event</t>
  </si>
  <si>
    <t>MC effective data rate</t>
  </si>
  <si>
    <t>analysis/pass-1 CPU ratio</t>
  </si>
  <si>
    <t>ratio of CPU time required for performing a physics analysis to that needed for reconstruction</t>
  </si>
  <si>
    <t>analysis multiplicity factor</t>
  </si>
  <si>
    <t>number of analyses to be conducted</t>
  </si>
  <si>
    <t>analysis CPU need</t>
  </si>
  <si>
    <t>number of threads needed for analysis</t>
  </si>
  <si>
    <t>total CPU need</t>
  </si>
  <si>
    <t>total number  of threads needed for all activities</t>
  </si>
  <si>
    <t>total CPU need exclusive of MC</t>
  </si>
  <si>
    <t>total number of threads needed for all activities</t>
  </si>
  <si>
    <t>data rate, tape to cache disk</t>
  </si>
  <si>
    <t>average rate from tape library to cache disk</t>
  </si>
  <si>
    <t>data rate, cache disk to local disk</t>
  </si>
  <si>
    <t>average rate from cache disk to local farm node disk</t>
  </si>
  <si>
    <t>raw data recording tape need</t>
  </si>
  <si>
    <t>Pass 1 output to input size ratio</t>
  </si>
  <si>
    <t>ratio of output event size to input event size</t>
  </si>
  <si>
    <t>pass1 processed event size</t>
  </si>
  <si>
    <t>reconstructed event size</t>
  </si>
  <si>
    <t>Single pass 1 output data rate</t>
  </si>
  <si>
    <t>data rate for a single pass 1 output stream</t>
  </si>
  <si>
    <t>total pass 1 output data rate</t>
  </si>
  <si>
    <t>data rate for all pass 1 output streams</t>
  </si>
  <si>
    <t>Single pass 0 output data rate</t>
  </si>
  <si>
    <t>total pass 0 output data rate</t>
  </si>
  <si>
    <t>data rate for all pass 0 output streams</t>
  </si>
  <si>
    <t>single pass 1 tape need</t>
  </si>
  <si>
    <t>drives</t>
  </si>
  <si>
    <t>number of tape drives needed to support pass 1, one iteration</t>
  </si>
  <si>
    <t>Pass 1 tape need</t>
  </si>
  <si>
    <t>number of tape drives needed to support pass 1, all iterations</t>
  </si>
  <si>
    <t>single pass 0 tape need</t>
  </si>
  <si>
    <t>number of tape drives needed to support pass 0, one iteration</t>
  </si>
  <si>
    <t>Pass 0 tape need</t>
  </si>
  <si>
    <t>number of tape drives needed to support pass 0, all iterations</t>
  </si>
  <si>
    <t>single stream input tape need</t>
  </si>
  <si>
    <t>number of tape drives needed to support input for streaming, one iteration</t>
  </si>
  <si>
    <t>single set of stream output tape need (all streams)</t>
  </si>
  <si>
    <t>number of tape drives needed to support output for streaming, one iteration</t>
  </si>
  <si>
    <t>total stream tape need</t>
  </si>
  <si>
    <t>number of tape drives needed to support streaming, all iterations</t>
  </si>
  <si>
    <t>MC tape drive need</t>
  </si>
  <si>
    <t>number of tape drives needed to archive reconstructed MC data</t>
  </si>
  <si>
    <t>total tape drive need</t>
  </si>
  <si>
    <t>total number of tape drives needed for all activities</t>
  </si>
  <si>
    <t>disk usage per analysis</t>
  </si>
  <si>
    <t>TB</t>
  </si>
  <si>
    <t>permanent disk space used by an analysis</t>
  </si>
  <si>
    <t>disk usage total</t>
  </si>
  <si>
    <t>permanent disk space used by all analyses</t>
  </si>
  <si>
    <t>total output rate</t>
  </si>
  <si>
    <t>Weeks of running</t>
  </si>
  <si>
    <t>Days of running</t>
  </si>
  <si>
    <t>Days of Running per PAC Day</t>
  </si>
  <si>
    <t>Running efficiency</t>
  </si>
  <si>
    <t>Seconds per day</t>
  </si>
  <si>
    <t>Running time (s)</t>
  </si>
  <si>
    <t>Days per year</t>
  </si>
  <si>
    <t>Trigger rate (Hz)</t>
  </si>
  <si>
    <t>Number of cores</t>
  </si>
  <si>
    <t>Number of events</t>
  </si>
  <si>
    <t>Ratio of Monte Carlo events to data events</t>
  </si>
  <si>
    <t>event size (bytes)</t>
  </si>
  <si>
    <t>Reconstruction time per event per core (s)</t>
  </si>
  <si>
    <t>ratio of size of DST to Raw</t>
  </si>
  <si>
    <t>Reconstruction time, single core (y)</t>
  </si>
  <si>
    <t>Reconstruction time (d)</t>
  </si>
  <si>
    <t>Monte Carlo generation time per event per core</t>
  </si>
  <si>
    <t>Monte Carlo reconstruction time per event per core</t>
  </si>
  <si>
    <t>Monte Carlo time, gen. + recon. (d)</t>
  </si>
  <si>
    <t>Reconstruction time + MC time (d)</t>
  </si>
  <si>
    <t>raw data volume (bytes)</t>
  </si>
  <si>
    <t>raw data volume (PB)</t>
  </si>
  <si>
    <t>DST data volume, real data, recon. (PB)</t>
  </si>
  <si>
    <t>total data to tape (PB)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</si>
</sst>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E+00"/>
    <numFmt numFmtId="167" formatCode="##0.0E+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RowHeight="12.8"/>
  <cols>
    <col collapsed="false" hidden="false" max="1" min="1" style="0" width="38.2040816326531"/>
    <col collapsed="false" hidden="false" max="3" min="2" style="0" width="16.9540816326531"/>
    <col collapsed="false" hidden="false" max="4" min="4" style="0" width="10.2602040816327"/>
    <col collapsed="false" hidden="false" max="1025" min="5" style="0" width="8.63775510204082"/>
  </cols>
  <sheetData>
    <row r="1" customFormat="false" ht="12.5" hidden="false" customHeight="true" outlineLevel="0" collapsed="false">
      <c r="A1" s="1" t="s">
        <v>0</v>
      </c>
    </row>
    <row r="2" customFormat="false" ht="12.25" hidden="false" customHeight="true" outlineLevel="0" collapsed="false">
      <c r="F2" s="0" t="n">
        <f aca="false">365.25*24*60*60</f>
        <v>31557600</v>
      </c>
    </row>
    <row r="3" s="1" customFormat="true" ht="12.25" hidden="false" customHeight="true" outlineLevel="0" collapsed="false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AMJ3" s="0"/>
    </row>
    <row r="4" customFormat="false" ht="12.25" hidden="false" customHeight="true" outlineLevel="0" collapsed="false">
      <c r="A4" s="2" t="s">
        <v>6</v>
      </c>
      <c r="B4" s="3" t="n">
        <v>50000</v>
      </c>
      <c r="C4" s="3" t="n">
        <v>100000</v>
      </c>
      <c r="D4" s="0" t="s">
        <v>7</v>
      </c>
      <c r="E4" s="0" t="s">
        <v>8</v>
      </c>
    </row>
    <row r="5" customFormat="false" ht="12.25" hidden="false" customHeight="true" outlineLevel="0" collapsed="false">
      <c r="A5" s="0" t="s">
        <v>9</v>
      </c>
      <c r="B5" s="4" t="n">
        <f aca="false">(35+67)/7</f>
        <v>14.5714285714286</v>
      </c>
      <c r="C5" s="4" t="n">
        <f aca="false">(42+10+21)/7</f>
        <v>10.4285714285714</v>
      </c>
      <c r="D5" s="2" t="s">
        <v>10</v>
      </c>
      <c r="E5" s="2" t="s">
        <v>11</v>
      </c>
    </row>
    <row r="6" customFormat="false" ht="12.25" hidden="false" customHeight="true" outlineLevel="0" collapsed="false">
      <c r="A6" s="0" t="s">
        <v>12</v>
      </c>
      <c r="B6" s="3" t="n">
        <v>0.5</v>
      </c>
      <c r="C6" s="3" t="n">
        <v>0.5</v>
      </c>
      <c r="E6" s="0" t="s">
        <v>13</v>
      </c>
    </row>
    <row r="7" customFormat="false" ht="12.25" hidden="false" customHeight="true" outlineLevel="0" collapsed="false">
      <c r="A7" s="0" t="s">
        <v>14</v>
      </c>
      <c r="B7" s="0" t="n">
        <f aca="false">B4*B5/(365.25/7)*B6</f>
        <v>6981.51950718686</v>
      </c>
      <c r="C7" s="0" t="n">
        <f aca="false">C4*C5/(365.25/7)*C6</f>
        <v>9993.15537303217</v>
      </c>
      <c r="D7" s="0" t="s">
        <v>7</v>
      </c>
      <c r="E7" s="0" t="s">
        <v>15</v>
      </c>
    </row>
    <row r="8" customFormat="false" ht="12.25" hidden="false" customHeight="true" outlineLevel="0" collapsed="false">
      <c r="A8" s="0" t="s">
        <v>16</v>
      </c>
      <c r="B8" s="5" t="n">
        <f aca="false">B7*365*24*60*60</f>
        <v>220169199178.645</v>
      </c>
      <c r="C8" s="5" t="n">
        <f aca="false">C7*365*24*60*60</f>
        <v>315144147843.942</v>
      </c>
      <c r="D8" s="0" t="s">
        <v>17</v>
      </c>
      <c r="E8" s="0" t="s">
        <v>15</v>
      </c>
    </row>
    <row r="9" customFormat="false" ht="12.25" hidden="false" customHeight="true" outlineLevel="0" collapsed="false">
      <c r="A9" s="0" t="s">
        <v>18</v>
      </c>
      <c r="B9" s="3" t="n">
        <f aca="false">1/(340/24)</f>
        <v>0.0705882352941176</v>
      </c>
      <c r="C9" s="3" t="n">
        <f aca="false">1/(600/36)</f>
        <v>0.06</v>
      </c>
      <c r="D9" s="0" t="s">
        <v>19</v>
      </c>
      <c r="E9" s="0" t="s">
        <v>20</v>
      </c>
    </row>
    <row r="10" customFormat="false" ht="12.25" hidden="false" customHeight="true" outlineLevel="0" collapsed="false">
      <c r="A10" s="0" t="s">
        <v>21</v>
      </c>
      <c r="B10" s="0" t="n">
        <f aca="false">B7*B9</f>
        <v>492.813141683778</v>
      </c>
      <c r="C10" s="0" t="n">
        <f aca="false">C7*C9</f>
        <v>599.58932238193</v>
      </c>
      <c r="D10" s="0" t="s">
        <v>22</v>
      </c>
      <c r="E10" s="0" t="s">
        <v>23</v>
      </c>
    </row>
    <row r="11" customFormat="false" ht="12.25" hidden="false" customHeight="true" outlineLevel="0" collapsed="false">
      <c r="A11" s="0" t="s">
        <v>24</v>
      </c>
      <c r="B11" s="3" t="n">
        <f aca="false">(11.5+2.3*2)*1000</f>
        <v>16100</v>
      </c>
      <c r="C11" s="3" t="n">
        <f aca="false">(11.5+2.3*5)*1000</f>
        <v>23000</v>
      </c>
      <c r="D11" s="0" t="s">
        <v>25</v>
      </c>
      <c r="E11" s="0" t="s">
        <v>26</v>
      </c>
    </row>
    <row r="12" customFormat="false" ht="12.25" hidden="false" customHeight="true" outlineLevel="0" collapsed="false">
      <c r="A12" s="0" t="s">
        <v>27</v>
      </c>
      <c r="B12" s="0" t="n">
        <f aca="false">B4*B11/1000000</f>
        <v>805</v>
      </c>
      <c r="C12" s="0" t="n">
        <f aca="false">C4*C11/1000000</f>
        <v>2300</v>
      </c>
      <c r="D12" s="0" t="s">
        <v>28</v>
      </c>
      <c r="E12" s="0" t="s">
        <v>29</v>
      </c>
    </row>
    <row r="13" customFormat="false" ht="12.25" hidden="false" customHeight="true" outlineLevel="0" collapsed="false">
      <c r="A13" s="0" t="s">
        <v>30</v>
      </c>
      <c r="B13" s="6" t="n">
        <f aca="false">B8*B11</f>
        <v>3544724106776180</v>
      </c>
      <c r="C13" s="6" t="n">
        <f aca="false">C8*C11</f>
        <v>7248315400410680</v>
      </c>
      <c r="D13" s="0" t="s">
        <v>31</v>
      </c>
      <c r="E13" s="0" t="s">
        <v>32</v>
      </c>
    </row>
    <row r="14" customFormat="false" ht="12.8" hidden="false" customHeight="false" outlineLevel="0" collapsed="false">
      <c r="A14" s="0" t="s">
        <v>30</v>
      </c>
      <c r="B14" s="0" t="n">
        <f aca="false">B13/1000000000000</f>
        <v>3544.72410677618</v>
      </c>
      <c r="C14" s="0" t="n">
        <f aca="false">C13/1000000000000</f>
        <v>7248.31540041068</v>
      </c>
      <c r="D14" s="0" t="s">
        <v>33</v>
      </c>
      <c r="E14" s="0" t="s">
        <v>32</v>
      </c>
    </row>
    <row r="15" customFormat="false" ht="12.8" hidden="false" customHeight="false" outlineLevel="0" collapsed="false">
      <c r="A15" s="0" t="s">
        <v>34</v>
      </c>
      <c r="B15" s="3" t="n">
        <v>0.05</v>
      </c>
      <c r="C15" s="3" t="n">
        <v>0.05</v>
      </c>
      <c r="E15" s="0" t="s">
        <v>35</v>
      </c>
    </row>
    <row r="16" customFormat="false" ht="12.8" hidden="false" customHeight="false" outlineLevel="0" collapsed="false">
      <c r="A16" s="0" t="s">
        <v>36</v>
      </c>
      <c r="B16" s="3" t="n">
        <v>2</v>
      </c>
      <c r="C16" s="3" t="n">
        <v>2</v>
      </c>
      <c r="E16" s="0" t="s">
        <v>37</v>
      </c>
    </row>
    <row r="17" customFormat="false" ht="12.8" hidden="false" customHeight="false" outlineLevel="0" collapsed="false">
      <c r="A17" s="0" t="s">
        <v>38</v>
      </c>
      <c r="B17" s="3" t="n">
        <v>2</v>
      </c>
      <c r="C17" s="3" t="n">
        <v>2</v>
      </c>
      <c r="E17" s="0" t="s">
        <v>39</v>
      </c>
    </row>
    <row r="18" customFormat="false" ht="12.8" hidden="false" customHeight="false" outlineLevel="0" collapsed="false">
      <c r="A18" s="0" t="s">
        <v>40</v>
      </c>
      <c r="B18" s="0" t="n">
        <f aca="false">B15*B17*B10</f>
        <v>49.2813141683778</v>
      </c>
      <c r="C18" s="0" t="n">
        <f aca="false">C15*C17*C10</f>
        <v>59.958932238193</v>
      </c>
      <c r="D18" s="0" t="s">
        <v>22</v>
      </c>
      <c r="E18" s="0" t="s">
        <v>41</v>
      </c>
    </row>
    <row r="19" customFormat="false" ht="12.8" hidden="false" customHeight="false" outlineLevel="0" collapsed="false">
      <c r="A19" s="0" t="s">
        <v>42</v>
      </c>
      <c r="B19" s="0" t="n">
        <f aca="false">B16*B10</f>
        <v>985.626283367556</v>
      </c>
      <c r="C19" s="0" t="n">
        <f aca="false">C16*C10</f>
        <v>1199.17864476386</v>
      </c>
      <c r="D19" s="0" t="s">
        <v>22</v>
      </c>
      <c r="E19" s="0" t="s">
        <v>43</v>
      </c>
      <c r="F19" s="7"/>
    </row>
    <row r="20" customFormat="false" ht="12.8" hidden="false" customHeight="false" outlineLevel="0" collapsed="false">
      <c r="A20" s="0" t="s">
        <v>44</v>
      </c>
      <c r="B20" s="3" t="n">
        <v>0.1</v>
      </c>
      <c r="C20" s="3" t="n">
        <v>0.1</v>
      </c>
      <c r="E20" s="0" t="s">
        <v>45</v>
      </c>
    </row>
    <row r="21" customFormat="false" ht="12.8" hidden="false" customHeight="false" outlineLevel="0" collapsed="false">
      <c r="A21" s="0" t="s">
        <v>46</v>
      </c>
      <c r="B21" s="3" t="n">
        <v>0.1</v>
      </c>
      <c r="C21" s="3" t="n">
        <v>0.1</v>
      </c>
      <c r="E21" s="0" t="s">
        <v>47</v>
      </c>
    </row>
    <row r="22" customFormat="false" ht="12.8" hidden="false" customHeight="false" outlineLevel="0" collapsed="false">
      <c r="A22" s="0" t="s">
        <v>48</v>
      </c>
      <c r="B22" s="3" t="n">
        <v>5</v>
      </c>
      <c r="C22" s="3" t="n">
        <v>5</v>
      </c>
      <c r="E22" s="0" t="s">
        <v>49</v>
      </c>
    </row>
    <row r="23" customFormat="false" ht="12.8" hidden="false" customHeight="false" outlineLevel="0" collapsed="false">
      <c r="A23" s="0" t="s">
        <v>50</v>
      </c>
      <c r="B23" s="0" t="n">
        <f aca="false">B20*B10</f>
        <v>49.2813141683778</v>
      </c>
      <c r="C23" s="0" t="n">
        <f aca="false">C20*C10</f>
        <v>59.958932238193</v>
      </c>
      <c r="D23" s="0" t="s">
        <v>22</v>
      </c>
      <c r="E23" s="0" t="s">
        <v>51</v>
      </c>
    </row>
    <row r="24" customFormat="false" ht="12.8" hidden="false" customHeight="false" outlineLevel="0" collapsed="false">
      <c r="A24" s="0" t="s">
        <v>52</v>
      </c>
      <c r="B24" s="3" t="n">
        <v>2</v>
      </c>
      <c r="C24" s="3" t="n">
        <v>2</v>
      </c>
      <c r="E24" s="0" t="s">
        <v>53</v>
      </c>
    </row>
    <row r="25" customFormat="false" ht="12.8" hidden="false" customHeight="false" outlineLevel="0" collapsed="false">
      <c r="A25" s="0" t="s">
        <v>54</v>
      </c>
      <c r="B25" s="0" t="n">
        <f aca="false">B22*B23*B24</f>
        <v>492.813141683778</v>
      </c>
      <c r="C25" s="0" t="n">
        <f aca="false">C22*C23*C24</f>
        <v>599.58932238193</v>
      </c>
      <c r="D25" s="0" t="s">
        <v>22</v>
      </c>
      <c r="E25" s="0" t="s">
        <v>55</v>
      </c>
    </row>
    <row r="26" customFormat="false" ht="12.8" hidden="false" customHeight="false" outlineLevel="0" collapsed="false">
      <c r="A26" s="0" t="s">
        <v>56</v>
      </c>
      <c r="B26" s="0" t="n">
        <f aca="false">B50*B21</f>
        <v>2.24804928131417</v>
      </c>
      <c r="C26" s="0" t="n">
        <f aca="false">C50*C21</f>
        <v>4.5968514715948</v>
      </c>
      <c r="D26" s="0" t="s">
        <v>28</v>
      </c>
    </row>
    <row r="27" customFormat="false" ht="12.8" hidden="false" customHeight="false" outlineLevel="0" collapsed="false">
      <c r="A27" s="0" t="s">
        <v>57</v>
      </c>
      <c r="B27" s="0" t="n">
        <f aca="false">B26*B22*B24*$F2/1000000000</f>
        <v>0.7094304</v>
      </c>
      <c r="C27" s="0" t="n">
        <f aca="false">C26*C22*C24*$F2/1000000000</f>
        <v>1.450656</v>
      </c>
      <c r="D27" s="0" t="s">
        <v>58</v>
      </c>
    </row>
    <row r="28" customFormat="false" ht="12.8" hidden="false" customHeight="false" outlineLevel="0" collapsed="false">
      <c r="A28" s="0" t="s">
        <v>59</v>
      </c>
      <c r="B28" s="3" t="n">
        <f aca="false">1/14.04+1/11.4</f>
        <v>0.158944369470685</v>
      </c>
      <c r="C28" s="3" t="n">
        <f aca="false">1/14.04+1/11.4</f>
        <v>0.158944369470685</v>
      </c>
    </row>
    <row r="29" customFormat="false" ht="12.8" hidden="false" customHeight="false" outlineLevel="0" collapsed="false">
      <c r="A29" s="0" t="s">
        <v>60</v>
      </c>
      <c r="B29" s="8" t="n">
        <f aca="false">B9</f>
        <v>0.0705882352941176</v>
      </c>
      <c r="C29" s="8" t="n">
        <f aca="false">C9</f>
        <v>0.06</v>
      </c>
    </row>
    <row r="30" customFormat="false" ht="12.8" hidden="false" customHeight="false" outlineLevel="0" collapsed="false">
      <c r="A30" s="0" t="s">
        <v>61</v>
      </c>
      <c r="B30" s="0" t="n">
        <f aca="false">B28/B9</f>
        <v>2.25171190083471</v>
      </c>
      <c r="C30" s="0" t="n">
        <f aca="false">C28/C9</f>
        <v>2.64907282451142</v>
      </c>
      <c r="D30" s="0" t="s">
        <v>19</v>
      </c>
      <c r="E30" s="0" t="s">
        <v>62</v>
      </c>
    </row>
    <row r="31" customFormat="false" ht="12.8" hidden="false" customHeight="false" outlineLevel="0" collapsed="false">
      <c r="A31" s="0" t="s">
        <v>63</v>
      </c>
      <c r="B31" s="0" t="n">
        <f aca="false">B29/B9</f>
        <v>1</v>
      </c>
      <c r="C31" s="0" t="n">
        <f aca="false">C29/C9</f>
        <v>1</v>
      </c>
      <c r="E31" s="0" t="s">
        <v>64</v>
      </c>
    </row>
    <row r="32" customFormat="false" ht="12.8" hidden="false" customHeight="false" outlineLevel="0" collapsed="false">
      <c r="A32" s="0" t="s">
        <v>65</v>
      </c>
      <c r="B32" s="3" t="n">
        <v>2</v>
      </c>
      <c r="C32" s="3" t="n">
        <v>2</v>
      </c>
      <c r="E32" s="0" t="s">
        <v>66</v>
      </c>
    </row>
    <row r="33" customFormat="false" ht="12.8" hidden="false" customHeight="false" outlineLevel="0" collapsed="false">
      <c r="A33" s="0" t="s">
        <v>67</v>
      </c>
      <c r="B33" s="0" t="n">
        <v>18000</v>
      </c>
      <c r="C33" s="0" t="n">
        <v>18000</v>
      </c>
      <c r="D33" s="0" t="s">
        <v>25</v>
      </c>
      <c r="E33" s="0" t="s">
        <v>68</v>
      </c>
    </row>
    <row r="34" customFormat="false" ht="12.8" hidden="false" customHeight="false" outlineLevel="0" collapsed="false">
      <c r="A34" s="0" t="s">
        <v>69</v>
      </c>
      <c r="B34" s="3" t="n">
        <v>2</v>
      </c>
      <c r="C34" s="3" t="n">
        <v>2</v>
      </c>
      <c r="E34" s="0" t="s">
        <v>70</v>
      </c>
    </row>
    <row r="35" customFormat="false" ht="12.8" hidden="false" customHeight="false" outlineLevel="0" collapsed="false">
      <c r="A35" s="0" t="s">
        <v>71</v>
      </c>
      <c r="B35" s="0" t="n">
        <f aca="false">B7*B32*B34</f>
        <v>27926.0780287474</v>
      </c>
      <c r="C35" s="0" t="n">
        <f aca="false">C7*C32*C34</f>
        <v>39972.6214921287</v>
      </c>
      <c r="D35" s="0" t="s">
        <v>7</v>
      </c>
      <c r="E35" s="0" t="s">
        <v>72</v>
      </c>
    </row>
    <row r="36" customFormat="false" ht="12.8" hidden="false" customHeight="false" outlineLevel="0" collapsed="false">
      <c r="A36" s="0" t="s">
        <v>73</v>
      </c>
      <c r="B36" s="0" t="n">
        <f aca="false">B32*B10*(B30+B31)*B34</f>
        <v>6409.94543080353</v>
      </c>
      <c r="C36" s="0" t="n">
        <f aca="false">C32*C10*(C30+C31)*C34</f>
        <v>8751.78040868447</v>
      </c>
      <c r="D36" s="0" t="s">
        <v>22</v>
      </c>
      <c r="E36" s="0" t="s">
        <v>74</v>
      </c>
    </row>
    <row r="37" customFormat="false" ht="12.8" hidden="false" customHeight="false" outlineLevel="0" collapsed="false">
      <c r="A37" s="0" t="s">
        <v>75</v>
      </c>
      <c r="B37" s="0" t="n">
        <f aca="false">B33*B48</f>
        <v>3600</v>
      </c>
      <c r="C37" s="0" t="n">
        <f aca="false">C33*C48</f>
        <v>3600</v>
      </c>
      <c r="D37" s="0" t="s">
        <v>25</v>
      </c>
      <c r="E37" s="0" t="s">
        <v>76</v>
      </c>
    </row>
    <row r="38" customFormat="false" ht="12.8" hidden="false" customHeight="false" outlineLevel="0" collapsed="false">
      <c r="A38" s="0" t="s">
        <v>77</v>
      </c>
      <c r="B38" s="0" t="n">
        <f aca="false">B35*B37/1000000</f>
        <v>100.533880903491</v>
      </c>
      <c r="C38" s="0" t="n">
        <f aca="false">C35*C37/1000000</f>
        <v>143.901437371663</v>
      </c>
      <c r="D38" s="0" t="s">
        <v>28</v>
      </c>
    </row>
    <row r="39" customFormat="false" ht="12.8" hidden="false" customHeight="false" outlineLevel="0" collapsed="false">
      <c r="A39" s="0" t="s">
        <v>77</v>
      </c>
      <c r="B39" s="0" t="n">
        <f aca="false">B38*$F2/1000000000</f>
        <v>3.172608</v>
      </c>
      <c r="C39" s="0" t="n">
        <f aca="false">C38*$F2/1000000000</f>
        <v>4.541184</v>
      </c>
      <c r="D39" s="0" t="s">
        <v>58</v>
      </c>
    </row>
    <row r="40" customFormat="false" ht="12.8" hidden="false" customHeight="false" outlineLevel="0" collapsed="false">
      <c r="A40" s="0" t="s">
        <v>78</v>
      </c>
      <c r="B40" s="3" t="n">
        <v>0.1</v>
      </c>
      <c r="C40" s="3" t="n">
        <v>0.1</v>
      </c>
      <c r="E40" s="0" t="s">
        <v>79</v>
      </c>
    </row>
    <row r="41" customFormat="false" ht="12.8" hidden="false" customHeight="false" outlineLevel="0" collapsed="false">
      <c r="A41" s="0" t="s">
        <v>80</v>
      </c>
      <c r="B41" s="3" t="n">
        <v>10</v>
      </c>
      <c r="C41" s="3" t="n">
        <v>10</v>
      </c>
      <c r="E41" s="0" t="s">
        <v>81</v>
      </c>
    </row>
    <row r="42" customFormat="false" ht="12.8" hidden="false" customHeight="false" outlineLevel="0" collapsed="false">
      <c r="A42" s="0" t="s">
        <v>82</v>
      </c>
      <c r="B42" s="0" t="n">
        <f aca="false">B40*B10*B41</f>
        <v>492.813141683778</v>
      </c>
      <c r="C42" s="0" t="n">
        <f aca="false">C40*C10*C41</f>
        <v>599.58932238193</v>
      </c>
      <c r="D42" s="0" t="s">
        <v>22</v>
      </c>
      <c r="E42" s="0" t="s">
        <v>83</v>
      </c>
    </row>
    <row r="43" s="9" customFormat="true" ht="12.8" hidden="false" customHeight="false" outlineLevel="0" collapsed="false">
      <c r="A43" s="9" t="s">
        <v>84</v>
      </c>
      <c r="B43" s="10" t="n">
        <f aca="false">B18+B19+B25+B36+B42</f>
        <v>8430.47931170702</v>
      </c>
      <c r="C43" s="10" t="n">
        <f aca="false">C18+C19+C25+C36+C42</f>
        <v>11210.0966304504</v>
      </c>
      <c r="D43" s="9" t="s">
        <v>22</v>
      </c>
      <c r="E43" s="9" t="s">
        <v>85</v>
      </c>
      <c r="AMJ43" s="0"/>
    </row>
    <row r="44" customFormat="false" ht="12.8" hidden="false" customHeight="false" outlineLevel="0" collapsed="false">
      <c r="A44" s="0" t="s">
        <v>86</v>
      </c>
      <c r="B44" s="0" t="n">
        <f aca="false">B43-B36</f>
        <v>2020.53388090349</v>
      </c>
      <c r="C44" s="0" t="n">
        <f aca="false">C43-C36</f>
        <v>2458.31622176591</v>
      </c>
      <c r="D44" s="0" t="s">
        <v>22</v>
      </c>
      <c r="E44" s="0" t="s">
        <v>87</v>
      </c>
    </row>
    <row r="45" customFormat="false" ht="12.8" hidden="false" customHeight="false" outlineLevel="0" collapsed="false">
      <c r="A45" s="0" t="s">
        <v>88</v>
      </c>
      <c r="B45" s="3" t="n">
        <v>100</v>
      </c>
      <c r="C45" s="3" t="n">
        <v>100</v>
      </c>
      <c r="D45" s="0" t="s">
        <v>28</v>
      </c>
      <c r="E45" s="0" t="s">
        <v>89</v>
      </c>
    </row>
    <row r="46" customFormat="false" ht="12.8" hidden="false" customHeight="false" outlineLevel="0" collapsed="false">
      <c r="A46" s="0" t="s">
        <v>90</v>
      </c>
      <c r="B46" s="3" t="n">
        <v>3</v>
      </c>
      <c r="C46" s="3" t="n">
        <v>3</v>
      </c>
      <c r="D46" s="0" t="s">
        <v>28</v>
      </c>
      <c r="E46" s="0" t="s">
        <v>91</v>
      </c>
    </row>
    <row r="47" customFormat="false" ht="12.8" hidden="false" customHeight="false" outlineLevel="0" collapsed="false">
      <c r="A47" s="0" t="s">
        <v>92</v>
      </c>
      <c r="B47" s="0" t="n">
        <f aca="false">B7*B11/B45/1000000</f>
        <v>1.12402464065708</v>
      </c>
      <c r="C47" s="0" t="n">
        <f aca="false">C7*C11/C45/1000000</f>
        <v>2.2984257357974</v>
      </c>
    </row>
    <row r="48" customFormat="false" ht="12.8" hidden="false" customHeight="false" outlineLevel="0" collapsed="false">
      <c r="A48" s="0" t="s">
        <v>93</v>
      </c>
      <c r="B48" s="3" t="n">
        <v>0.2</v>
      </c>
      <c r="C48" s="3" t="n">
        <v>0.2</v>
      </c>
      <c r="E48" s="0" t="s">
        <v>94</v>
      </c>
    </row>
    <row r="49" customFormat="false" ht="12.8" hidden="false" customHeight="false" outlineLevel="0" collapsed="false">
      <c r="A49" s="0" t="s">
        <v>95</v>
      </c>
      <c r="B49" s="0" t="n">
        <f aca="false">B48*B11</f>
        <v>3220</v>
      </c>
      <c r="C49" s="0" t="n">
        <f aca="false">C48*C11</f>
        <v>4600</v>
      </c>
      <c r="D49" s="0" t="s">
        <v>25</v>
      </c>
      <c r="E49" s="0" t="s">
        <v>96</v>
      </c>
    </row>
    <row r="50" customFormat="false" ht="12.8" hidden="false" customHeight="false" outlineLevel="0" collapsed="false">
      <c r="A50" s="0" t="s">
        <v>97</v>
      </c>
      <c r="B50" s="0" t="n">
        <f aca="false">B7*B49/1000000</f>
        <v>22.4804928131417</v>
      </c>
      <c r="C50" s="0" t="n">
        <f aca="false">C7*C49/1000000</f>
        <v>45.968514715948</v>
      </c>
      <c r="D50" s="0" t="s">
        <v>28</v>
      </c>
      <c r="E50" s="0" t="s">
        <v>98</v>
      </c>
    </row>
    <row r="51" customFormat="false" ht="12.8" hidden="false" customHeight="false" outlineLevel="0" collapsed="false">
      <c r="A51" s="0" t="s">
        <v>99</v>
      </c>
      <c r="B51" s="0" t="n">
        <f aca="false">B16*B50*365.25*24*60*60/1000000000</f>
        <v>1.4188608</v>
      </c>
      <c r="C51" s="0" t="n">
        <f aca="false">C16*C50*365.25*24*60*60/1000000000</f>
        <v>2.901312</v>
      </c>
      <c r="D51" s="0" t="s">
        <v>58</v>
      </c>
      <c r="E51" s="0" t="s">
        <v>100</v>
      </c>
    </row>
    <row r="52" customFormat="false" ht="12.8" hidden="false" customHeight="false" outlineLevel="0" collapsed="false">
      <c r="A52" s="0" t="s">
        <v>101</v>
      </c>
      <c r="B52" s="0" t="n">
        <f aca="false">B15*B7*B49/1000000</f>
        <v>1.12402464065708</v>
      </c>
      <c r="C52" s="0" t="n">
        <f aca="false">C15*C7*C49/1000000</f>
        <v>2.2984257357974</v>
      </c>
      <c r="D52" s="0" t="s">
        <v>28</v>
      </c>
      <c r="E52" s="0" t="s">
        <v>98</v>
      </c>
    </row>
    <row r="53" customFormat="false" ht="12.8" hidden="false" customHeight="false" outlineLevel="0" collapsed="false">
      <c r="A53" s="0" t="s">
        <v>102</v>
      </c>
      <c r="B53" s="0" t="n">
        <f aca="false">B17*B52*365.25*24*60*60/1000000000</f>
        <v>0.07094304</v>
      </c>
      <c r="C53" s="0" t="n">
        <f aca="false">C17*C52*365.25*24*60*60/1000000000</f>
        <v>0.1450656</v>
      </c>
      <c r="D53" s="0" t="s">
        <v>58</v>
      </c>
      <c r="E53" s="0" t="s">
        <v>103</v>
      </c>
    </row>
    <row r="54" customFormat="false" ht="12.8" hidden="false" customHeight="false" outlineLevel="0" collapsed="false">
      <c r="A54" s="0" t="s">
        <v>104</v>
      </c>
      <c r="B54" s="0" t="n">
        <f aca="false">B7*(B49+B11)/(B45*1000000)</f>
        <v>1.3488295687885</v>
      </c>
      <c r="C54" s="0" t="n">
        <f aca="false">C7*(C49+C11)/(C45*1000000)</f>
        <v>2.75811088295688</v>
      </c>
      <c r="D54" s="0" t="s">
        <v>105</v>
      </c>
      <c r="E54" s="0" t="s">
        <v>106</v>
      </c>
    </row>
    <row r="55" customFormat="false" ht="12.8" hidden="false" customHeight="false" outlineLevel="0" collapsed="false">
      <c r="A55" s="0" t="s">
        <v>107</v>
      </c>
      <c r="B55" s="0" t="n">
        <f aca="false">B16*B54</f>
        <v>2.697659137577</v>
      </c>
      <c r="C55" s="0" t="n">
        <f aca="false">C16*C54</f>
        <v>5.51622176591376</v>
      </c>
      <c r="D55" s="0" t="s">
        <v>105</v>
      </c>
      <c r="E55" s="0" t="s">
        <v>108</v>
      </c>
    </row>
    <row r="56" customFormat="false" ht="12.8" hidden="false" customHeight="false" outlineLevel="0" collapsed="false">
      <c r="A56" s="0" t="s">
        <v>109</v>
      </c>
      <c r="B56" s="0" t="n">
        <f aca="false">B15*B54</f>
        <v>0.0674414784394251</v>
      </c>
      <c r="C56" s="0" t="n">
        <f aca="false">C15*C54</f>
        <v>0.137905544147844</v>
      </c>
      <c r="D56" s="0" t="s">
        <v>105</v>
      </c>
      <c r="E56" s="0" t="s">
        <v>110</v>
      </c>
    </row>
    <row r="57" customFormat="false" ht="12.8" hidden="false" customHeight="false" outlineLevel="0" collapsed="false">
      <c r="A57" s="0" t="s">
        <v>111</v>
      </c>
      <c r="B57" s="0" t="n">
        <f aca="false">B17*B56</f>
        <v>0.13488295687885</v>
      </c>
      <c r="C57" s="0" t="n">
        <f aca="false">C17*C56</f>
        <v>0.275811088295688</v>
      </c>
      <c r="D57" s="0" t="s">
        <v>105</v>
      </c>
      <c r="E57" s="0" t="s">
        <v>112</v>
      </c>
    </row>
    <row r="58" customFormat="false" ht="12.8" hidden="false" customHeight="false" outlineLevel="0" collapsed="false">
      <c r="A58" s="0" t="s">
        <v>113</v>
      </c>
      <c r="B58" s="0" t="n">
        <f aca="false">B7*B49/(10*1000000)</f>
        <v>2.24804928131417</v>
      </c>
      <c r="C58" s="0" t="n">
        <f aca="false">C7*C49/(10*1000000)</f>
        <v>4.5968514715948</v>
      </c>
      <c r="D58" s="0" t="s">
        <v>105</v>
      </c>
      <c r="E58" s="0" t="s">
        <v>114</v>
      </c>
    </row>
    <row r="59" customFormat="false" ht="12.8" hidden="false" customHeight="false" outlineLevel="0" collapsed="false">
      <c r="A59" s="0" t="s">
        <v>115</v>
      </c>
      <c r="B59" s="0" t="n">
        <f aca="false">B22*B58*B20</f>
        <v>1.12402464065708</v>
      </c>
      <c r="C59" s="0" t="n">
        <f aca="false">C22*C58*C20</f>
        <v>2.2984257357974</v>
      </c>
      <c r="D59" s="0" t="s">
        <v>105</v>
      </c>
      <c r="E59" s="0" t="s">
        <v>116</v>
      </c>
    </row>
    <row r="60" customFormat="false" ht="12.8" hidden="false" customHeight="false" outlineLevel="0" collapsed="false">
      <c r="A60" s="0" t="s">
        <v>117</v>
      </c>
      <c r="B60" s="0" t="n">
        <f aca="false">(B58+B59)*B24</f>
        <v>6.74414784394251</v>
      </c>
      <c r="C60" s="0" t="n">
        <f aca="false">(C58+C59)*C24</f>
        <v>13.7905544147844</v>
      </c>
      <c r="D60" s="0" t="s">
        <v>105</v>
      </c>
      <c r="E60" s="0" t="s">
        <v>118</v>
      </c>
    </row>
    <row r="61" customFormat="false" ht="12.8" hidden="false" customHeight="false" outlineLevel="0" collapsed="false">
      <c r="A61" s="0" t="s">
        <v>119</v>
      </c>
      <c r="B61" s="0" t="n">
        <f aca="false">B38/B45</f>
        <v>1.00533880903491</v>
      </c>
      <c r="C61" s="0" t="n">
        <f aca="false">C38/C45</f>
        <v>1.43901437371663</v>
      </c>
      <c r="D61" s="0" t="s">
        <v>105</v>
      </c>
      <c r="E61" s="0" t="s">
        <v>120</v>
      </c>
    </row>
    <row r="62" customFormat="false" ht="12.8" hidden="false" customHeight="false" outlineLevel="0" collapsed="false">
      <c r="A62" s="0" t="s">
        <v>121</v>
      </c>
      <c r="B62" s="0" t="n">
        <f aca="false">B47+B55+B57+B60+B61</f>
        <v>11.7060533880904</v>
      </c>
      <c r="C62" s="0" t="n">
        <f aca="false">C47+C55+C57+C60+C61</f>
        <v>23.3200273785079</v>
      </c>
      <c r="E62" s="0" t="s">
        <v>122</v>
      </c>
    </row>
    <row r="63" customFormat="false" ht="12.8" hidden="false" customHeight="false" outlineLevel="0" collapsed="false">
      <c r="A63" s="0" t="s">
        <v>123</v>
      </c>
      <c r="B63" s="3" t="n">
        <v>20</v>
      </c>
      <c r="C63" s="3" t="n">
        <v>20</v>
      </c>
      <c r="D63" s="0" t="s">
        <v>124</v>
      </c>
      <c r="E63" s="0" t="s">
        <v>125</v>
      </c>
    </row>
    <row r="64" customFormat="false" ht="12.8" hidden="false" customHeight="false" outlineLevel="0" collapsed="false">
      <c r="A64" s="0" t="s">
        <v>126</v>
      </c>
      <c r="B64" s="0" t="n">
        <f aca="false">B63*B41</f>
        <v>200</v>
      </c>
      <c r="C64" s="0" t="n">
        <f aca="false">C63*C41</f>
        <v>200</v>
      </c>
      <c r="D64" s="0" t="s">
        <v>124</v>
      </c>
      <c r="E64" s="0" t="s">
        <v>127</v>
      </c>
    </row>
    <row r="65" customFormat="false" ht="12.8" hidden="false" customHeight="false" outlineLevel="0" collapsed="false">
      <c r="A65" s="0" t="s">
        <v>128</v>
      </c>
      <c r="B65" s="0" t="n">
        <f aca="false">B14/1000+B51+B53+B27+B39</f>
        <v>8.91656634677618</v>
      </c>
      <c r="C65" s="0" t="n">
        <f aca="false">C14/1000+C51+C53+C27+C39</f>
        <v>16.2865330004107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2.8"/>
  <cols>
    <col collapsed="false" hidden="false" max="1" min="1" style="0" width="42.765306122449"/>
    <col collapsed="false" hidden="false" max="2" min="2" style="0" width="14.9744897959184"/>
    <col collapsed="false" hidden="false" max="3" min="3" style="0" width="8.63775510204082"/>
    <col collapsed="false" hidden="false" max="4" min="4" style="0" width="36"/>
    <col collapsed="false" hidden="false" max="1025" min="5" style="0" width="8.63775510204082"/>
  </cols>
  <sheetData>
    <row r="1" customFormat="false" ht="12.25" hidden="false" customHeight="true" outlineLevel="0" collapsed="false">
      <c r="B1" s="0" t="s">
        <v>2</v>
      </c>
      <c r="C1" s="0" t="s">
        <v>3</v>
      </c>
    </row>
    <row r="2" customFormat="false" ht="12.25" hidden="false" customHeight="true" outlineLevel="0" collapsed="false">
      <c r="A2" s="0" t="s">
        <v>129</v>
      </c>
      <c r="B2" s="3" t="n">
        <f aca="false">model!B5</f>
        <v>14.5714285714286</v>
      </c>
      <c r="C2" s="3" t="n">
        <f aca="false">model!C5</f>
        <v>10.4285714285714</v>
      </c>
    </row>
    <row r="3" customFormat="false" ht="12.25" hidden="false" customHeight="true" outlineLevel="0" collapsed="false">
      <c r="A3" s="0" t="s">
        <v>130</v>
      </c>
      <c r="B3" s="0" t="n">
        <f aca="false">7*B2</f>
        <v>102</v>
      </c>
      <c r="C3" s="0" t="n">
        <f aca="false">7*C2</f>
        <v>73</v>
      </c>
      <c r="D3" s="0" t="s">
        <v>131</v>
      </c>
      <c r="E3" s="3" t="n">
        <v>2</v>
      </c>
    </row>
    <row r="4" customFormat="false" ht="12.25" hidden="false" customHeight="true" outlineLevel="0" collapsed="false">
      <c r="A4" s="0" t="s">
        <v>132</v>
      </c>
      <c r="B4" s="0" t="n">
        <f aca="false">model!B6</f>
        <v>0.5</v>
      </c>
      <c r="C4" s="0" t="n">
        <f aca="false">model!C6</f>
        <v>0.5</v>
      </c>
      <c r="D4" s="0" t="s">
        <v>133</v>
      </c>
      <c r="E4" s="0" t="n">
        <f aca="false">24*60*60</f>
        <v>86400</v>
      </c>
    </row>
    <row r="5" customFormat="false" ht="12.25" hidden="false" customHeight="true" outlineLevel="0" collapsed="false">
      <c r="A5" s="0" t="s">
        <v>134</v>
      </c>
      <c r="B5" s="5" t="n">
        <f aca="false">B3*B4*$E$4</f>
        <v>4406400</v>
      </c>
      <c r="C5" s="5" t="n">
        <f aca="false">C3*C4*$E$4</f>
        <v>3153600</v>
      </c>
      <c r="D5" s="0" t="s">
        <v>135</v>
      </c>
      <c r="E5" s="0" t="n">
        <v>365.25</v>
      </c>
    </row>
    <row r="6" customFormat="false" ht="12.25" hidden="false" customHeight="true" outlineLevel="0" collapsed="false">
      <c r="A6" s="0" t="s">
        <v>136</v>
      </c>
      <c r="B6" s="0" t="n">
        <v>20000</v>
      </c>
      <c r="C6" s="0" t="n">
        <v>20000</v>
      </c>
      <c r="D6" s="0" t="s">
        <v>137</v>
      </c>
      <c r="E6" s="0" t="n">
        <v>10000</v>
      </c>
    </row>
    <row r="7" customFormat="false" ht="12.25" hidden="false" customHeight="true" outlineLevel="0" collapsed="false">
      <c r="A7" s="0" t="s">
        <v>138</v>
      </c>
      <c r="B7" s="5" t="n">
        <f aca="false">B5*B6</f>
        <v>88128000000</v>
      </c>
      <c r="C7" s="5" t="n">
        <f aca="false">C5*C6</f>
        <v>63072000000</v>
      </c>
      <c r="D7" s="0" t="s">
        <v>139</v>
      </c>
      <c r="E7" s="0" t="n">
        <v>2</v>
      </c>
    </row>
    <row r="8" customFormat="false" ht="12.25" hidden="false" customHeight="true" outlineLevel="0" collapsed="false">
      <c r="B8" s="5"/>
      <c r="C8" s="5"/>
      <c r="D8" s="0" t="s">
        <v>140</v>
      </c>
      <c r="E8" s="0" t="n">
        <v>18000</v>
      </c>
    </row>
    <row r="9" customFormat="false" ht="12.25" hidden="false" customHeight="true" outlineLevel="0" collapsed="false">
      <c r="A9" s="0" t="s">
        <v>141</v>
      </c>
      <c r="B9" s="0" t="n">
        <f aca="false">model!B9</f>
        <v>0.0705882352941176</v>
      </c>
      <c r="C9" s="0" t="n">
        <f aca="false">model!C9</f>
        <v>0.06</v>
      </c>
      <c r="D9" s="0" t="s">
        <v>142</v>
      </c>
      <c r="E9" s="0" t="n">
        <v>0.2</v>
      </c>
    </row>
    <row r="10" customFormat="false" ht="12.25" hidden="false" customHeight="true" outlineLevel="0" collapsed="false">
      <c r="A10" s="0" t="s">
        <v>143</v>
      </c>
      <c r="B10" s="0" t="n">
        <f aca="false">B7*B9/$E$4/$E$5</f>
        <v>197.125256673511</v>
      </c>
      <c r="C10" s="0" t="n">
        <f aca="false">C7*C9/$E$4/$E$5</f>
        <v>119.917864476386</v>
      </c>
    </row>
    <row r="11" customFormat="false" ht="12.25" hidden="false" customHeight="true" outlineLevel="0" collapsed="false">
      <c r="A11" s="0" t="s">
        <v>144</v>
      </c>
      <c r="B11" s="0" t="n">
        <f aca="false">B7*B9/$E$4/$E$6</f>
        <v>7.2</v>
      </c>
      <c r="C11" s="0" t="n">
        <f aca="false">C7*C9/$E$4/$E$6</f>
        <v>4.38</v>
      </c>
    </row>
    <row r="13" customFormat="false" ht="12.25" hidden="false" customHeight="true" outlineLevel="0" collapsed="false">
      <c r="A13" s="0" t="s">
        <v>145</v>
      </c>
      <c r="B13" s="0" t="n">
        <f aca="false">model!B28</f>
        <v>0.158944369470685</v>
      </c>
      <c r="C13" s="0" t="n">
        <f aca="false">model!C28</f>
        <v>0.158944369470685</v>
      </c>
    </row>
    <row r="14" customFormat="false" ht="12.25" hidden="false" customHeight="true" outlineLevel="0" collapsed="false">
      <c r="A14" s="0" t="s">
        <v>146</v>
      </c>
      <c r="B14" s="0" t="n">
        <f aca="false">B9</f>
        <v>0.0705882352941176</v>
      </c>
      <c r="C14" s="0" t="n">
        <f aca="false">C9</f>
        <v>0.06</v>
      </c>
    </row>
    <row r="15" customFormat="false" ht="12.25" hidden="false" customHeight="true" outlineLevel="0" collapsed="false">
      <c r="A15" s="0" t="s">
        <v>147</v>
      </c>
      <c r="B15" s="0" t="n">
        <f aca="false">B7*$E$7*(B14+B13)/$E$4/$E$6</f>
        <v>46.8246513720198</v>
      </c>
      <c r="C15" s="0" t="n">
        <f aca="false">C7*$E$7*(C14+C13)/$E$4/$E$6</f>
        <v>31.96587794272</v>
      </c>
    </row>
    <row r="17" customFormat="false" ht="12.25" hidden="false" customHeight="true" outlineLevel="0" collapsed="false">
      <c r="A17" s="0" t="s">
        <v>148</v>
      </c>
      <c r="B17" s="0" t="n">
        <f aca="false">B11+B15</f>
        <v>54.0246513720197</v>
      </c>
      <c r="C17" s="0" t="n">
        <f aca="false">C11+C15</f>
        <v>36.34587794272</v>
      </c>
    </row>
    <row r="23" customFormat="false" ht="12.25" hidden="false" customHeight="true" outlineLevel="0" collapsed="false">
      <c r="A23" s="0" t="s">
        <v>149</v>
      </c>
      <c r="B23" s="0" t="n">
        <f aca="false">B7*$E8</f>
        <v>1586304000000000</v>
      </c>
      <c r="C23" s="0" t="n">
        <f aca="false">C7*$E8</f>
        <v>1135296000000000</v>
      </c>
    </row>
    <row r="24" customFormat="false" ht="12.25" hidden="false" customHeight="true" outlineLevel="0" collapsed="false">
      <c r="A24" s="0" t="s">
        <v>150</v>
      </c>
      <c r="B24" s="0" t="n">
        <f aca="false">B23/1E+015</f>
        <v>1.586304</v>
      </c>
      <c r="C24" s="0" t="n">
        <f aca="false">C23/1E+015</f>
        <v>1.135296</v>
      </c>
    </row>
    <row r="25" customFormat="false" ht="12.25" hidden="false" customHeight="true" outlineLevel="0" collapsed="false">
      <c r="A25" s="0" t="s">
        <v>151</v>
      </c>
      <c r="B25" s="0" t="n">
        <f aca="false">B24*$E9</f>
        <v>0.3172608</v>
      </c>
      <c r="C25" s="0" t="n">
        <f aca="false">C24*$E9</f>
        <v>0.2270592</v>
      </c>
    </row>
    <row r="26" customFormat="false" ht="12.25" hidden="false" customHeight="true" outlineLevel="0" collapsed="false">
      <c r="A26" s="0" t="s">
        <v>152</v>
      </c>
      <c r="B26" s="0" t="n">
        <f aca="false">B24*(1+0.2*(2*1+2*2+2*0.05+5*0.1))</f>
        <v>3.68022528</v>
      </c>
      <c r="C26" s="0" t="n">
        <f aca="false">C24*(1+0.2*(2*1+2*2+2*0.05+5*0.1))</f>
        <v>2.63388672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</TotalTime>
  <Application>LibreOffice/4.3.7.2$Linux_X86_64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2015-02-05T18:55:24Z</dcterms:created>
  <dc:creator>Mark Ito</dc:creator>
  <dc:language>en-US</dc:language>
  <cp:lastModifiedBy>Mark Ito</cp:lastModifiedBy>
  <dcterms:modified xsi:type="dcterms:W3CDTF">2016-10-31T12:18:24Z</dcterms:modified>
  <cp:revision>5</cp:revision>
</cp:coreProperties>
</file>