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ham/Documents/JLabFiled.dtBase2/Files.noindex/xlsx/4/"/>
    </mc:Choice>
  </mc:AlternateContent>
  <bookViews>
    <workbookView xWindow="4400" yWindow="1520" windowWidth="28140" windowHeight="282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17" i="1"/>
  <c r="C39" i="1"/>
  <c r="C43" i="1"/>
  <c r="C44" i="1"/>
  <c r="C45" i="1"/>
  <c r="C46" i="1"/>
  <c r="C49" i="1"/>
  <c r="C19" i="1"/>
  <c r="C50" i="1"/>
  <c r="C53" i="1"/>
  <c r="C57" i="1"/>
  <c r="E12" i="1"/>
  <c r="E13" i="1"/>
  <c r="F12" i="1"/>
  <c r="F13" i="1"/>
  <c r="G12" i="1"/>
  <c r="G13" i="1"/>
  <c r="H12" i="1"/>
  <c r="H13" i="1"/>
  <c r="D12" i="1"/>
  <c r="D13" i="1"/>
  <c r="C38" i="1"/>
  <c r="C41" i="1"/>
  <c r="C42" i="1"/>
  <c r="C59" i="1"/>
  <c r="C60" i="1"/>
  <c r="C61" i="1"/>
  <c r="C62" i="1"/>
  <c r="C63" i="1"/>
  <c r="C47" i="1"/>
  <c r="C48" i="1"/>
  <c r="C52" i="1"/>
  <c r="C51" i="1"/>
  <c r="C54" i="1"/>
  <c r="C55" i="1"/>
  <c r="C56" i="1"/>
  <c r="H14" i="1"/>
  <c r="G14" i="1"/>
  <c r="F14" i="1"/>
  <c r="E14" i="1"/>
  <c r="D14" i="1"/>
  <c r="D10" i="1"/>
  <c r="C40" i="1"/>
  <c r="C64" i="1"/>
  <c r="C58" i="1"/>
  <c r="C66" i="1"/>
  <c r="C67" i="1"/>
  <c r="C65" i="1"/>
  <c r="C68" i="1"/>
  <c r="C69" i="1"/>
  <c r="C70" i="1"/>
  <c r="C71" i="1"/>
  <c r="C72" i="1"/>
  <c r="H10" i="1"/>
  <c r="G10" i="1"/>
  <c r="F10" i="1"/>
  <c r="E10" i="1"/>
</calcChain>
</file>

<file path=xl/sharedStrings.xml><?xml version="1.0" encoding="utf-8"?>
<sst xmlns="http://schemas.openxmlformats.org/spreadsheetml/2006/main" count="177" uniqueCount="138">
  <si>
    <t>parameter</t>
  </si>
  <si>
    <t>units</t>
  </si>
  <si>
    <t>comments</t>
  </si>
  <si>
    <t>running efficiency</t>
  </si>
  <si>
    <t>fraction of wall time when beam is on, either due to beam unavailable or detector not ready</t>
  </si>
  <si>
    <t>Time to reconstruct a single event on a 2.3 GHz Haswell</t>
  </si>
  <si>
    <t>DAQ event rate</t>
  </si>
  <si>
    <t>events/s</t>
  </si>
  <si>
    <t>raw data rate out of the counting room when beam is on</t>
  </si>
  <si>
    <t>raw event size</t>
  </si>
  <si>
    <t>bytes</t>
  </si>
  <si>
    <t>size of a single raw event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</si>
  <si>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</si>
  <si>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</si>
  <si>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</si>
  <si>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</si>
  <si>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</si>
  <si>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</si>
  <si>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</si>
  <si>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</si>
  <si>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</si>
  <si>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</si>
  <si>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stream repetition factor</t>
  </si>
  <si>
    <t>number of times streaming will be repeated</t>
  </si>
  <si>
    <t>MC/raw data event rate ratio</t>
  </si>
  <si>
    <t>ratio of number of Monte Carlo events needed to number of raw data events</t>
  </si>
  <si>
    <t>MC multiplicity factor</t>
  </si>
  <si>
    <t>number of times MC data will need to be generated</t>
  </si>
  <si>
    <t>analysis multiplicity factor</t>
  </si>
  <si>
    <t>number of analyses to be conducted</t>
  </si>
  <si>
    <t>data rate, tape to cache disk</t>
  </si>
  <si>
    <t>MB/s</t>
  </si>
  <si>
    <t>average rate from tape library to cache disk</t>
  </si>
  <si>
    <t>Pass 1 output to input size ratio</t>
  </si>
  <si>
    <t>ratio of output event size to input event size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</si>
  <si>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</si>
  <si>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</si>
  <si>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</si>
  <si>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</si>
  <si>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</si>
  <si>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number  of threads needed for all activities</t>
  </si>
  <si>
    <t>total number of threads needed for all activities</t>
  </si>
  <si>
    <t>total rate to tape</t>
  </si>
  <si>
    <t>Event rate averaged over time</t>
  </si>
  <si>
    <t>number of threads to keep up with the raw event rate</t>
  </si>
  <si>
    <t>raw instantaneous storage rate</t>
  </si>
  <si>
    <t>data rate when beam is on</t>
  </si>
  <si>
    <t>raw effective storage rate</t>
  </si>
  <si>
    <t>average data volume rate</t>
  </si>
  <si>
    <t>number of threads of calibration to keep up</t>
  </si>
  <si>
    <t>number of threads of reconstruction to keep up</t>
  </si>
  <si>
    <t>single stream CPU need</t>
  </si>
  <si>
    <t>number of threads for one stream to keep up</t>
  </si>
  <si>
    <t>number of threads for streaming to keep up</t>
  </si>
  <si>
    <t>single stream output data rate</t>
  </si>
  <si>
    <t>total stream output data rate</t>
  </si>
  <si>
    <t>MC event size</t>
  </si>
  <si>
    <t>size of a single generated Monte Carlo event</t>
  </si>
  <si>
    <t>MC effective event rate</t>
  </si>
  <si>
    <t>event rate averaged over time of MC event generation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</si>
  <si>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</si>
  <si>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</si>
  <si>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</si>
  <si>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</si>
  <si>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number of threads needed for analysis</t>
  </si>
  <si>
    <t>raw data recording tape need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</si>
  <si>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</si>
  <si>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</si>
  <si>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</si>
  <si>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</si>
  <si>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</si>
  <si>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</si>
  <si>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</si>
  <si>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</si>
  <si>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</si>
  <si>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</si>
  <si>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</si>
  <si>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</si>
  <si>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</si>
  <si>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</si>
  <si>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</si>
  <si>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</si>
  <si>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</si>
  <si>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</si>
  <si>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</si>
  <si>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</si>
  <si>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</si>
  <si>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</si>
  <si>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</si>
  <si>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</si>
  <si>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</si>
  <si>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</si>
  <si>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</si>
  <si>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</si>
  <si>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total CPU cores needed</t>
  </si>
  <si>
    <t>total CPU cores needed exclusive of MC</t>
  </si>
  <si>
    <t>k cores</t>
  </si>
  <si>
    <t>single Pass 1 CPU cores needed</t>
  </si>
  <si>
    <t>pass 0 CPU cores need</t>
  </si>
  <si>
    <t>pass 1 CPU cores need</t>
  </si>
  <si>
    <t>stream CPU core need</t>
  </si>
  <si>
    <t>MC CPU core ratio per event, generation</t>
  </si>
  <si>
    <t>ratio of CPU core time required for generating a Monte Carlo event to that needed for reconstruction</t>
  </si>
  <si>
    <t>MC CPU core ratio per event, reconstruction</t>
  </si>
  <si>
    <t>ratio of CPU core time to reconstruct Monte Carlo events to that to reconstruct real data</t>
  </si>
  <si>
    <t>MC CPU core need</t>
  </si>
  <si>
    <t>analysis CPU core need</t>
  </si>
  <si>
    <t>reconstruction CPU core time per event</t>
  </si>
  <si>
    <t>MC CPU core time per event, generation</t>
  </si>
  <si>
    <t>MC CPU core time per event, reconstruction</t>
  </si>
  <si>
    <t>stream/pass-1 CPU core ratio</t>
  </si>
  <si>
    <t>ratio of CPU core time required for a skim stream to that needed for reconstruction</t>
  </si>
  <si>
    <t>analysis/pass-1 CPU core ratio</t>
  </si>
  <si>
    <t>ratio of CPU core time required for performing a physics analysis to that needed for reconstruction</t>
  </si>
  <si>
    <t>cores</t>
  </si>
  <si>
    <t>core-s/event</t>
  </si>
  <si>
    <t>fy15</t>
  </si>
  <si>
    <t>FY16</t>
  </si>
  <si>
    <t>fy17</t>
  </si>
  <si>
    <t>fy18</t>
  </si>
  <si>
    <t>fy19</t>
  </si>
  <si>
    <t>weeks running</t>
  </si>
  <si>
    <t>weeks</t>
  </si>
  <si>
    <t>amount of running in a year</t>
  </si>
  <si>
    <t>events/yeae</t>
  </si>
  <si>
    <t>bytes/year</t>
  </si>
  <si>
    <t>TB/year</t>
  </si>
  <si>
    <t>PB/y</t>
  </si>
  <si>
    <t>TB/Q</t>
  </si>
  <si>
    <t>Rate of writing tape in TB per quarter year</t>
  </si>
  <si>
    <t>Notes</t>
  </si>
  <si>
    <t>Units</t>
  </si>
  <si>
    <t>effective event rate (per second)/ week running</t>
  </si>
  <si>
    <t>effective event rate (per year) / week running</t>
  </si>
  <si>
    <t>Input Constants</t>
  </si>
  <si>
    <t>Calculated values</t>
  </si>
  <si>
    <t>Value name</t>
  </si>
  <si>
    <t>Value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</si>
</sst>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2"/>
      <color indexed="15"/>
      <name val="Calibri"/>
    </font>
    <font>
      <sz val="12"/>
      <color rgb="FF006100"/>
      <name val="Helvetica"/>
      <family val="2"/>
      <scheme val="minor"/>
    </font>
    <font>
      <u/>
      <sz val="12"/>
      <color theme="10"/>
      <name val="Verdana"/>
    </font>
    <font>
      <u/>
      <sz val="12"/>
      <color theme="11"/>
      <name val="Verdana"/>
    </font>
    <font>
      <b/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10"/>
      </right>
      <top/>
      <bottom style="thin">
        <color indexed="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/>
      <top/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9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2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0" fontId="3" fillId="0" borderId="3" xfId="0" applyFont="1" applyBorder="1" applyAlignment="1"/>
    <xf numFmtId="0" fontId="3" fillId="0" borderId="4" xfId="0" applyNumberFormat="1" applyFont="1" applyBorder="1" applyAlignment="1"/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/>
    <xf numFmtId="0" fontId="2" fillId="0" borderId="4" xfId="0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2" xfId="0" applyNumberFormat="1" applyFont="1" applyBorder="1" applyAlignment="1"/>
    <xf numFmtId="165" fontId="2" fillId="0" borderId="2" xfId="0" applyNumberFormat="1" applyFont="1" applyBorder="1" applyAlignment="1"/>
    <xf numFmtId="11" fontId="2" fillId="0" borderId="2" xfId="0" applyNumberFormat="1" applyFont="1" applyBorder="1" applyAlignment="1"/>
    <xf numFmtId="1" fontId="2" fillId="0" borderId="2" xfId="0" applyNumberFormat="1" applyFont="1" applyBorder="1" applyAlignment="1"/>
    <xf numFmtId="2" fontId="2" fillId="0" borderId="2" xfId="0" applyNumberFormat="1" applyFont="1" applyBorder="1" applyAlignment="1"/>
    <xf numFmtId="0" fontId="2" fillId="0" borderId="0" xfId="0" applyNumberFormat="1" applyFont="1" applyAlignment="1"/>
    <xf numFmtId="0" fontId="2" fillId="5" borderId="2" xfId="0" applyNumberFormat="1" applyFont="1" applyFill="1" applyBorder="1" applyAlignment="1"/>
    <xf numFmtId="0" fontId="1" fillId="4" borderId="2" xfId="2" applyNumberFormat="1" applyBorder="1" applyAlignment="1"/>
    <xf numFmtId="164" fontId="1" fillId="4" borderId="2" xfId="2" applyNumberFormat="1" applyBorder="1" applyAlignment="1"/>
    <xf numFmtId="0" fontId="1" fillId="4" borderId="2" xfId="2" applyBorder="1" applyAlignment="1"/>
    <xf numFmtId="1" fontId="1" fillId="4" borderId="1" xfId="2" applyNumberFormat="1" applyBorder="1" applyAlignment="1"/>
    <xf numFmtId="1" fontId="1" fillId="4" borderId="2" xfId="2" applyNumberFormat="1" applyBorder="1" applyAlignment="1"/>
    <xf numFmtId="0" fontId="1" fillId="4" borderId="1" xfId="2" applyNumberFormat="1" applyBorder="1" applyAlignment="1"/>
    <xf numFmtId="0" fontId="2" fillId="0" borderId="0" xfId="0" applyNumberFormat="1" applyFont="1" applyBorder="1" applyAlignment="1"/>
    <xf numFmtId="0" fontId="2" fillId="0" borderId="6" xfId="0" applyNumberFormat="1" applyFont="1" applyBorder="1" applyAlignment="1"/>
    <xf numFmtId="0" fontId="2" fillId="0" borderId="8" xfId="0" applyNumberFormat="1" applyFont="1" applyBorder="1" applyAlignment="1"/>
    <xf numFmtId="165" fontId="2" fillId="0" borderId="9" xfId="0" applyNumberFormat="1" applyFont="1" applyBorder="1" applyAlignment="1"/>
    <xf numFmtId="0" fontId="3" fillId="0" borderId="7" xfId="0" applyFont="1" applyBorder="1" applyAlignment="1"/>
    <xf numFmtId="165" fontId="3" fillId="0" borderId="7" xfId="0" applyNumberFormat="1" applyFont="1" applyBorder="1" applyAlignment="1"/>
    <xf numFmtId="0" fontId="3" fillId="0" borderId="12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NumberFormat="1" applyFont="1" applyBorder="1" applyAlignment="1"/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7" xfId="0" applyNumberFormat="1" applyFont="1" applyBorder="1" applyAlignment="1"/>
    <xf numFmtId="0" fontId="2" fillId="0" borderId="7" xfId="0" applyFont="1" applyBorder="1" applyAlignment="1"/>
    <xf numFmtId="0" fontId="2" fillId="0" borderId="14" xfId="0" applyFont="1" applyBorder="1" applyAlignment="1">
      <alignment horizontal="center"/>
    </xf>
    <xf numFmtId="0" fontId="4" fillId="0" borderId="14" xfId="0" applyFont="1" applyBorder="1" applyAlignment="1"/>
    <xf numFmtId="0" fontId="2" fillId="2" borderId="7" xfId="0" applyNumberFormat="1" applyFont="1" applyFill="1" applyBorder="1" applyAlignment="1"/>
    <xf numFmtId="0" fontId="4" fillId="0" borderId="7" xfId="0" applyFont="1" applyBorder="1" applyAlignment="1"/>
    <xf numFmtId="0" fontId="8" fillId="0" borderId="2" xfId="0" applyFont="1" applyBorder="1" applyAlignment="1"/>
    <xf numFmtId="0" fontId="2" fillId="0" borderId="0" xfId="0" applyNumberFormat="1" applyFont="1" applyBorder="1" applyAlignment="1">
      <alignment horizontal="center"/>
    </xf>
    <xf numFmtId="0" fontId="5" fillId="6" borderId="2" xfId="1" applyNumberFormat="1" applyFill="1" applyBorder="1" applyAlignment="1"/>
    <xf numFmtId="0" fontId="5" fillId="6" borderId="3" xfId="1" applyNumberFormat="1" applyFill="1" applyBorder="1" applyAlignment="1"/>
    <xf numFmtId="2" fontId="5" fillId="6" borderId="2" xfId="1" applyNumberFormat="1" applyFill="1" applyBorder="1" applyAlignment="1"/>
    <xf numFmtId="1" fontId="5" fillId="6" borderId="2" xfId="1" applyNumberFormat="1" applyFill="1" applyBorder="1" applyAlignment="1"/>
    <xf numFmtId="1" fontId="5" fillId="0" borderId="0" xfId="1" applyNumberFormat="1" applyFill="1" applyBorder="1" applyAlignment="1"/>
    <xf numFmtId="2" fontId="2" fillId="6" borderId="2" xfId="0" applyNumberFormat="1" applyFont="1" applyFill="1" applyBorder="1" applyAlignment="1"/>
    <xf numFmtId="0" fontId="5" fillId="7" borderId="2" xfId="1" applyNumberFormat="1" applyFill="1" applyBorder="1" applyAlignment="1"/>
    <xf numFmtId="0" fontId="5" fillId="7" borderId="3" xfId="1" applyNumberFormat="1" applyFill="1" applyBorder="1" applyAlignment="1"/>
  </cellXfs>
  <cellStyles count="7">
    <cellStyle name="40% - Accent1" xfId="2" builtinId="31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83CAFF"/>
      <rgbColor rgb="FFC0C0C0"/>
      <rgbColor rgb="FFFFFFCC"/>
      <rgbColor rgb="FFFF5F5D"/>
      <rgbColor rgb="FF008000"/>
      <rgbColor rgb="FFCCFFCC"/>
      <rgbColor rgb="FFFFE06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0</xdr:row>
      <xdr:rowOff>406400</xdr:rowOff>
    </xdr:from>
    <xdr:ext cx="15214600" cy="1524392"/>
    <xdr:sp macro="" textlink="">
      <xdr:nvSpPr>
        <xdr:cNvPr id="3" name="TextBox 2"/>
        <xdr:cNvSpPr txBox="1"/>
      </xdr:nvSpPr>
      <xdr:spPr>
        <a:xfrm>
          <a:off x="647700" y="406400"/>
          <a:ext cx="15214600" cy="1524392"/>
        </a:xfrm>
        <a:prstGeom prst="rect">
          <a:avLst/>
        </a:prstGeom>
        <a:noFill/>
        <a:ln w="12700" cap="flat">
          <a:noFill/>
          <a:miter lim="400000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Arial" charset="0"/>
              <a:ea typeface="Arial" charset="0"/>
              <a:cs typeface="Arial" charset="0"/>
              <a:sym typeface="Helvetica"/>
            </a:rPr>
            <a:t>2016 GLUEX Computing Requirements Spreadsheet</a:t>
          </a: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All numbers involving processor cores in this table are </a:t>
          </a:r>
          <a:r>
            <a:rPr lang="en-US" sz="1100" u="none" baseline="0" smtClean="0">
              <a:latin typeface="+mn-lt"/>
              <a:ea typeface="+mn-ea"/>
              <a:cs typeface="+mn-cs"/>
            </a:rPr>
            <a:t>2.3 GHz Intel Xeon E5-2670v3 (Haswell) from the 2014 farm nodes.</a:t>
          </a: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 smtClean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 smtClean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Blue cells are inputs to the calculation. Green cells are the outputs of the calculation.</a:t>
          </a: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 smtClean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 smtClean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The calculation assumes that data is generated at a particular rate aand generates a volume that scales with the number of weeks of data production. The amount of processing required for MC, anaysis, reconstruction calibration etc also scales with weeks of running. </a:t>
          </a: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8"/>
  <sheetViews>
    <sheetView showGridLines="0" tabSelected="1" workbookViewId="0">
      <selection activeCell="C37" sqref="C37"/>
    </sheetView>
  </sheetViews>
  <sheetFormatPr baseColWidth="10" defaultColWidth="8.625" defaultRowHeight="12" customHeight="1" x14ac:dyDescent="0.15"/>
  <cols>
    <col min="1" max="1" width="6.5" style="1" customWidth="1"/>
    <col min="2" max="2" width="28.5" style="1" customWidth="1"/>
    <col min="3" max="3" width="12.875" style="1" customWidth="1"/>
    <col min="4" max="8" width="9.5" style="1" customWidth="1"/>
    <col min="9" max="9" width="7.75" style="1" customWidth="1"/>
    <col min="10" max="10" width="53.125" style="1" customWidth="1"/>
    <col min="11" max="255" width="8.625" style="1" customWidth="1"/>
  </cols>
  <sheetData>
    <row r="1" spans="1:255" ht="295" customHeight="1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</row>
    <row r="2" spans="1:255" ht="12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</row>
    <row r="3" spans="1:255" ht="16" customHeight="1" x14ac:dyDescent="0.15">
      <c r="B3" s="2" t="s">
        <v>0</v>
      </c>
      <c r="C3" s="3"/>
      <c r="D3" s="4" t="s">
        <v>116</v>
      </c>
      <c r="E3" s="5" t="s">
        <v>117</v>
      </c>
      <c r="F3" s="5" t="s">
        <v>118</v>
      </c>
      <c r="G3" s="5" t="s">
        <v>119</v>
      </c>
      <c r="H3" s="5" t="s">
        <v>120</v>
      </c>
      <c r="I3" s="6" t="s">
        <v>1</v>
      </c>
      <c r="J3" s="2" t="s">
        <v>2</v>
      </c>
    </row>
    <row r="4" spans="1:255" ht="16" customHeight="1" x14ac:dyDescent="0.2">
      <c r="B4" s="8" t="s">
        <v>121</v>
      </c>
      <c r="C4" s="7"/>
      <c r="D4" s="24">
        <v>2</v>
      </c>
      <c r="E4" s="24">
        <v>16</v>
      </c>
      <c r="F4" s="24">
        <v>25</v>
      </c>
      <c r="G4" s="24">
        <v>18</v>
      </c>
      <c r="H4" s="25">
        <v>22</v>
      </c>
      <c r="I4" s="9" t="s">
        <v>122</v>
      </c>
      <c r="J4" s="8" t="s">
        <v>123</v>
      </c>
    </row>
    <row r="5" spans="1:255" ht="16" customHeight="1" x14ac:dyDescent="0.2">
      <c r="B5" s="8" t="s">
        <v>3</v>
      </c>
      <c r="C5" s="7"/>
      <c r="D5" s="26">
        <v>0.5</v>
      </c>
      <c r="E5" s="26">
        <v>0.5</v>
      </c>
      <c r="F5" s="26">
        <v>0.5</v>
      </c>
      <c r="G5" s="26">
        <v>0.5</v>
      </c>
      <c r="H5" s="21">
        <v>0.5</v>
      </c>
      <c r="I5" s="9"/>
      <c r="J5" s="10" t="s">
        <v>4</v>
      </c>
    </row>
    <row r="6" spans="1:255" ht="16" customHeight="1" x14ac:dyDescent="0.2">
      <c r="A6" s="19"/>
      <c r="B6" s="8" t="s">
        <v>6</v>
      </c>
      <c r="C6" s="20"/>
      <c r="D6" s="21">
        <v>20000</v>
      </c>
      <c r="E6" s="21">
        <v>20000</v>
      </c>
      <c r="F6" s="21">
        <v>20000</v>
      </c>
      <c r="G6" s="21">
        <v>20000</v>
      </c>
      <c r="H6" s="21">
        <v>20000</v>
      </c>
      <c r="I6" s="9" t="s">
        <v>7</v>
      </c>
      <c r="J6" s="8" t="s">
        <v>8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</row>
    <row r="7" spans="1:255" ht="16" customHeight="1" x14ac:dyDescent="0.2">
      <c r="A7" s="19"/>
      <c r="B7" s="8" t="s">
        <v>9</v>
      </c>
      <c r="C7" s="20"/>
      <c r="D7" s="21">
        <v>18000</v>
      </c>
      <c r="E7" s="21">
        <v>18000</v>
      </c>
      <c r="F7" s="21">
        <v>18000</v>
      </c>
      <c r="G7" s="21">
        <v>18000</v>
      </c>
      <c r="H7" s="21">
        <v>18000</v>
      </c>
      <c r="I7" s="9" t="s">
        <v>10</v>
      </c>
      <c r="J7" s="8" t="s">
        <v>11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</row>
    <row r="8" spans="1:255" ht="19" customHeight="1" x14ac:dyDescent="0.2">
      <c r="B8" s="8" t="s">
        <v>35</v>
      </c>
      <c r="C8" s="8"/>
      <c r="D8" s="52">
        <v>20</v>
      </c>
      <c r="E8" s="53">
        <v>20</v>
      </c>
      <c r="F8" s="53">
        <v>20</v>
      </c>
      <c r="G8" s="53">
        <v>20</v>
      </c>
      <c r="H8" s="53">
        <v>20</v>
      </c>
      <c r="I8" s="9" t="s">
        <v>36</v>
      </c>
      <c r="J8" s="8" t="s">
        <v>37</v>
      </c>
    </row>
    <row r="10" spans="1:255" ht="19" customHeight="1" x14ac:dyDescent="0.2">
      <c r="B10" s="8" t="s">
        <v>38</v>
      </c>
      <c r="C10" s="8"/>
      <c r="D10" s="46">
        <f>D8*$C32</f>
        <v>200</v>
      </c>
      <c r="E10" s="47">
        <f>E8*$C32</f>
        <v>200</v>
      </c>
      <c r="F10" s="47">
        <f>F8*$C32</f>
        <v>200</v>
      </c>
      <c r="G10" s="47">
        <f>G8*$C32</f>
        <v>200</v>
      </c>
      <c r="H10" s="47">
        <f>H8*$C32</f>
        <v>200</v>
      </c>
      <c r="I10" s="9" t="s">
        <v>36</v>
      </c>
      <c r="J10" s="8" t="s">
        <v>39</v>
      </c>
    </row>
    <row r="11" spans="1:255" ht="19" customHeight="1" x14ac:dyDescent="0.2">
      <c r="B11" s="7"/>
      <c r="C11" s="8"/>
      <c r="D11" s="12"/>
      <c r="E11" s="13"/>
      <c r="F11" s="13"/>
      <c r="G11" s="13"/>
      <c r="H11" s="13"/>
      <c r="I11" s="11"/>
      <c r="J11" s="7"/>
    </row>
    <row r="12" spans="1:255" ht="19" customHeight="1" x14ac:dyDescent="0.2">
      <c r="B12" s="8" t="s">
        <v>94</v>
      </c>
      <c r="C12" s="8"/>
      <c r="D12" s="48">
        <f>D4*($C43+$C44+$C46+$C53+$C57)/1000</f>
        <v>0.38474867774251759</v>
      </c>
      <c r="E12" s="48">
        <f>E4*($C43+$C44+$C46+$C53+$C57)/1000</f>
        <v>3.0779894219401407</v>
      </c>
      <c r="F12" s="48">
        <f>F4*($C43+$C44+$C46+$C53+$C57)/1000</f>
        <v>4.8093584717814704</v>
      </c>
      <c r="G12" s="48">
        <f>G4*($C43+$C44+$C46+$C53+$C57)/1000</f>
        <v>3.4627380996826584</v>
      </c>
      <c r="H12" s="48">
        <f>H4*($C43+$C44+$C46+$C53+$C57)/1000</f>
        <v>4.2322354551676939</v>
      </c>
      <c r="I12" s="9" t="s">
        <v>96</v>
      </c>
      <c r="J12" s="8" t="s">
        <v>40</v>
      </c>
    </row>
    <row r="13" spans="1:255" ht="16" customHeight="1" x14ac:dyDescent="0.15">
      <c r="B13" s="8" t="s">
        <v>95</v>
      </c>
      <c r="C13" s="8"/>
      <c r="D13" s="51">
        <f>D12-$C53*D4/1000</f>
        <v>7.1433015991537563E-2</v>
      </c>
      <c r="E13" s="51">
        <f>E12-$C53*E4/1000</f>
        <v>0.5714641279323005</v>
      </c>
      <c r="F13" s="51">
        <f>F12-$C53*F4/1000</f>
        <v>0.89291269989421984</v>
      </c>
      <c r="G13" s="51">
        <f>G12-$C53*G4/1000</f>
        <v>0.64289714392383823</v>
      </c>
      <c r="H13" s="51">
        <f>H12-$C53*H4/1000</f>
        <v>0.78576317590691369</v>
      </c>
      <c r="I13" s="9" t="s">
        <v>96</v>
      </c>
      <c r="J13" s="8" t="s">
        <v>41</v>
      </c>
    </row>
    <row r="14" spans="1:255" ht="16" customHeight="1" x14ac:dyDescent="0.2">
      <c r="B14" s="8" t="s">
        <v>42</v>
      </c>
      <c r="C14" s="8"/>
      <c r="D14" s="49">
        <f>D4*($C42/1000+$C61+$C63+$C48+$C56)*1000/4</f>
        <v>186.08292665297736</v>
      </c>
      <c r="E14" s="49">
        <f>E4*($C42/1000+$C61+$C63+$C48+$C56)*1000/4</f>
        <v>1488.6634132238189</v>
      </c>
      <c r="F14" s="49">
        <f>F4*($C42/1000+$C61+$C63+$C48+$C56)*1000/4</f>
        <v>2326.0365831622175</v>
      </c>
      <c r="G14" s="49">
        <f>G4*($C42/1000+$C61+$C63+$C48+$C56)*1000/4</f>
        <v>1674.7463398767964</v>
      </c>
      <c r="H14" s="49">
        <f>H4*($C42/1000+$C61+$C63+$C48+$C56)*1000/4</f>
        <v>2046.912193182751</v>
      </c>
      <c r="I14" s="9" t="s">
        <v>128</v>
      </c>
      <c r="J14" s="8" t="s">
        <v>129</v>
      </c>
    </row>
    <row r="15" spans="1:255" ht="16" customHeight="1" x14ac:dyDescent="0.2">
      <c r="A15" s="19"/>
      <c r="B15" s="8"/>
      <c r="C15" s="28"/>
      <c r="D15" s="50"/>
      <c r="E15" s="50"/>
      <c r="F15" s="50"/>
      <c r="G15" s="50"/>
      <c r="H15" s="50"/>
      <c r="I15" s="45"/>
      <c r="J15" s="2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</row>
    <row r="16" spans="1:255" ht="16" customHeight="1" x14ac:dyDescent="0.2">
      <c r="B16" s="7" t="s">
        <v>137</v>
      </c>
      <c r="C16" s="44" t="s">
        <v>134</v>
      </c>
      <c r="D16" s="32" t="s">
        <v>131</v>
      </c>
      <c r="E16" s="33" t="s">
        <v>130</v>
      </c>
      <c r="F16" s="34"/>
      <c r="G16" s="34"/>
      <c r="H16" s="34"/>
      <c r="I16" s="34"/>
      <c r="J16" s="35"/>
    </row>
    <row r="17" spans="2:10" ht="16" customHeight="1" x14ac:dyDescent="0.2">
      <c r="B17" s="8" t="s">
        <v>107</v>
      </c>
      <c r="C17" s="22">
        <f>1/22</f>
        <v>4.5454545454545456E-2</v>
      </c>
      <c r="D17" s="37" t="s">
        <v>115</v>
      </c>
      <c r="E17" s="42" t="s">
        <v>5</v>
      </c>
      <c r="F17" s="42"/>
      <c r="G17" s="42"/>
      <c r="H17" s="42"/>
      <c r="I17" s="42"/>
      <c r="J17" s="42"/>
    </row>
    <row r="18" spans="2:10" ht="16" customHeight="1" x14ac:dyDescent="0.2">
      <c r="B18" s="8" t="s">
        <v>108</v>
      </c>
      <c r="C18" s="22">
        <v>0.15890000000000001</v>
      </c>
      <c r="D18" s="37" t="s">
        <v>115</v>
      </c>
      <c r="E18" s="39"/>
      <c r="F18" s="39"/>
      <c r="G18" s="39"/>
      <c r="H18" s="39"/>
      <c r="I18" s="39"/>
      <c r="J18" s="39"/>
    </row>
    <row r="19" spans="2:10" ht="16" customHeight="1" x14ac:dyDescent="0.2">
      <c r="B19" s="8" t="s">
        <v>109</v>
      </c>
      <c r="C19" s="22">
        <f>1/22</f>
        <v>4.5454545454545456E-2</v>
      </c>
      <c r="D19" s="37" t="s">
        <v>115</v>
      </c>
      <c r="E19" s="39"/>
      <c r="F19" s="39"/>
      <c r="G19" s="39"/>
      <c r="H19" s="39"/>
      <c r="I19" s="39"/>
      <c r="J19" s="39"/>
    </row>
    <row r="20" spans="2:10" ht="16" customHeight="1" x14ac:dyDescent="0.2">
      <c r="B20" s="7"/>
      <c r="C20" s="23"/>
      <c r="D20" s="40"/>
      <c r="E20" s="39"/>
      <c r="F20" s="39"/>
      <c r="G20" s="39"/>
      <c r="H20" s="39"/>
      <c r="I20" s="39"/>
      <c r="J20" s="39"/>
    </row>
    <row r="21" spans="2:10" ht="16" customHeight="1" x14ac:dyDescent="0.2">
      <c r="B21" s="8" t="s">
        <v>12</v>
      </c>
      <c r="C21" s="21">
        <v>0.05</v>
      </c>
      <c r="D21" s="37"/>
      <c r="E21" s="38" t="s">
        <v>13</v>
      </c>
      <c r="F21" s="38"/>
      <c r="G21" s="38"/>
      <c r="H21" s="38"/>
      <c r="I21" s="38"/>
      <c r="J21" s="38"/>
    </row>
    <row r="22" spans="2:10" ht="16" customHeight="1" x14ac:dyDescent="0.2">
      <c r="B22" s="8" t="s">
        <v>14</v>
      </c>
      <c r="C22" s="21">
        <v>2</v>
      </c>
      <c r="D22" s="37"/>
      <c r="E22" s="38" t="s">
        <v>15</v>
      </c>
      <c r="F22" s="38"/>
      <c r="G22" s="38"/>
      <c r="H22" s="38"/>
      <c r="I22" s="38"/>
      <c r="J22" s="38"/>
    </row>
    <row r="23" spans="2:10" ht="16" customHeight="1" x14ac:dyDescent="0.2">
      <c r="B23" s="8" t="s">
        <v>16</v>
      </c>
      <c r="C23" s="21">
        <v>2</v>
      </c>
      <c r="D23" s="37"/>
      <c r="E23" s="38" t="s">
        <v>17</v>
      </c>
      <c r="F23" s="38"/>
      <c r="G23" s="38"/>
      <c r="H23" s="38"/>
      <c r="I23" s="38"/>
      <c r="J23" s="38"/>
    </row>
    <row r="24" spans="2:10" ht="16" customHeight="1" x14ac:dyDescent="0.2">
      <c r="B24" s="7"/>
      <c r="C24" s="23"/>
      <c r="D24" s="40"/>
      <c r="E24" s="39"/>
      <c r="F24" s="39"/>
      <c r="G24" s="39"/>
      <c r="H24" s="39"/>
      <c r="I24" s="39"/>
      <c r="J24" s="39"/>
    </row>
    <row r="25" spans="2:10" ht="16" customHeight="1" x14ac:dyDescent="0.2">
      <c r="B25" s="8" t="s">
        <v>110</v>
      </c>
      <c r="C25" s="21">
        <v>0.1</v>
      </c>
      <c r="D25" s="37"/>
      <c r="E25" s="38" t="s">
        <v>111</v>
      </c>
      <c r="F25" s="38"/>
      <c r="G25" s="38"/>
      <c r="H25" s="38"/>
      <c r="I25" s="38"/>
      <c r="J25" s="38"/>
    </row>
    <row r="26" spans="2:10" ht="16" customHeight="1" x14ac:dyDescent="0.2">
      <c r="B26" s="8" t="s">
        <v>18</v>
      </c>
      <c r="C26" s="21">
        <v>0.1</v>
      </c>
      <c r="D26" s="37"/>
      <c r="E26" s="38" t="s">
        <v>19</v>
      </c>
      <c r="F26" s="38"/>
      <c r="G26" s="38"/>
      <c r="H26" s="38"/>
      <c r="I26" s="38"/>
      <c r="J26" s="38"/>
    </row>
    <row r="27" spans="2:10" ht="16" customHeight="1" x14ac:dyDescent="0.2">
      <c r="B27" s="8" t="s">
        <v>20</v>
      </c>
      <c r="C27" s="21">
        <v>5</v>
      </c>
      <c r="D27" s="37"/>
      <c r="E27" s="38" t="s">
        <v>21</v>
      </c>
      <c r="F27" s="38"/>
      <c r="G27" s="38"/>
      <c r="H27" s="38"/>
      <c r="I27" s="38"/>
      <c r="J27" s="38"/>
    </row>
    <row r="28" spans="2:10" ht="16" customHeight="1" x14ac:dyDescent="0.2">
      <c r="B28" s="8" t="s">
        <v>22</v>
      </c>
      <c r="C28" s="21">
        <v>2</v>
      </c>
      <c r="D28" s="37"/>
      <c r="E28" s="38" t="s">
        <v>23</v>
      </c>
      <c r="F28" s="38"/>
      <c r="G28" s="38"/>
      <c r="H28" s="38"/>
      <c r="I28" s="38"/>
      <c r="J28" s="38"/>
    </row>
    <row r="29" spans="2:10" ht="16" customHeight="1" x14ac:dyDescent="0.2">
      <c r="B29" s="8" t="s">
        <v>24</v>
      </c>
      <c r="C29" s="21">
        <v>2</v>
      </c>
      <c r="D29" s="37"/>
      <c r="E29" s="38" t="s">
        <v>25</v>
      </c>
      <c r="F29" s="38"/>
      <c r="G29" s="38"/>
      <c r="H29" s="38"/>
      <c r="I29" s="38"/>
      <c r="J29" s="38"/>
    </row>
    <row r="30" spans="2:10" ht="16" customHeight="1" x14ac:dyDescent="0.2">
      <c r="B30" s="8" t="s">
        <v>26</v>
      </c>
      <c r="C30" s="21">
        <v>2</v>
      </c>
      <c r="D30" s="37"/>
      <c r="E30" s="38" t="s">
        <v>27</v>
      </c>
      <c r="F30" s="38"/>
      <c r="G30" s="38"/>
      <c r="H30" s="38"/>
      <c r="I30" s="38"/>
      <c r="J30" s="38"/>
    </row>
    <row r="31" spans="2:10" ht="16" customHeight="1" x14ac:dyDescent="0.2">
      <c r="B31" s="8" t="s">
        <v>112</v>
      </c>
      <c r="C31" s="21">
        <v>0.1</v>
      </c>
      <c r="D31" s="37"/>
      <c r="E31" s="38" t="s">
        <v>113</v>
      </c>
      <c r="F31" s="38"/>
      <c r="G31" s="38"/>
      <c r="H31" s="38"/>
      <c r="I31" s="38"/>
      <c r="J31" s="38"/>
    </row>
    <row r="32" spans="2:10" ht="16" customHeight="1" x14ac:dyDescent="0.2">
      <c r="B32" s="8" t="s">
        <v>28</v>
      </c>
      <c r="C32" s="21">
        <v>10</v>
      </c>
      <c r="D32" s="37"/>
      <c r="E32" s="38" t="s">
        <v>29</v>
      </c>
      <c r="F32" s="38"/>
      <c r="G32" s="38"/>
      <c r="H32" s="38"/>
      <c r="I32" s="38"/>
      <c r="J32" s="38"/>
    </row>
    <row r="33" spans="1:10" ht="16" customHeight="1" x14ac:dyDescent="0.2">
      <c r="B33" s="8" t="s">
        <v>30</v>
      </c>
      <c r="C33" s="21">
        <v>160</v>
      </c>
      <c r="D33" s="37" t="s">
        <v>31</v>
      </c>
      <c r="E33" s="38" t="s">
        <v>32</v>
      </c>
      <c r="F33" s="38"/>
      <c r="G33" s="38"/>
      <c r="H33" s="38"/>
      <c r="I33" s="38"/>
      <c r="J33" s="38"/>
    </row>
    <row r="34" spans="1:10" ht="16" customHeight="1" x14ac:dyDescent="0.2">
      <c r="B34" s="8" t="s">
        <v>33</v>
      </c>
      <c r="C34" s="21">
        <v>0.2</v>
      </c>
      <c r="D34" s="37"/>
      <c r="E34" s="38" t="s">
        <v>34</v>
      </c>
      <c r="F34" s="38"/>
      <c r="G34" s="38"/>
      <c r="H34" s="38"/>
      <c r="I34" s="38"/>
      <c r="J34" s="38"/>
    </row>
    <row r="35" spans="1:10" ht="19" customHeight="1" x14ac:dyDescent="0.2">
      <c r="B35" s="7"/>
      <c r="D35" s="41"/>
      <c r="E35" s="43"/>
      <c r="F35" s="43"/>
      <c r="G35" s="43"/>
      <c r="H35" s="43"/>
      <c r="I35" s="43"/>
      <c r="J35" s="43"/>
    </row>
    <row r="36" spans="1:10" ht="19" customHeight="1" x14ac:dyDescent="0.15">
      <c r="A36" s="19"/>
      <c r="B36" s="31" t="s">
        <v>136</v>
      </c>
      <c r="C36" s="31" t="s">
        <v>135</v>
      </c>
      <c r="D36" s="32" t="s">
        <v>131</v>
      </c>
      <c r="E36" s="33" t="s">
        <v>130</v>
      </c>
      <c r="F36" s="34"/>
      <c r="G36" s="34"/>
      <c r="H36" s="34"/>
      <c r="I36" s="34"/>
      <c r="J36" s="35"/>
    </row>
    <row r="37" spans="1:10" ht="19" customHeight="1" x14ac:dyDescent="0.15">
      <c r="B37" s="29" t="s">
        <v>132</v>
      </c>
      <c r="C37" s="30">
        <f>D6/(365.25/7)*D5</f>
        <v>191.6495550992471</v>
      </c>
      <c r="D37" s="36" t="s">
        <v>7</v>
      </c>
      <c r="E37" s="38" t="s">
        <v>43</v>
      </c>
      <c r="F37" s="38"/>
      <c r="G37" s="38"/>
      <c r="H37" s="38"/>
      <c r="I37" s="38"/>
      <c r="J37" s="38"/>
    </row>
    <row r="38" spans="1:10" ht="19" customHeight="1" x14ac:dyDescent="0.15">
      <c r="B38" s="8" t="s">
        <v>133</v>
      </c>
      <c r="C38" s="16">
        <f>C37*365*24*60*60</f>
        <v>6043860369.6098557</v>
      </c>
      <c r="D38" s="37" t="s">
        <v>124</v>
      </c>
      <c r="E38" s="38" t="s">
        <v>43</v>
      </c>
      <c r="F38" s="38"/>
      <c r="G38" s="38"/>
      <c r="H38" s="38"/>
      <c r="I38" s="38"/>
      <c r="J38" s="38"/>
    </row>
    <row r="39" spans="1:10" ht="19" customHeight="1" x14ac:dyDescent="0.15">
      <c r="B39" s="8" t="s">
        <v>97</v>
      </c>
      <c r="C39" s="17">
        <f>C37*$C17</f>
        <v>8.7113434136021404</v>
      </c>
      <c r="D39" s="37" t="s">
        <v>114</v>
      </c>
      <c r="E39" s="38" t="s">
        <v>44</v>
      </c>
      <c r="F39" s="38"/>
      <c r="G39" s="38"/>
      <c r="H39" s="38"/>
      <c r="I39" s="38"/>
      <c r="J39" s="38"/>
    </row>
    <row r="40" spans="1:10" ht="19" customHeight="1" x14ac:dyDescent="0.15">
      <c r="B40" s="8" t="s">
        <v>45</v>
      </c>
      <c r="C40" s="14">
        <f>D6*D7/1000000</f>
        <v>360</v>
      </c>
      <c r="D40" s="37" t="s">
        <v>31</v>
      </c>
      <c r="E40" s="38" t="s">
        <v>46</v>
      </c>
      <c r="F40" s="38"/>
      <c r="G40" s="38"/>
      <c r="H40" s="38"/>
      <c r="I40" s="38"/>
      <c r="J40" s="38"/>
    </row>
    <row r="41" spans="1:10" ht="19" customHeight="1" x14ac:dyDescent="0.15">
      <c r="B41" s="8" t="s">
        <v>47</v>
      </c>
      <c r="C41" s="16">
        <f>C38*D7*2</f>
        <v>217578973305954.81</v>
      </c>
      <c r="D41" s="37" t="s">
        <v>125</v>
      </c>
      <c r="E41" s="38" t="s">
        <v>48</v>
      </c>
      <c r="F41" s="38"/>
      <c r="G41" s="38"/>
      <c r="H41" s="38"/>
      <c r="I41" s="38"/>
      <c r="J41" s="38"/>
    </row>
    <row r="42" spans="1:10" ht="19" customHeight="1" x14ac:dyDescent="0.15">
      <c r="B42" s="8" t="s">
        <v>47</v>
      </c>
      <c r="C42" s="17">
        <f>C41/1000000000000</f>
        <v>217.5789733059548</v>
      </c>
      <c r="D42" s="37" t="s">
        <v>126</v>
      </c>
      <c r="E42" s="38" t="s">
        <v>48</v>
      </c>
      <c r="F42" s="38"/>
      <c r="G42" s="38"/>
      <c r="H42" s="38"/>
      <c r="I42" s="38"/>
      <c r="J42" s="38"/>
    </row>
    <row r="43" spans="1:10" ht="19" customHeight="1" x14ac:dyDescent="0.15">
      <c r="B43" s="8" t="s">
        <v>98</v>
      </c>
      <c r="C43" s="17">
        <f>$C21*$C23*C39</f>
        <v>0.87113434136021406</v>
      </c>
      <c r="D43" s="37" t="s">
        <v>114</v>
      </c>
      <c r="E43" s="38" t="s">
        <v>49</v>
      </c>
      <c r="F43" s="38"/>
      <c r="G43" s="38"/>
      <c r="H43" s="38"/>
      <c r="I43" s="38"/>
      <c r="J43" s="38"/>
    </row>
    <row r="44" spans="1:10" ht="19" customHeight="1" x14ac:dyDescent="0.15">
      <c r="B44" s="8" t="s">
        <v>99</v>
      </c>
      <c r="C44" s="17">
        <f>$C22*C39</f>
        <v>17.422686827204281</v>
      </c>
      <c r="D44" s="37" t="s">
        <v>114</v>
      </c>
      <c r="E44" s="38" t="s">
        <v>50</v>
      </c>
      <c r="F44" s="38"/>
      <c r="G44" s="38"/>
      <c r="H44" s="38"/>
      <c r="I44" s="38"/>
      <c r="J44" s="38"/>
    </row>
    <row r="45" spans="1:10" ht="19" customHeight="1" x14ac:dyDescent="0.15">
      <c r="B45" s="8" t="s">
        <v>51</v>
      </c>
      <c r="C45" s="17">
        <f>$C25*C39</f>
        <v>0.87113434136021406</v>
      </c>
      <c r="D45" s="37" t="s">
        <v>114</v>
      </c>
      <c r="E45" s="38" t="s">
        <v>52</v>
      </c>
      <c r="F45" s="38"/>
      <c r="G45" s="38"/>
      <c r="H45" s="38"/>
      <c r="I45" s="38"/>
      <c r="J45" s="38"/>
    </row>
    <row r="46" spans="1:10" ht="19" customHeight="1" x14ac:dyDescent="0.15">
      <c r="B46" s="8" t="s">
        <v>100</v>
      </c>
      <c r="C46" s="17">
        <f>$C27*C45*$C28</f>
        <v>8.7113434136021404</v>
      </c>
      <c r="D46" s="37" t="s">
        <v>114</v>
      </c>
      <c r="E46" s="38" t="s">
        <v>53</v>
      </c>
      <c r="F46" s="38"/>
      <c r="G46" s="38"/>
      <c r="H46" s="38"/>
      <c r="I46" s="38"/>
      <c r="J46" s="38"/>
    </row>
    <row r="47" spans="1:10" ht="19" customHeight="1" x14ac:dyDescent="0.15">
      <c r="B47" s="8" t="s">
        <v>54</v>
      </c>
      <c r="C47" s="18">
        <f>C60*$C26</f>
        <v>6.899383983572896E-2</v>
      </c>
      <c r="D47" s="37" t="s">
        <v>31</v>
      </c>
      <c r="E47" s="39"/>
      <c r="F47" s="39"/>
      <c r="G47" s="39"/>
      <c r="H47" s="39"/>
      <c r="I47" s="39"/>
      <c r="J47" s="39"/>
    </row>
    <row r="48" spans="1:10" ht="19" customHeight="1" x14ac:dyDescent="0.15">
      <c r="B48" s="8" t="s">
        <v>55</v>
      </c>
      <c r="C48" s="18">
        <f>C47*$C27*$C28*365.25*24*60*60/1000000000</f>
        <v>2.1772799999999998E-2</v>
      </c>
      <c r="D48" s="37" t="s">
        <v>127</v>
      </c>
      <c r="E48" s="39"/>
      <c r="F48" s="39"/>
      <c r="G48" s="39"/>
      <c r="H48" s="39"/>
      <c r="I48" s="39"/>
      <c r="J48" s="39"/>
    </row>
    <row r="49" spans="2:10" ht="19" customHeight="1" x14ac:dyDescent="0.15">
      <c r="B49" s="8" t="s">
        <v>101</v>
      </c>
      <c r="C49" s="18">
        <f>$C18/$C17</f>
        <v>3.4958</v>
      </c>
      <c r="D49" s="37" t="s">
        <v>115</v>
      </c>
      <c r="E49" s="38" t="s">
        <v>102</v>
      </c>
      <c r="F49" s="38"/>
      <c r="G49" s="38"/>
      <c r="H49" s="38"/>
      <c r="I49" s="38"/>
      <c r="J49" s="38"/>
    </row>
    <row r="50" spans="2:10" ht="19" customHeight="1" x14ac:dyDescent="0.15">
      <c r="B50" s="8" t="s">
        <v>103</v>
      </c>
      <c r="C50" s="18">
        <f>$C19/$C17</f>
        <v>1</v>
      </c>
      <c r="D50" s="37"/>
      <c r="E50" s="38" t="s">
        <v>104</v>
      </c>
      <c r="F50" s="38"/>
      <c r="G50" s="38"/>
      <c r="H50" s="38"/>
      <c r="I50" s="38"/>
      <c r="J50" s="38"/>
    </row>
    <row r="51" spans="2:10" ht="19" customHeight="1" x14ac:dyDescent="0.15">
      <c r="B51" s="8" t="s">
        <v>56</v>
      </c>
      <c r="C51" s="14">
        <f>D7</f>
        <v>18000</v>
      </c>
      <c r="D51" s="37" t="s">
        <v>10</v>
      </c>
      <c r="E51" s="38" t="s">
        <v>57</v>
      </c>
      <c r="F51" s="38"/>
      <c r="G51" s="38"/>
      <c r="H51" s="38"/>
      <c r="I51" s="38"/>
      <c r="J51" s="38"/>
    </row>
    <row r="52" spans="2:10" ht="19" customHeight="1" x14ac:dyDescent="0.15">
      <c r="B52" s="8" t="s">
        <v>58</v>
      </c>
      <c r="C52" s="17">
        <f>C37*$C29*$C30</f>
        <v>766.59822039698838</v>
      </c>
      <c r="D52" s="37" t="s">
        <v>7</v>
      </c>
      <c r="E52" s="38" t="s">
        <v>59</v>
      </c>
      <c r="F52" s="38"/>
      <c r="G52" s="38"/>
      <c r="H52" s="38"/>
      <c r="I52" s="38"/>
      <c r="J52" s="38"/>
    </row>
    <row r="53" spans="2:10" ht="19" customHeight="1" x14ac:dyDescent="0.15">
      <c r="B53" s="8" t="s">
        <v>105</v>
      </c>
      <c r="C53" s="17">
        <f>$C29*C39*(C49+C50)*$C30</f>
        <v>156.65783087549002</v>
      </c>
      <c r="D53" s="37" t="s">
        <v>114</v>
      </c>
      <c r="E53" s="38" t="s">
        <v>60</v>
      </c>
      <c r="F53" s="38"/>
      <c r="G53" s="38"/>
      <c r="H53" s="38"/>
      <c r="I53" s="38"/>
      <c r="J53" s="38"/>
    </row>
    <row r="54" spans="2:10" ht="19" customHeight="1" x14ac:dyDescent="0.15">
      <c r="B54" s="8" t="s">
        <v>61</v>
      </c>
      <c r="C54" s="14">
        <f>C51*$C34</f>
        <v>3600</v>
      </c>
      <c r="D54" s="37" t="s">
        <v>10</v>
      </c>
      <c r="E54" s="38" t="s">
        <v>62</v>
      </c>
      <c r="F54" s="38"/>
      <c r="G54" s="38"/>
      <c r="H54" s="38"/>
      <c r="I54" s="38"/>
      <c r="J54" s="38"/>
    </row>
    <row r="55" spans="2:10" ht="19" customHeight="1" x14ac:dyDescent="0.15">
      <c r="B55" s="8" t="s">
        <v>63</v>
      </c>
      <c r="C55" s="15">
        <f>C52*C54/1000000</f>
        <v>2.7597535934291582</v>
      </c>
      <c r="D55" s="37" t="s">
        <v>31</v>
      </c>
      <c r="E55" s="39"/>
      <c r="F55" s="39"/>
      <c r="G55" s="39"/>
      <c r="H55" s="39"/>
      <c r="I55" s="39"/>
      <c r="J55" s="39"/>
    </row>
    <row r="56" spans="2:10" ht="19" customHeight="1" x14ac:dyDescent="0.15">
      <c r="B56" s="8" t="s">
        <v>63</v>
      </c>
      <c r="C56" s="17">
        <f>C55*365.25*24*60*60/1000000000</f>
        <v>8.7091199999999994E-2</v>
      </c>
      <c r="D56" s="37" t="s">
        <v>127</v>
      </c>
      <c r="E56" s="39"/>
      <c r="F56" s="39"/>
      <c r="G56" s="39"/>
      <c r="H56" s="39"/>
      <c r="I56" s="39"/>
      <c r="J56" s="39"/>
    </row>
    <row r="57" spans="2:10" ht="19" customHeight="1" x14ac:dyDescent="0.15">
      <c r="B57" s="8" t="s">
        <v>106</v>
      </c>
      <c r="C57" s="17">
        <f>$C31*C39*$C32</f>
        <v>8.7113434136021404</v>
      </c>
      <c r="D57" s="37" t="s">
        <v>114</v>
      </c>
      <c r="E57" s="38" t="s">
        <v>64</v>
      </c>
      <c r="F57" s="38"/>
      <c r="G57" s="38"/>
      <c r="H57" s="38"/>
      <c r="I57" s="38"/>
      <c r="J57" s="38"/>
    </row>
    <row r="58" spans="2:10" ht="19" customHeight="1" x14ac:dyDescent="0.15">
      <c r="B58" s="8" t="s">
        <v>65</v>
      </c>
      <c r="C58" s="15">
        <f>C37*D7/$C33/1000000</f>
        <v>2.1560574948665302E-2</v>
      </c>
      <c r="D58" s="37"/>
      <c r="E58" s="39"/>
      <c r="F58" s="39"/>
      <c r="G58" s="39"/>
      <c r="H58" s="39"/>
      <c r="I58" s="39"/>
      <c r="J58" s="39"/>
    </row>
    <row r="59" spans="2:10" ht="19" customHeight="1" x14ac:dyDescent="0.15">
      <c r="B59" s="8" t="s">
        <v>66</v>
      </c>
      <c r="C59" s="15">
        <f>$C34*D7</f>
        <v>3600</v>
      </c>
      <c r="D59" s="37" t="s">
        <v>10</v>
      </c>
      <c r="E59" s="38" t="s">
        <v>67</v>
      </c>
      <c r="F59" s="38"/>
      <c r="G59" s="38"/>
      <c r="H59" s="38"/>
      <c r="I59" s="38"/>
      <c r="J59" s="38"/>
    </row>
    <row r="60" spans="2:10" ht="19" customHeight="1" x14ac:dyDescent="0.15">
      <c r="B60" s="8" t="s">
        <v>68</v>
      </c>
      <c r="C60" s="15">
        <f>C37*C59/1000000</f>
        <v>0.68993839835728954</v>
      </c>
      <c r="D60" s="37" t="s">
        <v>31</v>
      </c>
      <c r="E60" s="38" t="s">
        <v>69</v>
      </c>
      <c r="F60" s="38"/>
      <c r="G60" s="38"/>
      <c r="H60" s="38"/>
      <c r="I60" s="38"/>
      <c r="J60" s="38"/>
    </row>
    <row r="61" spans="2:10" ht="19" customHeight="1" x14ac:dyDescent="0.15">
      <c r="B61" s="8" t="s">
        <v>70</v>
      </c>
      <c r="C61" s="18">
        <f>$C22*C60*365.25*24*60*60/1000000000</f>
        <v>4.3545599999999997E-2</v>
      </c>
      <c r="D61" s="37" t="s">
        <v>127</v>
      </c>
      <c r="E61" s="38" t="s">
        <v>71</v>
      </c>
      <c r="F61" s="38"/>
      <c r="G61" s="38"/>
      <c r="H61" s="38"/>
      <c r="I61" s="38"/>
      <c r="J61" s="38"/>
    </row>
    <row r="62" spans="2:10" ht="19" customHeight="1" x14ac:dyDescent="0.15">
      <c r="B62" s="8" t="s">
        <v>72</v>
      </c>
      <c r="C62" s="15">
        <f>$C21*C37*$C59/1000000</f>
        <v>3.449691991786448E-2</v>
      </c>
      <c r="D62" s="37" t="s">
        <v>31</v>
      </c>
      <c r="E62" s="38" t="s">
        <v>69</v>
      </c>
      <c r="F62" s="38"/>
      <c r="G62" s="38"/>
      <c r="H62" s="38"/>
      <c r="I62" s="38"/>
      <c r="J62" s="38"/>
    </row>
    <row r="63" spans="2:10" ht="19" customHeight="1" x14ac:dyDescent="0.15">
      <c r="B63" s="8" t="s">
        <v>73</v>
      </c>
      <c r="C63" s="18">
        <f>$C23*C62*365.25*24*60*60/1000000000</f>
        <v>2.1772800000000006E-3</v>
      </c>
      <c r="D63" s="37" t="s">
        <v>127</v>
      </c>
      <c r="E63" s="38" t="s">
        <v>74</v>
      </c>
      <c r="F63" s="38"/>
      <c r="G63" s="38"/>
      <c r="H63" s="38"/>
      <c r="I63" s="38"/>
      <c r="J63" s="38"/>
    </row>
    <row r="64" spans="2:10" ht="19" customHeight="1" x14ac:dyDescent="0.15">
      <c r="B64" s="8" t="s">
        <v>75</v>
      </c>
      <c r="C64" s="18">
        <f>C37*(C59+D7)/($C33*1000000)</f>
        <v>2.5872689938398356E-2</v>
      </c>
      <c r="D64" s="37" t="s">
        <v>76</v>
      </c>
      <c r="E64" s="38" t="s">
        <v>77</v>
      </c>
      <c r="F64" s="38"/>
      <c r="G64" s="38"/>
      <c r="H64" s="38"/>
      <c r="I64" s="38"/>
      <c r="J64" s="38"/>
    </row>
    <row r="65" spans="2:10" ht="19" customHeight="1" x14ac:dyDescent="0.15">
      <c r="B65" s="8" t="s">
        <v>78</v>
      </c>
      <c r="C65" s="18">
        <f>$C22*C64</f>
        <v>5.1745379876796713E-2</v>
      </c>
      <c r="D65" s="37" t="s">
        <v>76</v>
      </c>
      <c r="E65" s="38" t="s">
        <v>79</v>
      </c>
      <c r="F65" s="38"/>
      <c r="G65" s="38"/>
      <c r="H65" s="38"/>
      <c r="I65" s="38"/>
      <c r="J65" s="38"/>
    </row>
    <row r="66" spans="2:10" ht="19" customHeight="1" x14ac:dyDescent="0.15">
      <c r="B66" s="8" t="s">
        <v>80</v>
      </c>
      <c r="C66" s="18">
        <f>$C21*C64</f>
        <v>1.2936344969199179E-3</v>
      </c>
      <c r="D66" s="37" t="s">
        <v>76</v>
      </c>
      <c r="E66" s="38" t="s">
        <v>81</v>
      </c>
      <c r="F66" s="38"/>
      <c r="G66" s="38"/>
      <c r="H66" s="38"/>
      <c r="I66" s="38"/>
      <c r="J66" s="38"/>
    </row>
    <row r="67" spans="2:10" ht="19" customHeight="1" x14ac:dyDescent="0.15">
      <c r="B67" s="8" t="s">
        <v>82</v>
      </c>
      <c r="C67" s="18">
        <f>$C23*C66</f>
        <v>2.5872689938398357E-3</v>
      </c>
      <c r="D67" s="37" t="s">
        <v>76</v>
      </c>
      <c r="E67" s="38" t="s">
        <v>83</v>
      </c>
      <c r="F67" s="38"/>
      <c r="G67" s="38"/>
      <c r="H67" s="38"/>
      <c r="I67" s="38"/>
      <c r="J67" s="38"/>
    </row>
    <row r="68" spans="2:10" ht="19" customHeight="1" x14ac:dyDescent="0.15">
      <c r="B68" s="8" t="s">
        <v>84</v>
      </c>
      <c r="C68" s="18">
        <f>C37*C59/(10*1000000)</f>
        <v>6.8993839835728946E-2</v>
      </c>
      <c r="D68" s="37" t="s">
        <v>76</v>
      </c>
      <c r="E68" s="38" t="s">
        <v>85</v>
      </c>
      <c r="F68" s="38"/>
      <c r="G68" s="38"/>
      <c r="H68" s="38"/>
      <c r="I68" s="38"/>
      <c r="J68" s="38"/>
    </row>
    <row r="69" spans="2:10" ht="19" customHeight="1" x14ac:dyDescent="0.15">
      <c r="B69" s="8" t="s">
        <v>86</v>
      </c>
      <c r="C69" s="18">
        <f>$C27*C68*$C25</f>
        <v>3.4496919917864473E-2</v>
      </c>
      <c r="D69" s="37" t="s">
        <v>76</v>
      </c>
      <c r="E69" s="38" t="s">
        <v>87</v>
      </c>
      <c r="F69" s="38"/>
      <c r="G69" s="38"/>
      <c r="H69" s="38"/>
      <c r="I69" s="38"/>
      <c r="J69" s="38"/>
    </row>
    <row r="70" spans="2:10" ht="19" customHeight="1" x14ac:dyDescent="0.15">
      <c r="B70" s="8" t="s">
        <v>88</v>
      </c>
      <c r="C70" s="15">
        <f>(C68+C69)*$C28</f>
        <v>0.20698151950718685</v>
      </c>
      <c r="D70" s="37" t="s">
        <v>76</v>
      </c>
      <c r="E70" s="38" t="s">
        <v>89</v>
      </c>
      <c r="F70" s="38"/>
      <c r="G70" s="38"/>
      <c r="H70" s="38"/>
      <c r="I70" s="38"/>
      <c r="J70" s="38"/>
    </row>
    <row r="71" spans="2:10" ht="19" customHeight="1" x14ac:dyDescent="0.15">
      <c r="B71" s="8" t="s">
        <v>90</v>
      </c>
      <c r="C71" s="15">
        <f>C55/$C33</f>
        <v>1.724845995893224E-2</v>
      </c>
      <c r="D71" s="37" t="s">
        <v>76</v>
      </c>
      <c r="E71" s="38" t="s">
        <v>91</v>
      </c>
      <c r="F71" s="38"/>
      <c r="G71" s="38"/>
      <c r="H71" s="38"/>
      <c r="I71" s="38"/>
      <c r="J71" s="38"/>
    </row>
    <row r="72" spans="2:10" ht="19" customHeight="1" x14ac:dyDescent="0.15">
      <c r="B72" s="8" t="s">
        <v>92</v>
      </c>
      <c r="C72" s="15">
        <f>C58+C65+C67+C70+C71</f>
        <v>0.30012320328542097</v>
      </c>
      <c r="D72" s="37" t="s">
        <v>76</v>
      </c>
      <c r="E72" s="38" t="s">
        <v>93</v>
      </c>
      <c r="F72" s="38"/>
      <c r="G72" s="38"/>
      <c r="H72" s="38"/>
      <c r="I72" s="38"/>
      <c r="J72" s="38"/>
    </row>
    <row r="73" spans="2:10" ht="16" customHeight="1" x14ac:dyDescent="0.15"/>
    <row r="74" spans="2:10" ht="16" customHeight="1" x14ac:dyDescent="0.15"/>
    <row r="75" spans="2:10" ht="16" customHeight="1" x14ac:dyDescent="0.15"/>
    <row r="76" spans="2:10" ht="16" customHeight="1" x14ac:dyDescent="0.15"/>
    <row r="77" spans="2:10" ht="16" customHeight="1" x14ac:dyDescent="0.15"/>
    <row r="78" spans="2:10" ht="16" customHeight="1" x14ac:dyDescent="0.15"/>
  </sheetData>
  <mergeCells count="57">
    <mergeCell ref="E33:J33"/>
    <mergeCell ref="E34:J34"/>
    <mergeCell ref="E35:J35"/>
    <mergeCell ref="E16:J16"/>
    <mergeCell ref="E27:J27"/>
    <mergeCell ref="E28:J28"/>
    <mergeCell ref="E29:J29"/>
    <mergeCell ref="E30:J30"/>
    <mergeCell ref="E31:J31"/>
    <mergeCell ref="E32:J32"/>
    <mergeCell ref="E21:J21"/>
    <mergeCell ref="E22:J22"/>
    <mergeCell ref="E23:J23"/>
    <mergeCell ref="E24:J24"/>
    <mergeCell ref="E25:J25"/>
    <mergeCell ref="E26:J26"/>
    <mergeCell ref="E17:J17"/>
    <mergeCell ref="E18:J18"/>
    <mergeCell ref="E19:J19"/>
    <mergeCell ref="E20:J20"/>
    <mergeCell ref="E68:J68"/>
    <mergeCell ref="E69:J69"/>
    <mergeCell ref="E70:J70"/>
    <mergeCell ref="E71:J71"/>
    <mergeCell ref="E72:J72"/>
    <mergeCell ref="E36:J36"/>
    <mergeCell ref="E56:J56"/>
    <mergeCell ref="E57:J57"/>
    <mergeCell ref="E58:J58"/>
    <mergeCell ref="E59:J59"/>
    <mergeCell ref="E60:J60"/>
    <mergeCell ref="E61:J61"/>
    <mergeCell ref="E44:J44"/>
    <mergeCell ref="E45:J45"/>
    <mergeCell ref="E46:J46"/>
    <mergeCell ref="E47:J47"/>
    <mergeCell ref="E48:J48"/>
    <mergeCell ref="E49:J49"/>
    <mergeCell ref="E37:J37"/>
    <mergeCell ref="E38:J38"/>
    <mergeCell ref="E39:J39"/>
    <mergeCell ref="E40:J40"/>
    <mergeCell ref="E41:J41"/>
    <mergeCell ref="E42:J42"/>
    <mergeCell ref="E43:J43"/>
    <mergeCell ref="E64:J64"/>
    <mergeCell ref="E65:J65"/>
    <mergeCell ref="E66:J66"/>
    <mergeCell ref="E67:J67"/>
    <mergeCell ref="E62:J62"/>
    <mergeCell ref="E63:J63"/>
    <mergeCell ref="E52:J52"/>
    <mergeCell ref="E53:J53"/>
    <mergeCell ref="E54:J54"/>
    <mergeCell ref="E55:J55"/>
    <mergeCell ref="E50:J50"/>
    <mergeCell ref="E51:J51"/>
  </mergeCells>
  <pageMargins left="0.75" right="0.75" top="1" bottom="1" header="0.5" footer="0.5"/>
  <pageSetup orientation="portrait"/>
  <headerFooter>
    <oddHeader>&amp;C&amp;"Times New Roman,Regular"&amp;12&amp;K000000Sheet1</oddHeader>
    <oddFooter>&amp;L&amp;"Helvetica,Regular"&amp;12&amp;K000000&amp;P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2016-03-01T20:20:37Z</dcterms:modified>
</cp:coreProperties>
</file>