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10020" yWindow="0" windowWidth="25660" windowHeight="19380" tabRatio="991"/>
  </bookViews>
  <sheets>
    <sheet name="model" sheetId="1" r:id="rId1"/>
    <sheet name="wait times" sheetId="2" r:id="rId2"/>
  </sheets>
  <definedNames>
    <definedName name="Pass1CPUs">model!$B$10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9" i="1" l="1"/>
  <c r="D28" i="1"/>
  <c r="C5" i="1"/>
  <c r="C7" i="1"/>
  <c r="C8" i="1"/>
  <c r="C11" i="1"/>
  <c r="C13" i="1"/>
  <c r="C14" i="1"/>
  <c r="B5" i="1"/>
  <c r="B7" i="1"/>
  <c r="B8" i="1"/>
  <c r="B11" i="1"/>
  <c r="B13" i="1"/>
  <c r="B14" i="1"/>
  <c r="C12" i="1"/>
  <c r="B12" i="1"/>
  <c r="C9" i="1"/>
  <c r="C10" i="1"/>
  <c r="B9" i="1"/>
  <c r="B10" i="1"/>
  <c r="D7" i="1"/>
  <c r="D8" i="1"/>
  <c r="D10" i="1"/>
  <c r="D12" i="1"/>
  <c r="D13" i="1"/>
  <c r="D14" i="1"/>
  <c r="D18" i="1"/>
  <c r="D19" i="1"/>
  <c r="D23" i="1"/>
  <c r="D25" i="1"/>
  <c r="D49" i="1"/>
  <c r="D50" i="1"/>
  <c r="D26" i="1"/>
  <c r="D27" i="1"/>
  <c r="D29" i="1"/>
  <c r="D30" i="1"/>
  <c r="D31" i="1"/>
  <c r="D35" i="1"/>
  <c r="D36" i="1"/>
  <c r="D37" i="1"/>
  <c r="D38" i="1"/>
  <c r="D39" i="1"/>
  <c r="D42" i="1"/>
  <c r="D43" i="1"/>
  <c r="D44" i="1"/>
  <c r="D47" i="1"/>
  <c r="D51" i="1"/>
  <c r="D52" i="1"/>
  <c r="D53" i="1"/>
  <c r="D54" i="1"/>
  <c r="D55" i="1"/>
  <c r="D56" i="1"/>
  <c r="D57" i="1"/>
  <c r="D58" i="1"/>
  <c r="D59" i="1"/>
  <c r="D60" i="1"/>
  <c r="D61" i="1"/>
  <c r="D62" i="1"/>
  <c r="D64" i="1"/>
  <c r="D65" i="1"/>
  <c r="C2" i="2"/>
  <c r="C3" i="2"/>
  <c r="C4" i="2"/>
  <c r="E4" i="2"/>
  <c r="C5" i="2"/>
  <c r="C7" i="2"/>
  <c r="C23" i="2"/>
  <c r="C24" i="2"/>
  <c r="C26" i="2"/>
  <c r="B2" i="2"/>
  <c r="B3" i="2"/>
  <c r="B4" i="2"/>
  <c r="B5" i="2"/>
  <c r="B7" i="2"/>
  <c r="B23" i="2"/>
  <c r="B24" i="2"/>
  <c r="B26" i="2"/>
  <c r="C25" i="2"/>
  <c r="B25" i="2"/>
  <c r="C9" i="2"/>
  <c r="C11" i="2"/>
  <c r="C14" i="2"/>
  <c r="C28" i="1"/>
  <c r="C13" i="2"/>
  <c r="C15" i="2"/>
  <c r="C17" i="2"/>
  <c r="B9" i="2"/>
  <c r="B11" i="2"/>
  <c r="B14" i="2"/>
  <c r="B28" i="1"/>
  <c r="B13" i="2"/>
  <c r="B15" i="2"/>
  <c r="B17" i="2"/>
  <c r="C10" i="2"/>
  <c r="B10" i="2"/>
  <c r="C49" i="1"/>
  <c r="C50" i="1"/>
  <c r="C51" i="1"/>
  <c r="C52" i="1"/>
  <c r="C53" i="1"/>
  <c r="C26" i="1"/>
  <c r="G2" i="1"/>
  <c r="C27" i="1"/>
  <c r="C35" i="1"/>
  <c r="C37" i="1"/>
  <c r="C38" i="1"/>
  <c r="C39" i="1"/>
  <c r="C65" i="1"/>
  <c r="B49" i="1"/>
  <c r="B50" i="1"/>
  <c r="B51" i="1"/>
  <c r="B52" i="1"/>
  <c r="B53" i="1"/>
  <c r="B26" i="1"/>
  <c r="B27" i="1"/>
  <c r="B35" i="1"/>
  <c r="B37" i="1"/>
  <c r="B38" i="1"/>
  <c r="B39" i="1"/>
  <c r="B65" i="1"/>
  <c r="C64" i="1"/>
  <c r="B64" i="1"/>
  <c r="C47" i="1"/>
  <c r="C54" i="1"/>
  <c r="C55" i="1"/>
  <c r="C56" i="1"/>
  <c r="C57" i="1"/>
  <c r="C58" i="1"/>
  <c r="C59" i="1"/>
  <c r="C60" i="1"/>
  <c r="C61" i="1"/>
  <c r="C62" i="1"/>
  <c r="B47" i="1"/>
  <c r="B54" i="1"/>
  <c r="B55" i="1"/>
  <c r="B56" i="1"/>
  <c r="B57" i="1"/>
  <c r="B58" i="1"/>
  <c r="B59" i="1"/>
  <c r="B60" i="1"/>
  <c r="B61" i="1"/>
  <c r="B62" i="1"/>
  <c r="C18" i="1"/>
  <c r="C19" i="1"/>
  <c r="C23" i="1"/>
  <c r="C25" i="1"/>
  <c r="C30" i="1"/>
  <c r="C29" i="1"/>
  <c r="C31" i="1"/>
  <c r="C36" i="1"/>
  <c r="C42" i="1"/>
  <c r="C43" i="1"/>
  <c r="C44" i="1"/>
  <c r="B18" i="1"/>
  <c r="B19" i="1"/>
  <c r="B23" i="1"/>
  <c r="B25" i="1"/>
  <c r="B30" i="1"/>
  <c r="B29" i="1"/>
  <c r="B31" i="1"/>
  <c r="B36" i="1"/>
  <c r="B42" i="1"/>
  <c r="B43" i="1"/>
  <c r="B44" i="1"/>
</calcChain>
</file>

<file path=xl/sharedStrings.xml><?xml version="1.0" encoding="utf-8"?>
<sst xmlns="http://schemas.openxmlformats.org/spreadsheetml/2006/main" count="193" uniqueCount="157">
  <si>
    <t>GlueX Computing Model</t>
  </si>
  <si>
    <t>parameter</t>
  </si>
  <si>
    <t>fy17</t>
  </si>
  <si>
    <t>fy18</t>
  </si>
  <si>
    <t>units</t>
  </si>
  <si>
    <t>comments</t>
  </si>
  <si>
    <t>event rate</t>
  </si>
  <si>
    <t>events/s</t>
  </si>
  <si>
    <t>raw data rate out of the counting room when beam is on</t>
  </si>
  <si>
    <t>annual running</t>
  </si>
  <si>
    <t>weeks</t>
  </si>
  <si>
    <t>running efficiency</t>
  </si>
  <si>
    <t>fraction of wall time when beam is on, either due to beam unavailable or detector not ready</t>
  </si>
  <si>
    <t>effective event rate (per second)</t>
  </si>
  <si>
    <t>Event rate averaged over time</t>
  </si>
  <si>
    <t>effective event rate (per year)</t>
  </si>
  <si>
    <t>events/year</t>
  </si>
  <si>
    <t>CPU time per event</t>
  </si>
  <si>
    <t>CPU-s/event</t>
  </si>
  <si>
    <t>single Pass 1 CPU needed</t>
  </si>
  <si>
    <t>CPU's</t>
  </si>
  <si>
    <t>number of threads to keep up with the raw event rate</t>
  </si>
  <si>
    <t>raw event size</t>
  </si>
  <si>
    <t>bytes</t>
  </si>
  <si>
    <t>size of a single raw event. Actual Spring 2016 data is 16.4kB+4.6kB/10^7 g/s. Estimate from Spring 2016 data for reduced windows is 11.5kB + 0.23kB/10^7 g/s</t>
  </si>
  <si>
    <t>raw instantaneous storage rate</t>
  </si>
  <si>
    <t>MB/s</t>
  </si>
  <si>
    <t>data rate when beam is on</t>
  </si>
  <si>
    <t>raw effective storage rate</t>
  </si>
  <si>
    <t>bytes/year</t>
  </si>
  <si>
    <t>average data volume rate</t>
  </si>
  <si>
    <t>TB/year</t>
  </si>
  <si>
    <t>pass 0 event fraction</t>
  </si>
  <si>
    <t>fraction of events from raw data stream to perform calibrations</t>
  </si>
  <si>
    <t>pass 1 repetition factor</t>
  </si>
  <si>
    <t>number of times event reconstruction will be repeated</t>
  </si>
  <si>
    <t>pass 0 repetition factor</t>
  </si>
  <si>
    <t>number of times calibration will be repeated</t>
  </si>
  <si>
    <t>pass 0 CPU need</t>
  </si>
  <si>
    <t>number of threads of calibration to keep up</t>
  </si>
  <si>
    <t>pass 1 CPU need</t>
  </si>
  <si>
    <t>number of threads of reconstruction to keep up</t>
  </si>
  <si>
    <t>stream/pass-1 CPU ratio</t>
  </si>
  <si>
    <t>ratio of CPU time required for a skim stream to that needed for reconstruction</t>
  </si>
  <si>
    <t>stream output to input size ratio</t>
  </si>
  <si>
    <t>ratio of data volume output for a stream to that of input</t>
  </si>
  <si>
    <t>stream multiplicity factor</t>
  </si>
  <si>
    <t>number of streams to be produced</t>
  </si>
  <si>
    <t>single stream CPU need</t>
  </si>
  <si>
    <t>number of threads for one stream to keep up</t>
  </si>
  <si>
    <t>stream repetition factor</t>
  </si>
  <si>
    <t>number of times streaming will be repeated</t>
  </si>
  <si>
    <t>stream CPU need</t>
  </si>
  <si>
    <t>number of threads for streaming to keep up</t>
  </si>
  <si>
    <t>single stream output data rate</t>
  </si>
  <si>
    <t>total stream output data rate</t>
  </si>
  <si>
    <t>PB/year</t>
  </si>
  <si>
    <t>MC CPU time per event, generation</t>
  </si>
  <si>
    <t>MC CPU time per event, reconstruction</t>
  </si>
  <si>
    <t>MC CPU ratio per event, generation</t>
  </si>
  <si>
    <t>ratio of CPU time required for generating a Monte Carlo event to that needed for reconstruction</t>
  </si>
  <si>
    <t>MC CPU ratio per event, reconstruction</t>
  </si>
  <si>
    <t>ratio of CPU time to reconstruct Monte Carlo events to that to reconstruct real data</t>
  </si>
  <si>
    <t>MC/raw data event rate ratio</t>
  </si>
  <si>
    <t>ratio of number of Monte Carlo events needed to number of raw data events</t>
  </si>
  <si>
    <t>MC event size</t>
  </si>
  <si>
    <t>size of a single generated Monte Carlo event</t>
  </si>
  <si>
    <t>MC multiplicity factor</t>
  </si>
  <si>
    <t>number of times MC data will need to be generated</t>
  </si>
  <si>
    <t>MC effective event rate</t>
  </si>
  <si>
    <t>event rate averaged over time of MC event generation</t>
  </si>
  <si>
    <t>MC CPU need</t>
  </si>
  <si>
    <t>numbers of threads needed for generating Monte Carlo</t>
  </si>
  <si>
    <t>MC pass 1 output event size</t>
  </si>
  <si>
    <t>size of a single reconstructed Monte Carlo event</t>
  </si>
  <si>
    <t>MC effective data rate</t>
  </si>
  <si>
    <t>analysis/pass-1 CPU ratio</t>
  </si>
  <si>
    <t>ratio of CPU time required for performing a physics analysis to that needed for reconstruction</t>
  </si>
  <si>
    <t>analysis multiplicity factor</t>
  </si>
  <si>
    <t>number of analyses to be conducted</t>
  </si>
  <si>
    <t>analysis CPU need</t>
  </si>
  <si>
    <t>number of threads needed for analysis</t>
  </si>
  <si>
    <t>total CPU need</t>
  </si>
  <si>
    <t>total number  of threads needed for all activities</t>
  </si>
  <si>
    <t>total CPU need exclusive of MC</t>
  </si>
  <si>
    <t>total number of threads needed for all activities</t>
  </si>
  <si>
    <t>data rate, tape to cache disk</t>
  </si>
  <si>
    <t>average rate from tape library to cache disk</t>
  </si>
  <si>
    <t>data rate, cache disk to local disk</t>
  </si>
  <si>
    <t>average rate from cache disk to local farm node disk</t>
  </si>
  <si>
    <t>raw data recording tape need</t>
  </si>
  <si>
    <t>Pass 1 output to input size ratio</t>
  </si>
  <si>
    <t>ratio of output event size to input event size</t>
  </si>
  <si>
    <t>pass1 processed event size</t>
  </si>
  <si>
    <t>reconstructed event size</t>
  </si>
  <si>
    <t>Single pass 1 output data rate</t>
  </si>
  <si>
    <t>data rate for a single pass 1 output stream</t>
  </si>
  <si>
    <t>total pass 1 output data rate</t>
  </si>
  <si>
    <t>data rate for all pass 1 output streams</t>
  </si>
  <si>
    <t>Single pass 0 output data rate</t>
  </si>
  <si>
    <t>total pass 0 output data rate</t>
  </si>
  <si>
    <t>data rate for all pass 0 output streams</t>
  </si>
  <si>
    <t>single pass 1 tape need</t>
  </si>
  <si>
    <t>drives</t>
  </si>
  <si>
    <t>number of tape drives needed to support pass 1, one iteration</t>
  </si>
  <si>
    <t>Pass 1 tape need</t>
  </si>
  <si>
    <t>number of tape drives needed to support pass 1, all iterations</t>
  </si>
  <si>
    <t>single pass 0 tape need</t>
  </si>
  <si>
    <t>number of tape drives needed to support pass 0, one iteration</t>
  </si>
  <si>
    <t>Pass 0 tape need</t>
  </si>
  <si>
    <t>number of tape drives needed to support pass 0, all iterations</t>
  </si>
  <si>
    <t>single stream input tape need</t>
  </si>
  <si>
    <t>number of tape drives needed to support input for streaming, one iteration</t>
  </si>
  <si>
    <t>single set of stream output tape need (all streams)</t>
  </si>
  <si>
    <t>number of tape drives needed to support output for streaming, one iteration</t>
  </si>
  <si>
    <t>total stream tape need</t>
  </si>
  <si>
    <t>number of tape drives needed to support streaming, all iterations</t>
  </si>
  <si>
    <t>MC tape drive need</t>
  </si>
  <si>
    <t>number of tape drives needed to archive reconstructed MC data</t>
  </si>
  <si>
    <t>total tape drive need</t>
  </si>
  <si>
    <t>total number of tape drives needed for all activities</t>
  </si>
  <si>
    <t>disk usage per analysis</t>
  </si>
  <si>
    <t>TB</t>
  </si>
  <si>
    <t>permanent disk space used by an analysis</t>
  </si>
  <si>
    <t>disk usage total</t>
  </si>
  <si>
    <t>permanent disk space used by all analyses</t>
  </si>
  <si>
    <t>total output rate</t>
  </si>
  <si>
    <t>Weeks of running</t>
  </si>
  <si>
    <t>Days of running</t>
  </si>
  <si>
    <t>Days of Running per PAC Day</t>
  </si>
  <si>
    <t>Running efficiency</t>
  </si>
  <si>
    <t>Seconds per day</t>
  </si>
  <si>
    <t>Running time (s)</t>
  </si>
  <si>
    <t>Days per year</t>
  </si>
  <si>
    <t>Trigger rate (Hz)</t>
  </si>
  <si>
    <t>Number of cores</t>
  </si>
  <si>
    <t>Number of events</t>
  </si>
  <si>
    <t>Ratio of Monte Carlo events to data events</t>
  </si>
  <si>
    <t>event size (bytes)</t>
  </si>
  <si>
    <t>Reconstruction time per event per core (s)</t>
  </si>
  <si>
    <t>ratio of size of DST to Raw</t>
  </si>
  <si>
    <t>Reconstruction time, single core (y)</t>
  </si>
  <si>
    <t>Reconstruction time (d)</t>
  </si>
  <si>
    <t>Monte Carlo generation time per event per core</t>
  </si>
  <si>
    <t>Monte Carlo reconstruction time per event per core</t>
  </si>
  <si>
    <t>Monte Carlo time, gen. + recon. (d)</t>
  </si>
  <si>
    <t>Reconstruction time + MC time (d)</t>
  </si>
  <si>
    <t>raw data volume (bytes)</t>
  </si>
  <si>
    <t>raw data volume (PB)</t>
  </si>
  <si>
    <t>DST data volume, real data, recon. (PB)</t>
  </si>
  <si>
    <t>total data to tape (PB)</t>
  </si>
  <si>
    <t>fy17(old)</t>
  </si>
  <si>
    <t>fy18(old)</t>
  </si>
  <si>
    <t>fy19(new)</t>
  </si>
  <si>
    <t>per David's email of 11/1, point 2, fy 18 a factor of two more due to G3 → G4 switch
0.215 comes from measurement done in late June/early July 2017 (see e-mail exchange
between David,Graham, and Richard during this time)</t>
  </si>
  <si>
    <t>Oct. 2016 David benchmark 2016-Broadwell real cores for FY17 and FY18. Benchmark for Spring 2017 data for FY18 and FY19
The 0.137 comes from benchmarks done by David. The number is actually what Graham used for 2017 S &amp; T review. This corresponds
to 300Hz on a 36core+36HT computer where the HT are counted as 14% of a core.</t>
  </si>
  <si>
    <t>amount of running in a year, fy17: 35+67 days, fy18: 42+10+21 days (see Eugene’s talk, Oct. ‘16 Collab. Mtg.)
FY19 has 16 weeks coming from Graham's number used in the 2017 S&amp;T review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</si>
</sst>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0"/>
      <name val="Arial"/>
      <family val="2"/>
      <charset val="1"/>
    </font>
    <font>
      <b/>
      <sz val="10"/>
      <name val="Arial"/>
      <family val="2"/>
      <charset val="1"/>
    </font>
    <font>
      <u/>
      <sz val="10"/>
      <color theme="10"/>
      <name val="Arial"/>
      <family val="2"/>
      <charset val="1"/>
    </font>
    <font>
      <u/>
      <sz val="10"/>
      <color theme="11"/>
      <name val="Arial"/>
      <family val="2"/>
      <charset val="1"/>
    </font>
  </fonts>
  <fills count="4">
    <fill>
      <patternFill patternType="none"/>
    </fill>
    <fill>
      <patternFill patternType="gray125"/>
    </fill>
    <fill>
      <patternFill patternType="solid">
        <fgColor rgb="FF83CAFF"/>
        <bgColor rgb="FF9999FF"/>
      </patternFill>
    </fill>
    <fill>
      <patternFill patternType="solid">
        <fgColor rgb="FFFFFF99"/>
        <bgColor rgb="FFFFFFCC"/>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0" fontId="1" fillId="0" borderId="0" xfId="0" applyFont="1"/>
    <xf numFmtId="0" fontId="0" fillId="0" borderId="0" xfId="0" applyFont="1"/>
    <xf numFmtId="0" fontId="0" fillId="2" borderId="0" xfId="0" applyFill="1"/>
    <xf numFmtId="164" fontId="0" fillId="2" borderId="0" xfId="0" applyNumberFormat="1" applyFill="1"/>
    <xf numFmtId="11" fontId="0" fillId="0" borderId="0" xfId="0" applyNumberFormat="1"/>
    <xf numFmtId="48" fontId="0" fillId="0" borderId="0" xfId="0" applyNumberFormat="1"/>
    <xf numFmtId="0" fontId="0" fillId="0" borderId="0" xfId="0" applyFont="1" applyAlignment="1">
      <alignment wrapText="1"/>
    </xf>
    <xf numFmtId="0" fontId="0" fillId="3" borderId="0" xfId="0" applyFont="1" applyFill="1"/>
    <xf numFmtId="0" fontId="0" fillId="3" borderId="0" xfId="0" applyFill="1"/>
    <xf numFmtId="0" fontId="0" fillId="0" borderId="0" xfId="0" applyAlignment="1" applyProtection="1">
      <alignment wrapText="1"/>
      <protection locked="0"/>
    </xf>
    <xf numFmtId="0" fontId="1" fillId="0" borderId="0" xfId="0" applyFont="1" applyAlignment="1" applyProtection="1">
      <alignment wrapText="1"/>
      <protection locked="0"/>
    </xf>
    <xf numFmtId="0" fontId="0" fillId="0" borderId="0" xfId="0" applyFont="1" applyAlignment="1" applyProtection="1">
      <alignment wrapText="1"/>
      <protection locked="0"/>
    </xf>
    <xf numFmtId="0" fontId="0" fillId="3" borderId="0" xfId="0" applyFont="1" applyFill="1" applyAlignment="1" applyProtection="1">
      <alignment wrapText="1"/>
      <protection locked="0"/>
    </xf>
    <xf numFmtId="0" fontId="0" fillId="0" borderId="0" xfId="0" applyAlignment="1">
      <alignment vertical="center"/>
    </xf>
    <xf numFmtId="0" fontId="0" fillId="2" borderId="0" xfId="0" applyFill="1" applyAlignment="1">
      <alignment vertical="center"/>
    </xf>
    <xf numFmtId="0" fontId="0" fillId="0" borderId="0" xfId="0" applyAlignment="1" applyProtection="1">
      <alignment vertical="center" wrapText="1"/>
      <protection locked="0"/>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83CA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5"/>
  <sheetViews>
    <sheetView tabSelected="1" topLeftCell="B12" zoomScale="150" zoomScaleNormal="150" zoomScalePageLayoutView="150" workbookViewId="0">
      <selection activeCell="F6" sqref="F6"/>
    </sheetView>
  </sheetViews>
  <sheetFormatPr baseColWidth="10" defaultColWidth="8.83203125" defaultRowHeight="12" x14ac:dyDescent="0"/>
  <cols>
    <col min="1" max="1" width="32.6640625" customWidth="1"/>
    <col min="5" max="5" width="12.33203125" customWidth="1"/>
    <col min="6" max="6" width="81" style="10" customWidth="1"/>
  </cols>
  <sheetData>
    <row r="1" spans="1:7 1025:1025" ht="12.5" customHeight="1">
      <c r="A1" s="1" t="s">
        <v>0</v>
      </c>
    </row>
    <row r="2" spans="1:7 1025:1025" ht="12.25" customHeight="1">
      <c r="G2">
        <f>365.25*24*60*60</f>
        <v>31557600</v>
      </c>
    </row>
    <row r="3" spans="1:7 1025:1025" s="1" customFormat="1" ht="12.25" customHeight="1">
      <c r="A3" s="1" t="s">
        <v>1</v>
      </c>
      <c r="B3" s="1" t="s">
        <v>151</v>
      </c>
      <c r="C3" s="1" t="s">
        <v>152</v>
      </c>
      <c r="D3" s="1" t="s">
        <v>153</v>
      </c>
      <c r="E3" s="1" t="s">
        <v>4</v>
      </c>
      <c r="F3" s="11" t="s">
        <v>5</v>
      </c>
      <c r="AMK3"/>
    </row>
    <row r="4" spans="1:7 1025:1025" ht="12" customHeight="1">
      <c r="A4" s="2" t="s">
        <v>6</v>
      </c>
      <c r="B4" s="3">
        <v>50000</v>
      </c>
      <c r="C4" s="3">
        <v>50000</v>
      </c>
      <c r="D4" s="3">
        <v>90000</v>
      </c>
      <c r="E4" t="s">
        <v>7</v>
      </c>
      <c r="F4" s="10" t="s">
        <v>8</v>
      </c>
    </row>
    <row r="5" spans="1:7 1025:1025" ht="12" customHeight="1">
      <c r="A5" t="s">
        <v>9</v>
      </c>
      <c r="B5" s="4">
        <f>(35+67)/7</f>
        <v>14.571428571428571</v>
      </c>
      <c r="C5" s="4">
        <f>(42+10+21)/7</f>
        <v>10.428571428571429</v>
      </c>
      <c r="D5" s="4">
        <v>16</v>
      </c>
      <c r="E5" s="2" t="s">
        <v>10</v>
      </c>
      <c r="F5" s="12" t="s">
        <v>156</v>
      </c>
    </row>
    <row r="6" spans="1:7 1025:1025" ht="12" customHeight="1">
      <c r="A6" t="s">
        <v>11</v>
      </c>
      <c r="B6" s="3">
        <v>0.5</v>
      </c>
      <c r="C6" s="3">
        <v>0.5</v>
      </c>
      <c r="D6" s="3">
        <v>0.5</v>
      </c>
      <c r="F6" s="10" t="s">
        <v>12</v>
      </c>
    </row>
    <row r="7" spans="1:7 1025:1025" ht="12.25" customHeight="1">
      <c r="A7" t="s">
        <v>13</v>
      </c>
      <c r="B7">
        <f>B4*B5/(365.25/7)*B6</f>
        <v>6981.5195071868575</v>
      </c>
      <c r="C7">
        <f>C4*C5/(365.25/7)*C6</f>
        <v>4996.5776865160842</v>
      </c>
      <c r="D7">
        <f>D4*D5/(365.25/7)*D6</f>
        <v>13798.76796714579</v>
      </c>
      <c r="E7" t="s">
        <v>7</v>
      </c>
      <c r="F7" s="10" t="s">
        <v>14</v>
      </c>
    </row>
    <row r="8" spans="1:7 1025:1025" ht="12.25" customHeight="1">
      <c r="A8" t="s">
        <v>15</v>
      </c>
      <c r="B8" s="5">
        <f>B7*365*24*60*60</f>
        <v>220169199178.64474</v>
      </c>
      <c r="C8" s="5">
        <f>C7*365*24*60*60</f>
        <v>157572073921.97122</v>
      </c>
      <c r="D8" s="5">
        <f>D7*365*24*60*60</f>
        <v>435157946611.90967</v>
      </c>
      <c r="E8" t="s">
        <v>16</v>
      </c>
      <c r="F8" s="10" t="s">
        <v>14</v>
      </c>
    </row>
    <row r="9" spans="1:7 1025:1025" ht="12.25" customHeight="1">
      <c r="A9" t="s">
        <v>17</v>
      </c>
      <c r="B9" s="3">
        <f>1/9.8</f>
        <v>0.1020408163265306</v>
      </c>
      <c r="C9" s="3">
        <f>1/9.8</f>
        <v>0.1020408163265306</v>
      </c>
      <c r="D9" s="3">
        <f>(36*1.14)/300</f>
        <v>0.1368</v>
      </c>
      <c r="E9" t="s">
        <v>18</v>
      </c>
      <c r="F9" s="10" t="s">
        <v>155</v>
      </c>
    </row>
    <row r="10" spans="1:7 1025:1025" ht="12.25" customHeight="1">
      <c r="A10" t="s">
        <v>19</v>
      </c>
      <c r="B10">
        <f>B7*B9</f>
        <v>712.39994971294459</v>
      </c>
      <c r="C10">
        <f>C7*C9</f>
        <v>509.85486597102897</v>
      </c>
      <c r="D10">
        <f>D7*D9</f>
        <v>1887.6714579055442</v>
      </c>
      <c r="E10" t="s">
        <v>20</v>
      </c>
      <c r="F10" s="10" t="s">
        <v>21</v>
      </c>
    </row>
    <row r="11" spans="1:7 1025:1025" ht="12.25" customHeight="1">
      <c r="A11" t="s">
        <v>22</v>
      </c>
      <c r="B11" s="3">
        <f>(11.5+2.3*2)*1000</f>
        <v>16100.000000000002</v>
      </c>
      <c r="C11" s="3">
        <f>(11.5+2.3*5)*1000</f>
        <v>23000</v>
      </c>
      <c r="D11" s="3">
        <v>16800</v>
      </c>
      <c r="E11" t="s">
        <v>23</v>
      </c>
      <c r="F11" s="10" t="s">
        <v>24</v>
      </c>
    </row>
    <row r="12" spans="1:7 1025:1025" ht="12.25" customHeight="1">
      <c r="A12" t="s">
        <v>25</v>
      </c>
      <c r="B12">
        <f>B4*B11/1000000</f>
        <v>805.00000000000011</v>
      </c>
      <c r="C12">
        <f>C4*C11/1000000</f>
        <v>1150</v>
      </c>
      <c r="D12">
        <f>D4*D11/1000000</f>
        <v>1512</v>
      </c>
      <c r="E12" t="s">
        <v>26</v>
      </c>
      <c r="F12" s="10" t="s">
        <v>27</v>
      </c>
    </row>
    <row r="13" spans="1:7 1025:1025" ht="12.25" customHeight="1">
      <c r="A13" t="s">
        <v>28</v>
      </c>
      <c r="B13" s="6">
        <f>B8*B11</f>
        <v>3544724106776181</v>
      </c>
      <c r="C13" s="6">
        <f>C8*C11</f>
        <v>3624157700205338</v>
      </c>
      <c r="D13" s="6">
        <f>D8*D11</f>
        <v>7310653503080082</v>
      </c>
      <c r="E13" t="s">
        <v>29</v>
      </c>
      <c r="F13" s="10" t="s">
        <v>30</v>
      </c>
    </row>
    <row r="14" spans="1:7 1025:1025">
      <c r="A14" t="s">
        <v>28</v>
      </c>
      <c r="B14">
        <f>B13/1000000000000</f>
        <v>3544.7241067761811</v>
      </c>
      <c r="C14">
        <f>C13/1000000000000</f>
        <v>3624.1577002053382</v>
      </c>
      <c r="D14">
        <f>D13/1000000000000</f>
        <v>7310.6535030800824</v>
      </c>
      <c r="E14" t="s">
        <v>31</v>
      </c>
      <c r="F14" s="10" t="s">
        <v>30</v>
      </c>
    </row>
    <row r="15" spans="1:7 1025:1025">
      <c r="A15" t="s">
        <v>32</v>
      </c>
      <c r="B15" s="3">
        <v>0.05</v>
      </c>
      <c r="C15" s="3">
        <v>0.05</v>
      </c>
      <c r="D15" s="3">
        <v>0.05</v>
      </c>
      <c r="F15" s="10" t="s">
        <v>33</v>
      </c>
    </row>
    <row r="16" spans="1:7 1025:1025">
      <c r="A16" t="s">
        <v>34</v>
      </c>
      <c r="B16" s="3">
        <v>2</v>
      </c>
      <c r="C16" s="3">
        <v>2</v>
      </c>
      <c r="D16" s="3">
        <v>2</v>
      </c>
      <c r="F16" s="10" t="s">
        <v>35</v>
      </c>
    </row>
    <row r="17" spans="1:7">
      <c r="A17" t="s">
        <v>36</v>
      </c>
      <c r="B17" s="3">
        <v>2</v>
      </c>
      <c r="C17" s="3">
        <v>2</v>
      </c>
      <c r="D17" s="3">
        <v>2</v>
      </c>
      <c r="F17" s="10" t="s">
        <v>37</v>
      </c>
    </row>
    <row r="18" spans="1:7">
      <c r="A18" t="s">
        <v>38</v>
      </c>
      <c r="B18">
        <f>B15*B17*B10</f>
        <v>71.239994971294465</v>
      </c>
      <c r="C18">
        <f>C15*C17*C10</f>
        <v>50.985486597102899</v>
      </c>
      <c r="D18">
        <f>D15*D17*D10</f>
        <v>188.76714579055442</v>
      </c>
      <c r="E18" t="s">
        <v>20</v>
      </c>
      <c r="F18" s="10" t="s">
        <v>39</v>
      </c>
    </row>
    <row r="19" spans="1:7">
      <c r="A19" t="s">
        <v>40</v>
      </c>
      <c r="B19">
        <f>B16*B10</f>
        <v>1424.7998994258892</v>
      </c>
      <c r="C19">
        <f>C16*C10</f>
        <v>1019.7097319420579</v>
      </c>
      <c r="D19">
        <f>D16*D10</f>
        <v>3775.3429158110885</v>
      </c>
      <c r="E19" t="s">
        <v>20</v>
      </c>
      <c r="F19" s="10" t="s">
        <v>41</v>
      </c>
      <c r="G19" s="7"/>
    </row>
    <row r="20" spans="1:7">
      <c r="A20" t="s">
        <v>42</v>
      </c>
      <c r="B20" s="3">
        <v>0.1</v>
      </c>
      <c r="C20" s="3">
        <v>0.1</v>
      </c>
      <c r="D20" s="3">
        <v>0.1</v>
      </c>
      <c r="F20" s="10" t="s">
        <v>43</v>
      </c>
    </row>
    <row r="21" spans="1:7">
      <c r="A21" t="s">
        <v>44</v>
      </c>
      <c r="B21" s="3">
        <v>0.1</v>
      </c>
      <c r="C21" s="3">
        <v>0.1</v>
      </c>
      <c r="D21" s="3">
        <v>0.1</v>
      </c>
      <c r="F21" s="10" t="s">
        <v>45</v>
      </c>
    </row>
    <row r="22" spans="1:7">
      <c r="A22" t="s">
        <v>46</v>
      </c>
      <c r="B22" s="3">
        <v>5</v>
      </c>
      <c r="C22" s="3">
        <v>5</v>
      </c>
      <c r="D22" s="3">
        <v>5</v>
      </c>
      <c r="F22" s="10" t="s">
        <v>47</v>
      </c>
    </row>
    <row r="23" spans="1:7">
      <c r="A23" t="s">
        <v>48</v>
      </c>
      <c r="B23">
        <f>B20*B10</f>
        <v>71.239994971294465</v>
      </c>
      <c r="C23">
        <f>C20*C10</f>
        <v>50.985486597102899</v>
      </c>
      <c r="D23">
        <f>D20*D10</f>
        <v>188.76714579055442</v>
      </c>
      <c r="E23" t="s">
        <v>20</v>
      </c>
      <c r="F23" s="10" t="s">
        <v>49</v>
      </c>
    </row>
    <row r="24" spans="1:7">
      <c r="A24" t="s">
        <v>50</v>
      </c>
      <c r="B24" s="3">
        <v>2</v>
      </c>
      <c r="C24" s="3">
        <v>2</v>
      </c>
      <c r="D24" s="3">
        <v>2</v>
      </c>
      <c r="F24" s="10" t="s">
        <v>51</v>
      </c>
    </row>
    <row r="25" spans="1:7">
      <c r="A25" t="s">
        <v>52</v>
      </c>
      <c r="B25">
        <f>B22*B23*B24</f>
        <v>712.39994971294459</v>
      </c>
      <c r="C25">
        <f>C22*C23*C24</f>
        <v>509.85486597102897</v>
      </c>
      <c r="D25">
        <f>D22*D23*D24</f>
        <v>1887.6714579055442</v>
      </c>
      <c r="E25" t="s">
        <v>20</v>
      </c>
      <c r="F25" s="10" t="s">
        <v>53</v>
      </c>
    </row>
    <row r="26" spans="1:7">
      <c r="A26" t="s">
        <v>54</v>
      </c>
      <c r="B26">
        <f>B50*B21</f>
        <v>2.2480492813141684</v>
      </c>
      <c r="C26">
        <f>C50*C21</f>
        <v>2.2984257357973989</v>
      </c>
      <c r="D26">
        <f>D50*D21</f>
        <v>4.6363860369609853</v>
      </c>
      <c r="E26" t="s">
        <v>26</v>
      </c>
    </row>
    <row r="27" spans="1:7">
      <c r="A27" t="s">
        <v>55</v>
      </c>
      <c r="B27">
        <f>B26*B22*B24*$G2/1000000000</f>
        <v>0.70943040000000002</v>
      </c>
      <c r="C27">
        <f>C26*C22*C24*$G2/1000000000</f>
        <v>0.72532799999999986</v>
      </c>
      <c r="D27">
        <f>D26*D22*D24*$G2/1000000000</f>
        <v>1.46313216</v>
      </c>
      <c r="E27" t="s">
        <v>56</v>
      </c>
    </row>
    <row r="28" spans="1:7" s="14" customFormat="1" ht="36">
      <c r="A28" s="14" t="s">
        <v>57</v>
      </c>
      <c r="B28" s="15">
        <f>1/18</f>
        <v>5.5555555555555552E-2</v>
      </c>
      <c r="C28" s="15">
        <f>2*(1/18)</f>
        <v>0.1111111111111111</v>
      </c>
      <c r="D28" s="15">
        <f>0.215</f>
        <v>0.215</v>
      </c>
      <c r="F28" s="16" t="s">
        <v>154</v>
      </c>
    </row>
    <row r="29" spans="1:7">
      <c r="A29" t="s">
        <v>58</v>
      </c>
      <c r="B29">
        <f>B9</f>
        <v>0.1020408163265306</v>
      </c>
      <c r="C29">
        <f>C9</f>
        <v>0.1020408163265306</v>
      </c>
      <c r="D29">
        <f>D9</f>
        <v>0.1368</v>
      </c>
    </row>
    <row r="30" spans="1:7">
      <c r="A30" t="s">
        <v>59</v>
      </c>
      <c r="B30">
        <f>B28/B9</f>
        <v>0.54444444444444451</v>
      </c>
      <c r="C30">
        <f>C28/C9</f>
        <v>1.088888888888889</v>
      </c>
      <c r="D30">
        <f>D28/D9</f>
        <v>1.5716374269005846</v>
      </c>
      <c r="E30" t="s">
        <v>18</v>
      </c>
      <c r="F30" s="10" t="s">
        <v>60</v>
      </c>
    </row>
    <row r="31" spans="1:7">
      <c r="A31" t="s">
        <v>61</v>
      </c>
      <c r="B31">
        <f>B29/B9</f>
        <v>1</v>
      </c>
      <c r="C31">
        <f>C29/C9</f>
        <v>1</v>
      </c>
      <c r="D31">
        <f>D29/D9</f>
        <v>1</v>
      </c>
      <c r="F31" s="10" t="s">
        <v>62</v>
      </c>
    </row>
    <row r="32" spans="1:7">
      <c r="A32" t="s">
        <v>63</v>
      </c>
      <c r="B32" s="3">
        <v>2</v>
      </c>
      <c r="C32" s="3">
        <v>2</v>
      </c>
      <c r="D32" s="3">
        <v>2</v>
      </c>
      <c r="F32" s="10" t="s">
        <v>64</v>
      </c>
    </row>
    <row r="33" spans="1:6 1025:1025">
      <c r="A33" t="s">
        <v>65</v>
      </c>
      <c r="B33">
        <v>18000</v>
      </c>
      <c r="C33">
        <v>18000</v>
      </c>
      <c r="D33">
        <v>18000</v>
      </c>
      <c r="E33" t="s">
        <v>23</v>
      </c>
      <c r="F33" s="10" t="s">
        <v>66</v>
      </c>
    </row>
    <row r="34" spans="1:6 1025:1025">
      <c r="A34" t="s">
        <v>67</v>
      </c>
      <c r="B34" s="3">
        <v>2</v>
      </c>
      <c r="C34" s="3">
        <v>2</v>
      </c>
      <c r="D34" s="3">
        <v>2</v>
      </c>
      <c r="F34" s="10" t="s">
        <v>68</v>
      </c>
    </row>
    <row r="35" spans="1:6 1025:1025">
      <c r="A35" t="s">
        <v>69</v>
      </c>
      <c r="B35">
        <f>B7*B32*B34</f>
        <v>27926.07802874743</v>
      </c>
      <c r="C35">
        <f>C7*C32*C34</f>
        <v>19986.310746064337</v>
      </c>
      <c r="D35">
        <f>D7*D32*D34</f>
        <v>55195.07186858316</v>
      </c>
      <c r="E35" t="s">
        <v>7</v>
      </c>
      <c r="F35" s="10" t="s">
        <v>70</v>
      </c>
    </row>
    <row r="36" spans="1:6 1025:1025">
      <c r="A36" t="s">
        <v>71</v>
      </c>
      <c r="B36">
        <f>B32*B10*(B30+B31)*B34</f>
        <v>4401.048578226636</v>
      </c>
      <c r="C36">
        <f>C32*C10*(C30+C31)*C34</f>
        <v>4260.1206578912643</v>
      </c>
      <c r="D36">
        <f>D32*D10*(D30+D31)*D34</f>
        <v>19417.626283367557</v>
      </c>
      <c r="E36" t="s">
        <v>20</v>
      </c>
      <c r="F36" s="10" t="s">
        <v>72</v>
      </c>
    </row>
    <row r="37" spans="1:6 1025:1025">
      <c r="A37" t="s">
        <v>73</v>
      </c>
      <c r="B37">
        <f>B33*B48</f>
        <v>3600</v>
      </c>
      <c r="C37">
        <f>C33*C48</f>
        <v>3600</v>
      </c>
      <c r="D37">
        <f>D33*D48</f>
        <v>3600</v>
      </c>
      <c r="E37" t="s">
        <v>23</v>
      </c>
      <c r="F37" s="10" t="s">
        <v>74</v>
      </c>
    </row>
    <row r="38" spans="1:6 1025:1025">
      <c r="A38" t="s">
        <v>75</v>
      </c>
      <c r="B38">
        <f>B35*B37/1000000</f>
        <v>100.53388090349075</v>
      </c>
      <c r="C38">
        <f>C35*C37/1000000</f>
        <v>71.950718685831603</v>
      </c>
      <c r="D38">
        <f>D35*D37/1000000</f>
        <v>198.70225872689937</v>
      </c>
      <c r="E38" t="s">
        <v>26</v>
      </c>
    </row>
    <row r="39" spans="1:6 1025:1025">
      <c r="A39" t="s">
        <v>75</v>
      </c>
      <c r="B39">
        <f>B38*$G2/1000000000</f>
        <v>3.1726079999999999</v>
      </c>
      <c r="C39">
        <f>C38*$G2/1000000000</f>
        <v>2.2705919999999997</v>
      </c>
      <c r="D39">
        <f>D38*$G2/1000000000</f>
        <v>6.2705663999999999</v>
      </c>
      <c r="E39" t="s">
        <v>56</v>
      </c>
    </row>
    <row r="40" spans="1:6 1025:1025">
      <c r="A40" t="s">
        <v>76</v>
      </c>
      <c r="B40" s="3">
        <v>0.1</v>
      </c>
      <c r="C40" s="3">
        <v>0.1</v>
      </c>
      <c r="D40" s="3">
        <v>0.1</v>
      </c>
      <c r="F40" s="10" t="s">
        <v>77</v>
      </c>
    </row>
    <row r="41" spans="1:6 1025:1025">
      <c r="A41" t="s">
        <v>78</v>
      </c>
      <c r="B41" s="3">
        <v>10</v>
      </c>
      <c r="C41" s="3">
        <v>10</v>
      </c>
      <c r="D41" s="3">
        <v>10</v>
      </c>
      <c r="F41" s="10" t="s">
        <v>79</v>
      </c>
    </row>
    <row r="42" spans="1:6 1025:1025">
      <c r="A42" t="s">
        <v>80</v>
      </c>
      <c r="B42">
        <f>B40*B10*B41</f>
        <v>712.39994971294459</v>
      </c>
      <c r="C42">
        <f>C40*C10*C41</f>
        <v>509.85486597102897</v>
      </c>
      <c r="D42">
        <f>D40*D10*D41</f>
        <v>1887.6714579055442</v>
      </c>
      <c r="E42" t="s">
        <v>20</v>
      </c>
      <c r="F42" s="10" t="s">
        <v>81</v>
      </c>
    </row>
    <row r="43" spans="1:6 1025:1025" s="8" customFormat="1">
      <c r="A43" s="8" t="s">
        <v>82</v>
      </c>
      <c r="B43" s="9">
        <f>B18+B19+B25+B36+B42</f>
        <v>7321.8883720497088</v>
      </c>
      <c r="C43" s="9">
        <f>C18+C19+C25+C36+C42</f>
        <v>6350.5256083724826</v>
      </c>
      <c r="D43" s="9">
        <f>D18+D19+D25+D36+D42</f>
        <v>27157.07926078029</v>
      </c>
      <c r="E43" s="8" t="s">
        <v>20</v>
      </c>
      <c r="F43" s="13" t="s">
        <v>83</v>
      </c>
      <c r="AMK43"/>
    </row>
    <row r="44" spans="1:6 1025:1025">
      <c r="A44" t="s">
        <v>84</v>
      </c>
      <c r="B44">
        <f>B43-B36</f>
        <v>2920.8397938230728</v>
      </c>
      <c r="C44">
        <f>C43-C36</f>
        <v>2090.4049504812183</v>
      </c>
      <c r="D44">
        <f>D43-D36</f>
        <v>7739.4529774127332</v>
      </c>
      <c r="E44" t="s">
        <v>20</v>
      </c>
      <c r="F44" s="10" t="s">
        <v>85</v>
      </c>
    </row>
    <row r="45" spans="1:6 1025:1025">
      <c r="A45" t="s">
        <v>86</v>
      </c>
      <c r="B45" s="3">
        <v>100</v>
      </c>
      <c r="C45" s="3">
        <v>100</v>
      </c>
      <c r="D45" s="3">
        <v>100</v>
      </c>
      <c r="E45" t="s">
        <v>26</v>
      </c>
      <c r="F45" s="10" t="s">
        <v>87</v>
      </c>
    </row>
    <row r="46" spans="1:6 1025:1025">
      <c r="A46" t="s">
        <v>88</v>
      </c>
      <c r="B46" s="3">
        <v>3</v>
      </c>
      <c r="C46" s="3">
        <v>3</v>
      </c>
      <c r="D46" s="3">
        <v>3</v>
      </c>
      <c r="E46" t="s">
        <v>26</v>
      </c>
      <c r="F46" s="10" t="s">
        <v>89</v>
      </c>
    </row>
    <row r="47" spans="1:6 1025:1025">
      <c r="A47" t="s">
        <v>90</v>
      </c>
      <c r="B47">
        <f>B7*B11/B45/1000000</f>
        <v>1.124024640657084</v>
      </c>
      <c r="C47">
        <f>C7*C11/C45/1000000</f>
        <v>1.1492128678986993</v>
      </c>
      <c r="D47">
        <f>D7*D11/D45/1000000</f>
        <v>2.3181930184804926</v>
      </c>
    </row>
    <row r="48" spans="1:6 1025:1025">
      <c r="A48" t="s">
        <v>91</v>
      </c>
      <c r="B48" s="3">
        <v>0.2</v>
      </c>
      <c r="C48" s="3">
        <v>0.2</v>
      </c>
      <c r="D48" s="3">
        <v>0.2</v>
      </c>
      <c r="F48" s="10" t="s">
        <v>92</v>
      </c>
    </row>
    <row r="49" spans="1:6">
      <c r="A49" t="s">
        <v>93</v>
      </c>
      <c r="B49">
        <f>B48*B11</f>
        <v>3220.0000000000005</v>
      </c>
      <c r="C49">
        <f>C48*C11</f>
        <v>4600</v>
      </c>
      <c r="D49">
        <f>D48*D11</f>
        <v>3360</v>
      </c>
      <c r="E49" t="s">
        <v>23</v>
      </c>
      <c r="F49" s="10" t="s">
        <v>94</v>
      </c>
    </row>
    <row r="50" spans="1:6">
      <c r="A50" t="s">
        <v>95</v>
      </c>
      <c r="B50">
        <f>B7*B49/1000000</f>
        <v>22.480492813141684</v>
      </c>
      <c r="C50">
        <f>C7*C49/1000000</f>
        <v>22.984257357973988</v>
      </c>
      <c r="D50">
        <f>D7*D49/1000000</f>
        <v>46.363860369609853</v>
      </c>
      <c r="E50" t="s">
        <v>26</v>
      </c>
      <c r="F50" s="10" t="s">
        <v>96</v>
      </c>
    </row>
    <row r="51" spans="1:6">
      <c r="A51" t="s">
        <v>97</v>
      </c>
      <c r="B51">
        <f>B16*B50*365.25*24*60*60/1000000000</f>
        <v>1.4188608</v>
      </c>
      <c r="C51">
        <f>C16*C50*365.25*24*60*60/1000000000</f>
        <v>1.4506559999999995</v>
      </c>
      <c r="D51">
        <f>D16*D50*365.25*24*60*60/1000000000</f>
        <v>2.92626432</v>
      </c>
      <c r="E51" t="s">
        <v>56</v>
      </c>
      <c r="F51" s="10" t="s">
        <v>98</v>
      </c>
    </row>
    <row r="52" spans="1:6">
      <c r="A52" t="s">
        <v>99</v>
      </c>
      <c r="B52">
        <f>B15*B7*B49/1000000</f>
        <v>1.1240246406570844</v>
      </c>
      <c r="C52">
        <f>C15*C7*C49/1000000</f>
        <v>1.1492128678986993</v>
      </c>
      <c r="D52">
        <f>D15*D7*D49/1000000</f>
        <v>2.3181930184804926</v>
      </c>
      <c r="E52" t="s">
        <v>26</v>
      </c>
      <c r="F52" s="10" t="s">
        <v>96</v>
      </c>
    </row>
    <row r="53" spans="1:6">
      <c r="A53" t="s">
        <v>100</v>
      </c>
      <c r="B53">
        <f>B17*B52*365.25*24*60*60/1000000000</f>
        <v>7.0943039999999999E-2</v>
      </c>
      <c r="C53">
        <f>C17*C52*365.25*24*60*60/1000000000</f>
        <v>7.2532799999999967E-2</v>
      </c>
      <c r="D53">
        <f>D17*D52*365.25*24*60*60/1000000000</f>
        <v>0.14631321599999997</v>
      </c>
      <c r="E53" t="s">
        <v>56</v>
      </c>
      <c r="F53" s="10" t="s">
        <v>101</v>
      </c>
    </row>
    <row r="54" spans="1:6">
      <c r="A54" t="s">
        <v>102</v>
      </c>
      <c r="B54">
        <f>B7*(B49+B11)/(B45*1000000)</f>
        <v>1.348829568788501</v>
      </c>
      <c r="C54">
        <f>C7*(C49+C11)/(C45*1000000)</f>
        <v>1.3790554414784393</v>
      </c>
      <c r="D54">
        <f>D7*(D49+D11)/(D45*1000000)</f>
        <v>2.7818316221765911</v>
      </c>
      <c r="E54" t="s">
        <v>103</v>
      </c>
      <c r="F54" s="10" t="s">
        <v>104</v>
      </c>
    </row>
    <row r="55" spans="1:6">
      <c r="A55" t="s">
        <v>105</v>
      </c>
      <c r="B55">
        <f>B16*B54</f>
        <v>2.697659137577002</v>
      </c>
      <c r="C55">
        <f>C16*C54</f>
        <v>2.7581108829568786</v>
      </c>
      <c r="D55">
        <f>D16*D54</f>
        <v>5.5636632443531822</v>
      </c>
      <c r="E55" t="s">
        <v>103</v>
      </c>
      <c r="F55" s="10" t="s">
        <v>106</v>
      </c>
    </row>
    <row r="56" spans="1:6">
      <c r="A56" t="s">
        <v>107</v>
      </c>
      <c r="B56">
        <f>B15*B54</f>
        <v>6.7441478439425051E-2</v>
      </c>
      <c r="C56">
        <f>C15*C54</f>
        <v>6.8952772073921961E-2</v>
      </c>
      <c r="D56">
        <f>D15*D54</f>
        <v>0.13909158110882955</v>
      </c>
      <c r="E56" t="s">
        <v>103</v>
      </c>
      <c r="F56" s="10" t="s">
        <v>108</v>
      </c>
    </row>
    <row r="57" spans="1:6">
      <c r="A57" t="s">
        <v>109</v>
      </c>
      <c r="B57">
        <f>B17*B56</f>
        <v>0.1348829568788501</v>
      </c>
      <c r="C57">
        <f>C17*C56</f>
        <v>0.13790554414784392</v>
      </c>
      <c r="D57">
        <f>D17*D56</f>
        <v>0.2781831622176591</v>
      </c>
      <c r="E57" t="s">
        <v>103</v>
      </c>
      <c r="F57" s="10" t="s">
        <v>110</v>
      </c>
    </row>
    <row r="58" spans="1:6">
      <c r="A58" t="s">
        <v>111</v>
      </c>
      <c r="B58">
        <f>B7*B49/(10*1000000)</f>
        <v>2.2480492813141684</v>
      </c>
      <c r="C58">
        <f>C7*C49/(10*1000000)</f>
        <v>2.2984257357973989</v>
      </c>
      <c r="D58">
        <f>D7*D49/(10*1000000)</f>
        <v>4.6363860369609853</v>
      </c>
      <c r="E58" t="s">
        <v>103</v>
      </c>
      <c r="F58" s="10" t="s">
        <v>112</v>
      </c>
    </row>
    <row r="59" spans="1:6">
      <c r="A59" t="s">
        <v>113</v>
      </c>
      <c r="B59">
        <f>B22*B58*B20</f>
        <v>1.1240246406570842</v>
      </c>
      <c r="C59">
        <f>C22*C58*C20</f>
        <v>1.1492128678986995</v>
      </c>
      <c r="D59">
        <f>D22*D58*D20</f>
        <v>2.3181930184804926</v>
      </c>
      <c r="E59" t="s">
        <v>103</v>
      </c>
      <c r="F59" s="10" t="s">
        <v>114</v>
      </c>
    </row>
    <row r="60" spans="1:6">
      <c r="A60" t="s">
        <v>115</v>
      </c>
      <c r="B60">
        <f>(B58+B59)*B24</f>
        <v>6.7441478439425051</v>
      </c>
      <c r="C60">
        <f>(C58+C59)*C24</f>
        <v>6.8952772073921968</v>
      </c>
      <c r="D60">
        <f>(D58+D59)*D24</f>
        <v>13.909158110882956</v>
      </c>
      <c r="E60" t="s">
        <v>103</v>
      </c>
      <c r="F60" s="10" t="s">
        <v>116</v>
      </c>
    </row>
    <row r="61" spans="1:6">
      <c r="A61" t="s">
        <v>117</v>
      </c>
      <c r="B61">
        <f>B38/B45</f>
        <v>1.0053388090349076</v>
      </c>
      <c r="C61">
        <f>C38/C45</f>
        <v>0.71950718685831605</v>
      </c>
      <c r="D61">
        <f>D38/D45</f>
        <v>1.9870225872689937</v>
      </c>
      <c r="E61" t="s">
        <v>103</v>
      </c>
      <c r="F61" s="10" t="s">
        <v>118</v>
      </c>
    </row>
    <row r="62" spans="1:6">
      <c r="A62" t="s">
        <v>119</v>
      </c>
      <c r="B62">
        <f>B47+B55+B57+B60+B61</f>
        <v>11.70605338809035</v>
      </c>
      <c r="C62">
        <f>C47+C55+C57+C60+C61</f>
        <v>11.660013689253933</v>
      </c>
      <c r="D62">
        <f>D47+D55+D57+D60+D61</f>
        <v>24.056220123203282</v>
      </c>
      <c r="F62" s="10" t="s">
        <v>120</v>
      </c>
    </row>
    <row r="63" spans="1:6">
      <c r="A63" t="s">
        <v>121</v>
      </c>
      <c r="B63" s="3">
        <v>20</v>
      </c>
      <c r="C63" s="3">
        <v>20</v>
      </c>
      <c r="D63" s="3">
        <v>20</v>
      </c>
      <c r="E63" t="s">
        <v>122</v>
      </c>
      <c r="F63" s="10" t="s">
        <v>123</v>
      </c>
    </row>
    <row r="64" spans="1:6">
      <c r="A64" t="s">
        <v>124</v>
      </c>
      <c r="B64">
        <f>B63*B41</f>
        <v>200</v>
      </c>
      <c r="C64">
        <f>C63*C41</f>
        <v>200</v>
      </c>
      <c r="D64">
        <f>D63*D41</f>
        <v>200</v>
      </c>
      <c r="E64" t="s">
        <v>122</v>
      </c>
      <c r="F64" s="10" t="s">
        <v>125</v>
      </c>
    </row>
    <row r="65" spans="1:4">
      <c r="A65" t="s">
        <v>126</v>
      </c>
      <c r="B65">
        <f>B14/1000+B51+B53+B27+B39</f>
        <v>8.9165663467761824</v>
      </c>
      <c r="C65">
        <f>C14/1000+C51+C53+C27+C39</f>
        <v>8.143266500205339</v>
      </c>
      <c r="D65">
        <f>D14/1000+D51+D53+D27+D39</f>
        <v>18.11692959908008</v>
      </c>
    </row>
  </sheetData>
  <pageMargins left="0.78749999999999998" right="0.78749999999999998" top="1.05277777777778" bottom="1.05277777777778" header="0.78749999999999998" footer="0.78749999999999998"/>
  <pageSetup orientation="portrait" useFirstPageNumber="1" horizontalDpi="4294967292" verticalDpi="4294967292"/>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E10" sqref="E10"/>
    </sheetView>
  </sheetViews>
  <sheetFormatPr baseColWidth="10" defaultColWidth="8.83203125" defaultRowHeight="12" x14ac:dyDescent="0"/>
  <sheetData>
    <row r="1" spans="1:5" ht="12.25" customHeight="1">
      <c r="B1" t="s">
        <v>2</v>
      </c>
      <c r="C1" t="s">
        <v>3</v>
      </c>
    </row>
    <row r="2" spans="1:5" ht="12.25" customHeight="1">
      <c r="A2" t="s">
        <v>127</v>
      </c>
      <c r="B2" s="3">
        <f>model!B5</f>
        <v>14.571428571428571</v>
      </c>
      <c r="C2" s="3">
        <f>model!C5</f>
        <v>10.428571428571429</v>
      </c>
    </row>
    <row r="3" spans="1:5" ht="12.25" customHeight="1">
      <c r="A3" t="s">
        <v>128</v>
      </c>
      <c r="B3">
        <f>7*B2</f>
        <v>102</v>
      </c>
      <c r="C3">
        <f>7*C2</f>
        <v>73</v>
      </c>
      <c r="D3" t="s">
        <v>129</v>
      </c>
      <c r="E3" s="3">
        <v>2</v>
      </c>
    </row>
    <row r="4" spans="1:5" ht="12.25" customHeight="1">
      <c r="A4" t="s">
        <v>130</v>
      </c>
      <c r="B4">
        <f>model!B6</f>
        <v>0.5</v>
      </c>
      <c r="C4">
        <f>model!C6</f>
        <v>0.5</v>
      </c>
      <c r="D4" t="s">
        <v>131</v>
      </c>
      <c r="E4">
        <f>24*60*60</f>
        <v>86400</v>
      </c>
    </row>
    <row r="5" spans="1:5" ht="12.25" customHeight="1">
      <c r="A5" t="s">
        <v>132</v>
      </c>
      <c r="B5" s="5">
        <f>B3*B4*$E$4</f>
        <v>4406400</v>
      </c>
      <c r="C5" s="5">
        <f>C3*C4*$E$4</f>
        <v>3153600</v>
      </c>
      <c r="D5" t="s">
        <v>133</v>
      </c>
      <c r="E5">
        <v>365.25</v>
      </c>
    </row>
    <row r="6" spans="1:5" ht="12.25" customHeight="1">
      <c r="A6" t="s">
        <v>134</v>
      </c>
      <c r="B6">
        <v>20000</v>
      </c>
      <c r="C6">
        <v>20000</v>
      </c>
      <c r="D6" t="s">
        <v>135</v>
      </c>
      <c r="E6">
        <v>10000</v>
      </c>
    </row>
    <row r="7" spans="1:5" ht="12.25" customHeight="1">
      <c r="A7" t="s">
        <v>136</v>
      </c>
      <c r="B7" s="5">
        <f>B5*B6</f>
        <v>88128000000</v>
      </c>
      <c r="C7" s="5">
        <f>C5*C6</f>
        <v>63072000000</v>
      </c>
      <c r="D7" t="s">
        <v>137</v>
      </c>
      <c r="E7">
        <v>2</v>
      </c>
    </row>
    <row r="8" spans="1:5" ht="12.25" customHeight="1">
      <c r="B8" s="5"/>
      <c r="C8" s="5"/>
      <c r="D8" t="s">
        <v>138</v>
      </c>
      <c r="E8">
        <v>18000</v>
      </c>
    </row>
    <row r="9" spans="1:5" ht="12.25" customHeight="1">
      <c r="A9" t="s">
        <v>139</v>
      </c>
      <c r="B9">
        <f>model!B9</f>
        <v>0.1020408163265306</v>
      </c>
      <c r="C9">
        <f>model!C9</f>
        <v>0.1020408163265306</v>
      </c>
      <c r="D9" t="s">
        <v>140</v>
      </c>
      <c r="E9">
        <v>0.2</v>
      </c>
    </row>
    <row r="10" spans="1:5" ht="12.25" customHeight="1">
      <c r="A10" t="s">
        <v>141</v>
      </c>
      <c r="B10">
        <f>B7*B9/$E$4/$E$5</f>
        <v>284.95997988517786</v>
      </c>
      <c r="C10">
        <f>C7*C9/$E$4/$E$5</f>
        <v>203.94194638841159</v>
      </c>
    </row>
    <row r="11" spans="1:5" ht="12.25" customHeight="1">
      <c r="A11" t="s">
        <v>142</v>
      </c>
      <c r="B11">
        <f>B7*B9/$E$4/$E$6</f>
        <v>10.408163265306122</v>
      </c>
      <c r="C11">
        <f>C7*C9/$E$4/$E$6</f>
        <v>7.4489795918367339</v>
      </c>
    </row>
    <row r="13" spans="1:5" ht="12.25" customHeight="1">
      <c r="A13" t="s">
        <v>143</v>
      </c>
      <c r="B13">
        <f>model!B28</f>
        <v>5.5555555555555552E-2</v>
      </c>
      <c r="C13">
        <f>model!C28</f>
        <v>0.1111111111111111</v>
      </c>
    </row>
    <row r="14" spans="1:5" ht="12.25" customHeight="1">
      <c r="A14" t="s">
        <v>144</v>
      </c>
      <c r="B14">
        <f>B9</f>
        <v>0.1020408163265306</v>
      </c>
      <c r="C14">
        <f>C9</f>
        <v>0.1020408163265306</v>
      </c>
    </row>
    <row r="15" spans="1:5" ht="12.25" customHeight="1">
      <c r="A15" t="s">
        <v>145</v>
      </c>
      <c r="B15">
        <f>B7*$E$7*(B14+B13)/$E$4/$E$6</f>
        <v>32.149659863945573</v>
      </c>
      <c r="C15">
        <f>C7*$E$7*(C14+C13)/$E$4/$E$6</f>
        <v>31.120181405895693</v>
      </c>
    </row>
    <row r="17" spans="1:3" ht="12.25" customHeight="1">
      <c r="A17" t="s">
        <v>146</v>
      </c>
      <c r="B17">
        <f>B11+B15</f>
        <v>42.557823129251695</v>
      </c>
      <c r="C17">
        <f>C11+C15</f>
        <v>38.569160997732425</v>
      </c>
    </row>
    <row r="23" spans="1:3" ht="12.25" customHeight="1">
      <c r="A23" t="s">
        <v>147</v>
      </c>
      <c r="B23">
        <f>B7*$E8</f>
        <v>1586304000000000</v>
      </c>
      <c r="C23">
        <f>C7*$E8</f>
        <v>1135296000000000</v>
      </c>
    </row>
    <row r="24" spans="1:3" ht="12.25" customHeight="1">
      <c r="A24" t="s">
        <v>148</v>
      </c>
      <c r="B24">
        <f>B23/1000000000000000</f>
        <v>1.5863039999999999</v>
      </c>
      <c r="C24">
        <f>C23/1000000000000000</f>
        <v>1.1352960000000001</v>
      </c>
    </row>
    <row r="25" spans="1:3" ht="12.25" customHeight="1">
      <c r="A25" t="s">
        <v>149</v>
      </c>
      <c r="B25">
        <f>B24*$E9</f>
        <v>0.31726080000000001</v>
      </c>
      <c r="C25">
        <f>C24*$E9</f>
        <v>0.22705920000000002</v>
      </c>
    </row>
    <row r="26" spans="1:3" ht="12.25" customHeight="1">
      <c r="A26" t="s">
        <v>150</v>
      </c>
      <c r="B26">
        <f>B24*(1+0.2*(2*1+2*2+2*0.05+5*0.1))</f>
        <v>3.6802252800000002</v>
      </c>
      <c r="C26">
        <f>C24*(1+0.2*(2*1+2*2+2*0.05+5*0.1))</f>
        <v>2.6338867200000005</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model</vt:lpstr>
      <vt:lpstr>wait times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Ito</dc:creator>
  <cp:lastModifiedBy>David Lawrence</cp:lastModifiedBy>
  <cp:revision>10</cp:revision>
  <dcterms:created xsi:type="dcterms:W3CDTF">2015-02-05T18:55:24Z</dcterms:created>
  <dcterms:modified xsi:type="dcterms:W3CDTF">2017-07-10T13:46:03Z</dcterms:modified>
  <dc:language>en-US</dc:language>
</cp:coreProperties>
</file>