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7060" yWindow="1160" windowWidth="25600" windowHeight="16060" tabRatio="991"/>
  </bookViews>
  <sheets>
    <sheet name="model" sheetId="1" r:id="rId1"/>
    <sheet name="wait times" sheetId="2" r:id="rId2"/>
  </sheets>
  <definedNames>
    <definedName name="Pass1CPUs">model!$B$10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C7" i="1"/>
  <c r="C8" i="1"/>
  <c r="C11" i="1"/>
  <c r="C13" i="1"/>
  <c r="C14" i="1"/>
  <c r="B5" i="1"/>
  <c r="B7" i="1"/>
  <c r="B8" i="1"/>
  <c r="B11" i="1"/>
  <c r="B13" i="1"/>
  <c r="B14" i="1"/>
  <c r="C12" i="1"/>
  <c r="B12" i="1"/>
  <c r="C9" i="1"/>
  <c r="C10" i="1"/>
  <c r="B9" i="1"/>
  <c r="B10" i="1"/>
  <c r="D9" i="1"/>
  <c r="D5" i="1"/>
  <c r="D7" i="1"/>
  <c r="D8" i="1"/>
  <c r="D10" i="1"/>
  <c r="D12" i="1"/>
  <c r="D13" i="1"/>
  <c r="D14" i="1"/>
  <c r="D18" i="1"/>
  <c r="D19" i="1"/>
  <c r="D23" i="1"/>
  <c r="D25" i="1"/>
  <c r="D49" i="1"/>
  <c r="D50" i="1"/>
  <c r="D26" i="1"/>
  <c r="D27" i="1"/>
  <c r="D28" i="1"/>
  <c r="D29" i="1"/>
  <c r="D30" i="1"/>
  <c r="D31" i="1"/>
  <c r="D35" i="1"/>
  <c r="D36" i="1"/>
  <c r="D37" i="1"/>
  <c r="D38" i="1"/>
  <c r="D39" i="1"/>
  <c r="D42" i="1"/>
  <c r="D43" i="1"/>
  <c r="D44" i="1"/>
  <c r="D47" i="1"/>
  <c r="D51" i="1"/>
  <c r="D52" i="1"/>
  <c r="D53" i="1"/>
  <c r="D54" i="1"/>
  <c r="D55" i="1"/>
  <c r="D56" i="1"/>
  <c r="D57" i="1"/>
  <c r="D58" i="1"/>
  <c r="D59" i="1"/>
  <c r="D60" i="1"/>
  <c r="D61" i="1"/>
  <c r="D62" i="1"/>
  <c r="D64" i="1"/>
  <c r="D65" i="1"/>
  <c r="C2" i="2"/>
  <c r="C3" i="2"/>
  <c r="C4" i="2"/>
  <c r="E4" i="2"/>
  <c r="C5" i="2"/>
  <c r="C7" i="2"/>
  <c r="C23" i="2"/>
  <c r="C24" i="2"/>
  <c r="C26" i="2"/>
  <c r="B2" i="2"/>
  <c r="B3" i="2"/>
  <c r="B4" i="2"/>
  <c r="B5" i="2"/>
  <c r="B7" i="2"/>
  <c r="B23" i="2"/>
  <c r="B24" i="2"/>
  <c r="B26" i="2"/>
  <c r="C25" i="2"/>
  <c r="B25" i="2"/>
  <c r="C9" i="2"/>
  <c r="C11" i="2"/>
  <c r="C14" i="2"/>
  <c r="C28" i="1"/>
  <c r="C13" i="2"/>
  <c r="C15" i="2"/>
  <c r="C17" i="2"/>
  <c r="B9" i="2"/>
  <c r="B11" i="2"/>
  <c r="B14" i="2"/>
  <c r="B28" i="1"/>
  <c r="B13" i="2"/>
  <c r="B15" i="2"/>
  <c r="B17" i="2"/>
  <c r="C10" i="2"/>
  <c r="B10" i="2"/>
  <c r="C49" i="1"/>
  <c r="C50" i="1"/>
  <c r="C51" i="1"/>
  <c r="C52" i="1"/>
  <c r="C53" i="1"/>
  <c r="C26" i="1"/>
  <c r="G2" i="1"/>
  <c r="C27" i="1"/>
  <c r="C35" i="1"/>
  <c r="C37" i="1"/>
  <c r="C38" i="1"/>
  <c r="C39" i="1"/>
  <c r="C65" i="1"/>
  <c r="B49" i="1"/>
  <c r="B50" i="1"/>
  <c r="B51" i="1"/>
  <c r="B52" i="1"/>
  <c r="B53" i="1"/>
  <c r="B26" i="1"/>
  <c r="B27" i="1"/>
  <c r="B35" i="1"/>
  <c r="B37" i="1"/>
  <c r="B38" i="1"/>
  <c r="B39" i="1"/>
  <c r="B65" i="1"/>
  <c r="C64" i="1"/>
  <c r="B64" i="1"/>
  <c r="C47" i="1"/>
  <c r="C54" i="1"/>
  <c r="C55" i="1"/>
  <c r="C56" i="1"/>
  <c r="C57" i="1"/>
  <c r="C58" i="1"/>
  <c r="C59" i="1"/>
  <c r="C60" i="1"/>
  <c r="C61" i="1"/>
  <c r="C62" i="1"/>
  <c r="B47" i="1"/>
  <c r="B54" i="1"/>
  <c r="B55" i="1"/>
  <c r="B56" i="1"/>
  <c r="B57" i="1"/>
  <c r="B58" i="1"/>
  <c r="B59" i="1"/>
  <c r="B60" i="1"/>
  <c r="B61" i="1"/>
  <c r="B62" i="1"/>
  <c r="C18" i="1"/>
  <c r="C19" i="1"/>
  <c r="C23" i="1"/>
  <c r="C25" i="1"/>
  <c r="C30" i="1"/>
  <c r="C29" i="1"/>
  <c r="C31" i="1"/>
  <c r="C36" i="1"/>
  <c r="C42" i="1"/>
  <c r="C43" i="1"/>
  <c r="C44" i="1"/>
  <c r="B18" i="1"/>
  <c r="B19" i="1"/>
  <c r="B23" i="1"/>
  <c r="B25" i="1"/>
  <c r="B30" i="1"/>
  <c r="B29" i="1"/>
  <c r="B31" i="1"/>
  <c r="B36" i="1"/>
  <c r="B42" i="1"/>
  <c r="B43" i="1"/>
  <c r="B44" i="1"/>
</calcChain>
</file>

<file path=xl/sharedStrings.xml><?xml version="1.0" encoding="utf-8"?>
<sst xmlns="http://schemas.openxmlformats.org/spreadsheetml/2006/main" count="193" uniqueCount="157">
  <si>
    <t>GlueX Computing Model</t>
  </si>
  <si>
    <t>parameter</t>
  </si>
  <si>
    <t>fy17</t>
  </si>
  <si>
    <t>fy18</t>
  </si>
  <si>
    <t>units</t>
  </si>
  <si>
    <t>comments</t>
  </si>
  <si>
    <t>event rate</t>
  </si>
  <si>
    <t>events/s</t>
  </si>
  <si>
    <t>raw data rate out of the counting room when beam is on</t>
  </si>
  <si>
    <t>annual running</t>
  </si>
  <si>
    <t>weeks</t>
  </si>
  <si>
    <t>amount of running in a year, fy17: 35+67 days, fy18: 42+10+21 days (see Eugene’s talk, Oct. ‘16 Collab. Mtg.)</t>
  </si>
  <si>
    <t>running efficiency</t>
  </si>
  <si>
    <t>fraction of wall time when beam is on, either due to beam unavailable or detector not ready</t>
  </si>
  <si>
    <t>effective event rate (per second)</t>
  </si>
  <si>
    <t>Event rate averaged over time</t>
  </si>
  <si>
    <t>effective event rate (per year)</t>
  </si>
  <si>
    <t>events/year</t>
  </si>
  <si>
    <t>CPU time per event</t>
  </si>
  <si>
    <t>CPU-s/event</t>
  </si>
  <si>
    <t>single Pass 1 CPU needed</t>
  </si>
  <si>
    <t>CPU's</t>
  </si>
  <si>
    <t>number of threads to keep up with the raw event rate</t>
  </si>
  <si>
    <t>raw event size</t>
  </si>
  <si>
    <t>bytes</t>
  </si>
  <si>
    <t>size of a single raw event. Actual Spring 2016 data is 16.4kB+4.6kB/10^7 g/s. Estimate from Spring 2016 data for reduced windows is 11.5kB + 0.23kB/10^7 g/s</t>
  </si>
  <si>
    <t>raw instantaneous storage rate</t>
  </si>
  <si>
    <t>MB/s</t>
  </si>
  <si>
    <t>data rate when beam is on</t>
  </si>
  <si>
    <t>raw effective storage rate</t>
  </si>
  <si>
    <t>bytes/year</t>
  </si>
  <si>
    <t>average data volume rate</t>
  </si>
  <si>
    <t>TB/year</t>
  </si>
  <si>
    <t>pass 0 event fraction</t>
  </si>
  <si>
    <t>fraction of events from raw data stream to perform calibrations</t>
  </si>
  <si>
    <t>pass 1 repetition factor</t>
  </si>
  <si>
    <t>number of times event reconstruction will be repeated</t>
  </si>
  <si>
    <t>pass 0 repetition factor</t>
  </si>
  <si>
    <t>number of times calibration will be repeated</t>
  </si>
  <si>
    <t>pass 0 CPU need</t>
  </si>
  <si>
    <t>number of threads of calibration to keep up</t>
  </si>
  <si>
    <t>pass 1 CPU need</t>
  </si>
  <si>
    <t>number of threads of reconstruction to keep up</t>
  </si>
  <si>
    <t>stream/pass-1 CPU ratio</t>
  </si>
  <si>
    <t>ratio of CPU time required for a skim stream to that needed for reconstruction</t>
  </si>
  <si>
    <t>stream output to input size ratio</t>
  </si>
  <si>
    <t>ratio of data volume output for a stream to that of input</t>
  </si>
  <si>
    <t>stream multiplicity factor</t>
  </si>
  <si>
    <t>number of streams to be produced</t>
  </si>
  <si>
    <t>single stream CPU need</t>
  </si>
  <si>
    <t>number of threads for one stream to keep up</t>
  </si>
  <si>
    <t>stream repetition factor</t>
  </si>
  <si>
    <t>number of times streaming will be repeated</t>
  </si>
  <si>
    <t>stream CPU need</t>
  </si>
  <si>
    <t>number of threads for streaming to keep up</t>
  </si>
  <si>
    <t>single stream output data rate</t>
  </si>
  <si>
    <t>total stream output data rate</t>
  </si>
  <si>
    <t>PB/year</t>
  </si>
  <si>
    <t>MC CPU time per event, generation</t>
  </si>
  <si>
    <t>per David's email of 11/1, point 2, fy 18 a factor of two more due to G3 → G4 switch</t>
  </si>
  <si>
    <t>MC CPU time per event, reconstruction</t>
  </si>
  <si>
    <t>MC CPU ratio per event, generation</t>
  </si>
  <si>
    <t>ratio of CPU time required for generating a Monte Carlo event to that needed for reconstruction</t>
  </si>
  <si>
    <t>MC CPU ratio per event, reconstruction</t>
  </si>
  <si>
    <t>ratio of CPU time to reconstruct Monte Carlo events to that to reconstruct real data</t>
  </si>
  <si>
    <t>MC/raw data event rate ratio</t>
  </si>
  <si>
    <t>ratio of number of Monte Carlo events needed to number of raw data events</t>
  </si>
  <si>
    <t>MC event size</t>
  </si>
  <si>
    <t>size of a single generated Monte Carlo event</t>
  </si>
  <si>
    <t>MC multiplicity factor</t>
  </si>
  <si>
    <t>number of times MC data will need to be generated</t>
  </si>
  <si>
    <t>MC effective event rate</t>
  </si>
  <si>
    <t>event rate averaged over time of MC event generation</t>
  </si>
  <si>
    <t>MC CPU need</t>
  </si>
  <si>
    <t>numbers of threads needed for generating Monte Carlo</t>
  </si>
  <si>
    <t>MC pass 1 output event size</t>
  </si>
  <si>
    <t>size of a single reconstructed Monte Carlo event</t>
  </si>
  <si>
    <t>MC effective data rate</t>
  </si>
  <si>
    <t>analysis/pass-1 CPU ratio</t>
  </si>
  <si>
    <t>ratio of CPU time required for performing a physics analysis to that needed for reconstruction</t>
  </si>
  <si>
    <t>analysis multiplicity factor</t>
  </si>
  <si>
    <t>number of analyses to be conducted</t>
  </si>
  <si>
    <t>analysis CPU need</t>
  </si>
  <si>
    <t>number of threads needed for analysis</t>
  </si>
  <si>
    <t>total CPU need</t>
  </si>
  <si>
    <t>total number  of threads needed for all activities</t>
  </si>
  <si>
    <t>total CPU need exclusive of MC</t>
  </si>
  <si>
    <t>total number of threads needed for all activities</t>
  </si>
  <si>
    <t>data rate, tape to cache disk</t>
  </si>
  <si>
    <t>average rate from tape library to cache disk</t>
  </si>
  <si>
    <t>data rate, cache disk to local disk</t>
  </si>
  <si>
    <t>average rate from cache disk to local farm node disk</t>
  </si>
  <si>
    <t>raw data recording tape need</t>
  </si>
  <si>
    <t>Pass 1 output to input size ratio</t>
  </si>
  <si>
    <t>ratio of output event size to input event size</t>
  </si>
  <si>
    <t>pass1 processed event size</t>
  </si>
  <si>
    <t>reconstructed event size</t>
  </si>
  <si>
    <t>Single pass 1 output data rate</t>
  </si>
  <si>
    <t>data rate for a single pass 1 output stream</t>
  </si>
  <si>
    <t>total pass 1 output data rate</t>
  </si>
  <si>
    <t>data rate for all pass 1 output streams</t>
  </si>
  <si>
    <t>Single pass 0 output data rate</t>
  </si>
  <si>
    <t>total pass 0 output data rate</t>
  </si>
  <si>
    <t>data rate for all pass 0 output streams</t>
  </si>
  <si>
    <t>single pass 1 tape need</t>
  </si>
  <si>
    <t>drives</t>
  </si>
  <si>
    <t>number of tape drives needed to support pass 1, one iteration</t>
  </si>
  <si>
    <t>Pass 1 tape need</t>
  </si>
  <si>
    <t>number of tape drives needed to support pass 1, all iterations</t>
  </si>
  <si>
    <t>single pass 0 tape need</t>
  </si>
  <si>
    <t>number of tape drives needed to support pass 0, one iteration</t>
  </si>
  <si>
    <t>Pass 0 tape need</t>
  </si>
  <si>
    <t>number of tape drives needed to support pass 0, all iterations</t>
  </si>
  <si>
    <t>single stream input tape need</t>
  </si>
  <si>
    <t>number of tape drives needed to support input for streaming, one iteration</t>
  </si>
  <si>
    <t>single set of stream output tape need (all streams)</t>
  </si>
  <si>
    <t>number of tape drives needed to support output for streaming, one iteration</t>
  </si>
  <si>
    <t>total stream tape need</t>
  </si>
  <si>
    <t>number of tape drives needed to support streaming, all iterations</t>
  </si>
  <si>
    <t>MC tape drive need</t>
  </si>
  <si>
    <t>number of tape drives needed to archive reconstructed MC data</t>
  </si>
  <si>
    <t>total tape drive need</t>
  </si>
  <si>
    <t>total number of tape drives needed for all activities</t>
  </si>
  <si>
    <t>disk usage per analysis</t>
  </si>
  <si>
    <t>TB</t>
  </si>
  <si>
    <t>permanent disk space used by an analysis</t>
  </si>
  <si>
    <t>disk usage total</t>
  </si>
  <si>
    <t>permanent disk space used by all analyses</t>
  </si>
  <si>
    <t>total output rate</t>
  </si>
  <si>
    <t>Weeks of running</t>
  </si>
  <si>
    <t>Days of running</t>
  </si>
  <si>
    <t>Days of Running per PAC Day</t>
  </si>
  <si>
    <t>Running efficiency</t>
  </si>
  <si>
    <t>Seconds per day</t>
  </si>
  <si>
    <t>Running time (s)</t>
  </si>
  <si>
    <t>Days per year</t>
  </si>
  <si>
    <t>Trigger rate (Hz)</t>
  </si>
  <si>
    <t>Number of cores</t>
  </si>
  <si>
    <t>Number of events</t>
  </si>
  <si>
    <t>Ratio of Monte Carlo events to data events</t>
  </si>
  <si>
    <t>event size (bytes)</t>
  </si>
  <si>
    <t>Reconstruction time per event per core (s)</t>
  </si>
  <si>
    <t>ratio of size of DST to Raw</t>
  </si>
  <si>
    <t>Reconstruction time, single core (y)</t>
  </si>
  <si>
    <t>Reconstruction time (d)</t>
  </si>
  <si>
    <t>Monte Carlo generation time per event per core</t>
  </si>
  <si>
    <t>Monte Carlo reconstruction time per event per core</t>
  </si>
  <si>
    <t>Monte Carlo time, gen. + recon. (d)</t>
  </si>
  <si>
    <t>Reconstruction time + MC time (d)</t>
  </si>
  <si>
    <t>raw data volume (bytes)</t>
  </si>
  <si>
    <t>raw data volume (PB)</t>
  </si>
  <si>
    <t>DST data volume, real data, recon. (PB)</t>
  </si>
  <si>
    <t>total data to tape (PB)</t>
  </si>
  <si>
    <t>Oct. 2016 David benchmark 2016-Broadwell real cores for FY17 and FY18. Benchmark for Spring 2017 data for FY18 and FY19</t>
  </si>
  <si>
    <t>fy17(old)</t>
  </si>
  <si>
    <t>fy18(old)</t>
  </si>
  <si>
    <t>fy19(new)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</si>
</sst>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3CAFF"/>
        <bgColor rgb="FF9999FF"/>
      </patternFill>
    </fill>
    <fill>
      <patternFill patternType="solid">
        <fgColor rgb="FFFFFF99"/>
        <bgColor rgb="FFFFFFC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164" fontId="0" fillId="2" borderId="0" xfId="0" applyNumberFormat="1" applyFill="1"/>
    <xf numFmtId="11" fontId="0" fillId="0" borderId="0" xfId="0" applyNumberFormat="1"/>
    <xf numFmtId="48" fontId="0" fillId="0" borderId="0" xfId="0" applyNumberFormat="1"/>
    <xf numFmtId="0" fontId="0" fillId="0" borderId="0" xfId="0" applyFont="1" applyAlignment="1">
      <alignment wrapText="1"/>
    </xf>
    <xf numFmtId="0" fontId="0" fillId="3" borderId="0" xfId="0" applyFont="1" applyFill="1"/>
    <xf numFmtId="0" fontId="0" fillId="3" borderId="0" xfId="0" applyFill="1"/>
    <xf numFmtId="0" fontId="0" fillId="0" borderId="0" xfId="0" applyAlignment="1" applyProtection="1">
      <alignment wrapText="1"/>
      <protection locked="0"/>
    </xf>
    <xf numFmtId="0" fontId="1" fillId="0" borderId="0" xfId="0" applyFont="1" applyAlignment="1" applyProtection="1">
      <alignment wrapText="1"/>
      <protection locked="0"/>
    </xf>
    <xf numFmtId="0" fontId="0" fillId="0" borderId="0" xfId="0" applyFont="1" applyAlignment="1" applyProtection="1">
      <alignment wrapText="1"/>
      <protection locked="0"/>
    </xf>
    <xf numFmtId="0" fontId="0" fillId="3" borderId="0" xfId="0" applyFont="1" applyFill="1" applyAlignment="1" applyProtection="1">
      <alignment wrapText="1"/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5"/>
  <sheetViews>
    <sheetView tabSelected="1" topLeftCell="B2" zoomScale="150" zoomScaleNormal="150" zoomScalePageLayoutView="150" workbookViewId="0">
      <selection activeCell="B4" sqref="A4:XFD4"/>
    </sheetView>
  </sheetViews>
  <sheetFormatPr baseColWidth="10" defaultColWidth="8.83203125" defaultRowHeight="12" x14ac:dyDescent="0"/>
  <cols>
    <col min="1" max="1" width="32.6640625" customWidth="1"/>
    <col min="5" max="5" width="12.33203125" customWidth="1"/>
    <col min="6" max="6" width="81" style="10" customWidth="1"/>
  </cols>
  <sheetData>
    <row r="1" spans="1:7 1025:1025" ht="12.5" customHeight="1">
      <c r="A1" s="1" t="s">
        <v>0</v>
      </c>
    </row>
    <row r="2" spans="1:7 1025:1025" ht="12.25" customHeight="1">
      <c r="G2">
        <f>365.25*24*60*60</f>
        <v>31557600</v>
      </c>
    </row>
    <row r="3" spans="1:7 1025:1025" s="1" customFormat="1" ht="12.25" customHeight="1">
      <c r="A3" s="1" t="s">
        <v>1</v>
      </c>
      <c r="B3" s="1" t="s">
        <v>154</v>
      </c>
      <c r="C3" s="1" t="s">
        <v>155</v>
      </c>
      <c r="D3" s="1" t="s">
        <v>156</v>
      </c>
      <c r="E3" s="1" t="s">
        <v>4</v>
      </c>
      <c r="F3" s="11" t="s">
        <v>5</v>
      </c>
      <c r="AMK3"/>
    </row>
    <row r="4" spans="1:7 1025:1025" ht="12" customHeight="1">
      <c r="A4" s="2" t="s">
        <v>6</v>
      </c>
      <c r="B4" s="3">
        <v>50000</v>
      </c>
      <c r="C4" s="3">
        <v>50000</v>
      </c>
      <c r="D4" s="3">
        <v>90000</v>
      </c>
      <c r="E4" t="s">
        <v>7</v>
      </c>
      <c r="F4" s="10" t="s">
        <v>8</v>
      </c>
    </row>
    <row r="5" spans="1:7 1025:1025" ht="12" customHeight="1">
      <c r="A5" t="s">
        <v>9</v>
      </c>
      <c r="B5" s="4">
        <f>(35+67)/7</f>
        <v>14.571428571428571</v>
      </c>
      <c r="C5" s="4">
        <f>(42+10+21)/7</f>
        <v>10.428571428571429</v>
      </c>
      <c r="D5" s="4">
        <f>(42+10+21)/7</f>
        <v>10.428571428571429</v>
      </c>
      <c r="E5" s="2" t="s">
        <v>10</v>
      </c>
      <c r="F5" s="12" t="s">
        <v>11</v>
      </c>
    </row>
    <row r="6" spans="1:7 1025:1025" ht="12" customHeight="1">
      <c r="A6" t="s">
        <v>12</v>
      </c>
      <c r="B6" s="3">
        <v>0.5</v>
      </c>
      <c r="C6" s="3">
        <v>0.5</v>
      </c>
      <c r="D6" s="3">
        <v>0.5</v>
      </c>
      <c r="F6" s="10" t="s">
        <v>13</v>
      </c>
    </row>
    <row r="7" spans="1:7 1025:1025" ht="12.25" customHeight="1">
      <c r="A7" t="s">
        <v>14</v>
      </c>
      <c r="B7">
        <f>B4*B5/(365.25/7)*B6</f>
        <v>6981.5195071868575</v>
      </c>
      <c r="C7">
        <f>C4*C5/(365.25/7)*C6</f>
        <v>4996.5776865160842</v>
      </c>
      <c r="D7">
        <f>D4*D5/(365.25/7)*D6</f>
        <v>8993.8398357289534</v>
      </c>
      <c r="E7" t="s">
        <v>7</v>
      </c>
      <c r="F7" s="10" t="s">
        <v>15</v>
      </c>
    </row>
    <row r="8" spans="1:7 1025:1025" ht="12.25" customHeight="1">
      <c r="A8" t="s">
        <v>16</v>
      </c>
      <c r="B8" s="5">
        <f>B7*365*24*60*60</f>
        <v>220169199178.64474</v>
      </c>
      <c r="C8" s="5">
        <f>C7*365*24*60*60</f>
        <v>157572073921.97122</v>
      </c>
      <c r="D8" s="5">
        <f>D7*365*24*60*60</f>
        <v>283629733059.54828</v>
      </c>
      <c r="E8" t="s">
        <v>17</v>
      </c>
      <c r="F8" s="10" t="s">
        <v>15</v>
      </c>
    </row>
    <row r="9" spans="1:7 1025:1025" ht="12.25" customHeight="1">
      <c r="A9" t="s">
        <v>18</v>
      </c>
      <c r="B9" s="3">
        <f>1/9.8</f>
        <v>0.1020408163265306</v>
      </c>
      <c r="C9" s="3">
        <f>1/9.8</f>
        <v>0.1020408163265306</v>
      </c>
      <c r="D9" s="3">
        <f>1/5.6</f>
        <v>0.17857142857142858</v>
      </c>
      <c r="E9" t="s">
        <v>19</v>
      </c>
      <c r="F9" s="10" t="s">
        <v>153</v>
      </c>
    </row>
    <row r="10" spans="1:7 1025:1025" ht="12.25" customHeight="1">
      <c r="A10" t="s">
        <v>20</v>
      </c>
      <c r="B10">
        <f>B7*B9</f>
        <v>712.39994971294459</v>
      </c>
      <c r="C10">
        <f>C7*C9</f>
        <v>509.85486597102897</v>
      </c>
      <c r="D10">
        <f>D7*D9</f>
        <v>1606.0428278087418</v>
      </c>
      <c r="E10" t="s">
        <v>21</v>
      </c>
      <c r="F10" s="10" t="s">
        <v>22</v>
      </c>
    </row>
    <row r="11" spans="1:7 1025:1025" ht="12.25" customHeight="1">
      <c r="A11" t="s">
        <v>23</v>
      </c>
      <c r="B11" s="3">
        <f>(11.5+2.3*2)*1000</f>
        <v>16100.000000000002</v>
      </c>
      <c r="C11" s="3">
        <f>(11.5+2.3*5)*1000</f>
        <v>23000</v>
      </c>
      <c r="D11" s="3">
        <v>16800</v>
      </c>
      <c r="E11" t="s">
        <v>24</v>
      </c>
      <c r="F11" s="10" t="s">
        <v>25</v>
      </c>
    </row>
    <row r="12" spans="1:7 1025:1025" ht="12.25" customHeight="1">
      <c r="A12" t="s">
        <v>26</v>
      </c>
      <c r="B12">
        <f>B4*B11/1000000</f>
        <v>805.00000000000011</v>
      </c>
      <c r="C12">
        <f>C4*C11/1000000</f>
        <v>1150</v>
      </c>
      <c r="D12">
        <f>D4*D11/1000000</f>
        <v>1512</v>
      </c>
      <c r="E12" t="s">
        <v>27</v>
      </c>
      <c r="F12" s="10" t="s">
        <v>28</v>
      </c>
    </row>
    <row r="13" spans="1:7 1025:1025" ht="12.25" customHeight="1">
      <c r="A13" t="s">
        <v>29</v>
      </c>
      <c r="B13" s="6">
        <f>B8*B11</f>
        <v>3544724106776181</v>
      </c>
      <c r="C13" s="6">
        <f>C8*C11</f>
        <v>3624157700205338</v>
      </c>
      <c r="D13" s="6">
        <f>D8*D11</f>
        <v>4764979515400411</v>
      </c>
      <c r="E13" t="s">
        <v>30</v>
      </c>
      <c r="F13" s="10" t="s">
        <v>31</v>
      </c>
    </row>
    <row r="14" spans="1:7 1025:1025">
      <c r="A14" t="s">
        <v>29</v>
      </c>
      <c r="B14">
        <f>B13/1000000000000</f>
        <v>3544.7241067761811</v>
      </c>
      <c r="C14">
        <f>C13/1000000000000</f>
        <v>3624.1577002053382</v>
      </c>
      <c r="D14">
        <f>D13/1000000000000</f>
        <v>4764.9795154004114</v>
      </c>
      <c r="E14" t="s">
        <v>32</v>
      </c>
      <c r="F14" s="10" t="s">
        <v>31</v>
      </c>
    </row>
    <row r="15" spans="1:7 1025:1025">
      <c r="A15" t="s">
        <v>33</v>
      </c>
      <c r="B15" s="3">
        <v>0.05</v>
      </c>
      <c r="C15" s="3">
        <v>0.05</v>
      </c>
      <c r="D15" s="3">
        <v>0.05</v>
      </c>
      <c r="F15" s="10" t="s">
        <v>34</v>
      </c>
    </row>
    <row r="16" spans="1:7 1025:1025">
      <c r="A16" t="s">
        <v>35</v>
      </c>
      <c r="B16" s="3">
        <v>2</v>
      </c>
      <c r="C16" s="3">
        <v>2</v>
      </c>
      <c r="D16" s="3">
        <v>2</v>
      </c>
      <c r="F16" s="10" t="s">
        <v>36</v>
      </c>
    </row>
    <row r="17" spans="1:7">
      <c r="A17" t="s">
        <v>37</v>
      </c>
      <c r="B17" s="3">
        <v>2</v>
      </c>
      <c r="C17" s="3">
        <v>2</v>
      </c>
      <c r="D17" s="3">
        <v>2</v>
      </c>
      <c r="F17" s="10" t="s">
        <v>38</v>
      </c>
    </row>
    <row r="18" spans="1:7">
      <c r="A18" t="s">
        <v>39</v>
      </c>
      <c r="B18">
        <f>B15*B17*B10</f>
        <v>71.239994971294465</v>
      </c>
      <c r="C18">
        <f>C15*C17*C10</f>
        <v>50.985486597102899</v>
      </c>
      <c r="D18">
        <f>D15*D17*D10</f>
        <v>160.6042827808742</v>
      </c>
      <c r="E18" t="s">
        <v>21</v>
      </c>
      <c r="F18" s="10" t="s">
        <v>40</v>
      </c>
    </row>
    <row r="19" spans="1:7">
      <c r="A19" t="s">
        <v>41</v>
      </c>
      <c r="B19">
        <f>B16*B10</f>
        <v>1424.7998994258892</v>
      </c>
      <c r="C19">
        <f>C16*C10</f>
        <v>1019.7097319420579</v>
      </c>
      <c r="D19">
        <f>D16*D10</f>
        <v>3212.0856556174836</v>
      </c>
      <c r="E19" t="s">
        <v>21</v>
      </c>
      <c r="F19" s="10" t="s">
        <v>42</v>
      </c>
      <c r="G19" s="7"/>
    </row>
    <row r="20" spans="1:7">
      <c r="A20" t="s">
        <v>43</v>
      </c>
      <c r="B20" s="3">
        <v>0.1</v>
      </c>
      <c r="C20" s="3">
        <v>0.1</v>
      </c>
      <c r="D20" s="3">
        <v>0.1</v>
      </c>
      <c r="F20" s="10" t="s">
        <v>44</v>
      </c>
    </row>
    <row r="21" spans="1:7">
      <c r="A21" t="s">
        <v>45</v>
      </c>
      <c r="B21" s="3">
        <v>0.1</v>
      </c>
      <c r="C21" s="3">
        <v>0.1</v>
      </c>
      <c r="D21" s="3">
        <v>0.1</v>
      </c>
      <c r="F21" s="10" t="s">
        <v>46</v>
      </c>
    </row>
    <row r="22" spans="1:7">
      <c r="A22" t="s">
        <v>47</v>
      </c>
      <c r="B22" s="3">
        <v>5</v>
      </c>
      <c r="C22" s="3">
        <v>5</v>
      </c>
      <c r="D22" s="3">
        <v>5</v>
      </c>
      <c r="F22" s="10" t="s">
        <v>48</v>
      </c>
    </row>
    <row r="23" spans="1:7">
      <c r="A23" t="s">
        <v>49</v>
      </c>
      <c r="B23">
        <f>B20*B10</f>
        <v>71.239994971294465</v>
      </c>
      <c r="C23">
        <f>C20*C10</f>
        <v>50.985486597102899</v>
      </c>
      <c r="D23">
        <f>D20*D10</f>
        <v>160.6042827808742</v>
      </c>
      <c r="E23" t="s">
        <v>21</v>
      </c>
      <c r="F23" s="10" t="s">
        <v>50</v>
      </c>
    </row>
    <row r="24" spans="1:7">
      <c r="A24" t="s">
        <v>51</v>
      </c>
      <c r="B24" s="3">
        <v>2</v>
      </c>
      <c r="C24" s="3">
        <v>2</v>
      </c>
      <c r="D24" s="3">
        <v>2</v>
      </c>
      <c r="F24" s="10" t="s">
        <v>52</v>
      </c>
    </row>
    <row r="25" spans="1:7">
      <c r="A25" t="s">
        <v>53</v>
      </c>
      <c r="B25">
        <f>B22*B23*B24</f>
        <v>712.39994971294459</v>
      </c>
      <c r="C25">
        <f>C22*C23*C24</f>
        <v>509.85486597102897</v>
      </c>
      <c r="D25">
        <f>D22*D23*D24</f>
        <v>1606.042827808742</v>
      </c>
      <c r="E25" t="s">
        <v>21</v>
      </c>
      <c r="F25" s="10" t="s">
        <v>54</v>
      </c>
    </row>
    <row r="26" spans="1:7">
      <c r="A26" t="s">
        <v>55</v>
      </c>
      <c r="B26">
        <f>B50*B21</f>
        <v>2.2480492813141684</v>
      </c>
      <c r="C26">
        <f>C50*C21</f>
        <v>2.2984257357973989</v>
      </c>
      <c r="D26">
        <f>D50*D21</f>
        <v>3.0219301848049285</v>
      </c>
      <c r="E26" t="s">
        <v>27</v>
      </c>
    </row>
    <row r="27" spans="1:7">
      <c r="A27" t="s">
        <v>56</v>
      </c>
      <c r="B27">
        <f>B26*B22*B24*$G2/1000000000</f>
        <v>0.70943040000000002</v>
      </c>
      <c r="C27">
        <f>C26*C22*C24*$G2/1000000000</f>
        <v>0.72532799999999986</v>
      </c>
      <c r="D27">
        <f>D26*D22*D24*$G2/1000000000</f>
        <v>0.95364864000000016</v>
      </c>
      <c r="E27" t="s">
        <v>57</v>
      </c>
    </row>
    <row r="28" spans="1:7">
      <c r="A28" t="s">
        <v>58</v>
      </c>
      <c r="B28" s="3">
        <f>1/18</f>
        <v>5.5555555555555552E-2</v>
      </c>
      <c r="C28" s="3">
        <f>2*(1/18)</f>
        <v>0.1111111111111111</v>
      </c>
      <c r="D28" s="3">
        <f>2*(1/18)</f>
        <v>0.1111111111111111</v>
      </c>
      <c r="F28" s="10" t="s">
        <v>59</v>
      </c>
    </row>
    <row r="29" spans="1:7">
      <c r="A29" t="s">
        <v>60</v>
      </c>
      <c r="B29">
        <f>B9</f>
        <v>0.1020408163265306</v>
      </c>
      <c r="C29">
        <f>C9</f>
        <v>0.1020408163265306</v>
      </c>
      <c r="D29">
        <f>D9</f>
        <v>0.17857142857142858</v>
      </c>
    </row>
    <row r="30" spans="1:7">
      <c r="A30" t="s">
        <v>61</v>
      </c>
      <c r="B30">
        <f>B28/B9</f>
        <v>0.54444444444444451</v>
      </c>
      <c r="C30">
        <f>C28/C9</f>
        <v>1.088888888888889</v>
      </c>
      <c r="D30">
        <f>D28/D9</f>
        <v>0.62222222222222212</v>
      </c>
      <c r="E30" t="s">
        <v>19</v>
      </c>
      <c r="F30" s="10" t="s">
        <v>62</v>
      </c>
    </row>
    <row r="31" spans="1:7">
      <c r="A31" t="s">
        <v>63</v>
      </c>
      <c r="B31">
        <f>B29/B9</f>
        <v>1</v>
      </c>
      <c r="C31">
        <f>C29/C9</f>
        <v>1</v>
      </c>
      <c r="D31">
        <f>D29/D9</f>
        <v>1</v>
      </c>
      <c r="F31" s="10" t="s">
        <v>64</v>
      </c>
    </row>
    <row r="32" spans="1:7">
      <c r="A32" t="s">
        <v>65</v>
      </c>
      <c r="B32" s="3">
        <v>2</v>
      </c>
      <c r="C32" s="3">
        <v>2</v>
      </c>
      <c r="D32" s="3">
        <v>2</v>
      </c>
      <c r="F32" s="10" t="s">
        <v>66</v>
      </c>
    </row>
    <row r="33" spans="1:6 1025:1025">
      <c r="A33" t="s">
        <v>67</v>
      </c>
      <c r="B33">
        <v>18000</v>
      </c>
      <c r="C33">
        <v>18000</v>
      </c>
      <c r="D33">
        <v>18000</v>
      </c>
      <c r="E33" t="s">
        <v>24</v>
      </c>
      <c r="F33" s="10" t="s">
        <v>68</v>
      </c>
    </row>
    <row r="34" spans="1:6 1025:1025">
      <c r="A34" t="s">
        <v>69</v>
      </c>
      <c r="B34" s="3">
        <v>2</v>
      </c>
      <c r="C34" s="3">
        <v>2</v>
      </c>
      <c r="D34" s="3">
        <v>2</v>
      </c>
      <c r="F34" s="10" t="s">
        <v>70</v>
      </c>
    </row>
    <row r="35" spans="1:6 1025:1025">
      <c r="A35" t="s">
        <v>71</v>
      </c>
      <c r="B35">
        <f>B7*B32*B34</f>
        <v>27926.07802874743</v>
      </c>
      <c r="C35">
        <f>C7*C32*C34</f>
        <v>19986.310746064337</v>
      </c>
      <c r="D35">
        <f>D7*D32*D34</f>
        <v>35975.359342915814</v>
      </c>
      <c r="E35" t="s">
        <v>7</v>
      </c>
      <c r="F35" s="10" t="s">
        <v>72</v>
      </c>
    </row>
    <row r="36" spans="1:6 1025:1025">
      <c r="A36" t="s">
        <v>73</v>
      </c>
      <c r="B36">
        <f>B32*B10*(B30+B31)*B34</f>
        <v>4401.048578226636</v>
      </c>
      <c r="C36">
        <f>C32*C10*(C30+C31)*C34</f>
        <v>4260.1206578912643</v>
      </c>
      <c r="D36">
        <f>D32*D10*(D30+D31)*D34</f>
        <v>10421.433460447835</v>
      </c>
      <c r="E36" t="s">
        <v>21</v>
      </c>
      <c r="F36" s="10" t="s">
        <v>74</v>
      </c>
    </row>
    <row r="37" spans="1:6 1025:1025">
      <c r="A37" t="s">
        <v>75</v>
      </c>
      <c r="B37">
        <f>B33*B48</f>
        <v>3600</v>
      </c>
      <c r="C37">
        <f>C33*C48</f>
        <v>3600</v>
      </c>
      <c r="D37">
        <f>D33*D48</f>
        <v>3600</v>
      </c>
      <c r="E37" t="s">
        <v>24</v>
      </c>
      <c r="F37" s="10" t="s">
        <v>76</v>
      </c>
    </row>
    <row r="38" spans="1:6 1025:1025">
      <c r="A38" t="s">
        <v>77</v>
      </c>
      <c r="B38">
        <f>B35*B37/1000000</f>
        <v>100.53388090349075</v>
      </c>
      <c r="C38">
        <f>C35*C37/1000000</f>
        <v>71.950718685831603</v>
      </c>
      <c r="D38">
        <f>D35*D37/1000000</f>
        <v>129.51129363449692</v>
      </c>
      <c r="E38" t="s">
        <v>27</v>
      </c>
    </row>
    <row r="39" spans="1:6 1025:1025">
      <c r="A39" t="s">
        <v>77</v>
      </c>
      <c r="B39">
        <f>B38*$G2/1000000000</f>
        <v>3.1726079999999999</v>
      </c>
      <c r="C39">
        <f>C38*$G2/1000000000</f>
        <v>2.2705919999999997</v>
      </c>
      <c r="D39">
        <f>D38*$G2/1000000000</f>
        <v>4.0870655999999999</v>
      </c>
      <c r="E39" t="s">
        <v>57</v>
      </c>
    </row>
    <row r="40" spans="1:6 1025:1025">
      <c r="A40" t="s">
        <v>78</v>
      </c>
      <c r="B40" s="3">
        <v>0.1</v>
      </c>
      <c r="C40" s="3">
        <v>0.1</v>
      </c>
      <c r="D40" s="3">
        <v>0.1</v>
      </c>
      <c r="F40" s="10" t="s">
        <v>79</v>
      </c>
    </row>
    <row r="41" spans="1:6 1025:1025">
      <c r="A41" t="s">
        <v>80</v>
      </c>
      <c r="B41" s="3">
        <v>10</v>
      </c>
      <c r="C41" s="3">
        <v>10</v>
      </c>
      <c r="D41" s="3">
        <v>10</v>
      </c>
      <c r="F41" s="10" t="s">
        <v>81</v>
      </c>
    </row>
    <row r="42" spans="1:6 1025:1025">
      <c r="A42" t="s">
        <v>82</v>
      </c>
      <c r="B42">
        <f>B40*B10*B41</f>
        <v>712.39994971294459</v>
      </c>
      <c r="C42">
        <f>C40*C10*C41</f>
        <v>509.85486597102897</v>
      </c>
      <c r="D42">
        <f>D40*D10*D41</f>
        <v>1606.042827808742</v>
      </c>
      <c r="E42" t="s">
        <v>21</v>
      </c>
      <c r="F42" s="10" t="s">
        <v>83</v>
      </c>
    </row>
    <row r="43" spans="1:6 1025:1025" s="8" customFormat="1">
      <c r="A43" s="8" t="s">
        <v>84</v>
      </c>
      <c r="B43" s="9">
        <f>B18+B19+B25+B36+B42</f>
        <v>7321.8883720497088</v>
      </c>
      <c r="C43" s="9">
        <f>C18+C19+C25+C36+C42</f>
        <v>6350.5256083724826</v>
      </c>
      <c r="D43" s="9">
        <f>D18+D19+D25+D36+D42</f>
        <v>17006.209054463678</v>
      </c>
      <c r="E43" s="8" t="s">
        <v>21</v>
      </c>
      <c r="F43" s="13" t="s">
        <v>85</v>
      </c>
      <c r="AMK43"/>
    </row>
    <row r="44" spans="1:6 1025:1025">
      <c r="A44" t="s">
        <v>86</v>
      </c>
      <c r="B44">
        <f>B43-B36</f>
        <v>2920.8397938230728</v>
      </c>
      <c r="C44">
        <f>C43-C36</f>
        <v>2090.4049504812183</v>
      </c>
      <c r="D44">
        <f>D43-D36</f>
        <v>6584.7755940158422</v>
      </c>
      <c r="E44" t="s">
        <v>21</v>
      </c>
      <c r="F44" s="10" t="s">
        <v>87</v>
      </c>
    </row>
    <row r="45" spans="1:6 1025:1025">
      <c r="A45" t="s">
        <v>88</v>
      </c>
      <c r="B45" s="3">
        <v>100</v>
      </c>
      <c r="C45" s="3">
        <v>100</v>
      </c>
      <c r="D45" s="3">
        <v>100</v>
      </c>
      <c r="E45" t="s">
        <v>27</v>
      </c>
      <c r="F45" s="10" t="s">
        <v>89</v>
      </c>
    </row>
    <row r="46" spans="1:6 1025:1025">
      <c r="A46" t="s">
        <v>90</v>
      </c>
      <c r="B46" s="3">
        <v>3</v>
      </c>
      <c r="C46" s="3">
        <v>3</v>
      </c>
      <c r="D46" s="3">
        <v>3</v>
      </c>
      <c r="E46" t="s">
        <v>27</v>
      </c>
      <c r="F46" s="10" t="s">
        <v>91</v>
      </c>
    </row>
    <row r="47" spans="1:6 1025:1025">
      <c r="A47" t="s">
        <v>92</v>
      </c>
      <c r="B47">
        <f>B7*B11/B45/1000000</f>
        <v>1.124024640657084</v>
      </c>
      <c r="C47">
        <f>C7*C11/C45/1000000</f>
        <v>1.1492128678986993</v>
      </c>
      <c r="D47">
        <f>D7*D11/D45/1000000</f>
        <v>1.5109650924024642</v>
      </c>
    </row>
    <row r="48" spans="1:6 1025:1025">
      <c r="A48" t="s">
        <v>93</v>
      </c>
      <c r="B48" s="3">
        <v>0.2</v>
      </c>
      <c r="C48" s="3">
        <v>0.2</v>
      </c>
      <c r="D48" s="3">
        <v>0.2</v>
      </c>
      <c r="F48" s="10" t="s">
        <v>94</v>
      </c>
    </row>
    <row r="49" spans="1:6">
      <c r="A49" t="s">
        <v>95</v>
      </c>
      <c r="B49">
        <f>B48*B11</f>
        <v>3220.0000000000005</v>
      </c>
      <c r="C49">
        <f>C48*C11</f>
        <v>4600</v>
      </c>
      <c r="D49">
        <f>D48*D11</f>
        <v>3360</v>
      </c>
      <c r="E49" t="s">
        <v>24</v>
      </c>
      <c r="F49" s="10" t="s">
        <v>96</v>
      </c>
    </row>
    <row r="50" spans="1:6">
      <c r="A50" t="s">
        <v>97</v>
      </c>
      <c r="B50">
        <f>B7*B49/1000000</f>
        <v>22.480492813141684</v>
      </c>
      <c r="C50">
        <f>C7*C49/1000000</f>
        <v>22.984257357973988</v>
      </c>
      <c r="D50">
        <f>D7*D49/1000000</f>
        <v>30.219301848049284</v>
      </c>
      <c r="E50" t="s">
        <v>27</v>
      </c>
      <c r="F50" s="10" t="s">
        <v>98</v>
      </c>
    </row>
    <row r="51" spans="1:6">
      <c r="A51" t="s">
        <v>99</v>
      </c>
      <c r="B51">
        <f>B16*B50*365.25*24*60*60/1000000000</f>
        <v>1.4188608</v>
      </c>
      <c r="C51">
        <f>C16*C50*365.25*24*60*60/1000000000</f>
        <v>1.4506559999999995</v>
      </c>
      <c r="D51">
        <f>D16*D50*365.25*24*60*60/1000000000</f>
        <v>1.9072972800000003</v>
      </c>
      <c r="E51" t="s">
        <v>57</v>
      </c>
      <c r="F51" s="10" t="s">
        <v>100</v>
      </c>
    </row>
    <row r="52" spans="1:6">
      <c r="A52" t="s">
        <v>101</v>
      </c>
      <c r="B52">
        <f>B15*B7*B49/1000000</f>
        <v>1.1240246406570844</v>
      </c>
      <c r="C52">
        <f>C15*C7*C49/1000000</f>
        <v>1.1492128678986993</v>
      </c>
      <c r="D52">
        <f>D15*D7*D49/1000000</f>
        <v>1.5109650924024642</v>
      </c>
      <c r="E52" t="s">
        <v>27</v>
      </c>
      <c r="F52" s="10" t="s">
        <v>98</v>
      </c>
    </row>
    <row r="53" spans="1:6">
      <c r="A53" t="s">
        <v>102</v>
      </c>
      <c r="B53">
        <f>B17*B52*365.25*24*60*60/1000000000</f>
        <v>7.0943039999999999E-2</v>
      </c>
      <c r="C53">
        <f>C17*C52*365.25*24*60*60/1000000000</f>
        <v>7.2532799999999967E-2</v>
      </c>
      <c r="D53">
        <f>D17*D52*365.25*24*60*60/1000000000</f>
        <v>9.5364864000000035E-2</v>
      </c>
      <c r="E53" t="s">
        <v>57</v>
      </c>
      <c r="F53" s="10" t="s">
        <v>103</v>
      </c>
    </row>
    <row r="54" spans="1:6">
      <c r="A54" t="s">
        <v>104</v>
      </c>
      <c r="B54">
        <f>B7*(B49+B11)/(B45*1000000)</f>
        <v>1.348829568788501</v>
      </c>
      <c r="C54">
        <f>C7*(C49+C11)/(C45*1000000)</f>
        <v>1.3790554414784393</v>
      </c>
      <c r="D54">
        <f>D7*(D49+D11)/(D45*1000000)</f>
        <v>1.8131581108829571</v>
      </c>
      <c r="E54" t="s">
        <v>105</v>
      </c>
      <c r="F54" s="10" t="s">
        <v>106</v>
      </c>
    </row>
    <row r="55" spans="1:6">
      <c r="A55" t="s">
        <v>107</v>
      </c>
      <c r="B55">
        <f>B16*B54</f>
        <v>2.697659137577002</v>
      </c>
      <c r="C55">
        <f>C16*C54</f>
        <v>2.7581108829568786</v>
      </c>
      <c r="D55">
        <f>D16*D54</f>
        <v>3.6263162217659142</v>
      </c>
      <c r="E55" t="s">
        <v>105</v>
      </c>
      <c r="F55" s="10" t="s">
        <v>108</v>
      </c>
    </row>
    <row r="56" spans="1:6">
      <c r="A56" t="s">
        <v>109</v>
      </c>
      <c r="B56">
        <f>B15*B54</f>
        <v>6.7441478439425051E-2</v>
      </c>
      <c r="C56">
        <f>C15*C54</f>
        <v>6.8952772073921961E-2</v>
      </c>
      <c r="D56">
        <f>D15*D54</f>
        <v>9.0657905544147863E-2</v>
      </c>
      <c r="E56" t="s">
        <v>105</v>
      </c>
      <c r="F56" s="10" t="s">
        <v>110</v>
      </c>
    </row>
    <row r="57" spans="1:6">
      <c r="A57" t="s">
        <v>111</v>
      </c>
      <c r="B57">
        <f>B17*B56</f>
        <v>0.1348829568788501</v>
      </c>
      <c r="C57">
        <f>C17*C56</f>
        <v>0.13790554414784392</v>
      </c>
      <c r="D57">
        <f>D17*D56</f>
        <v>0.18131581108829573</v>
      </c>
      <c r="E57" t="s">
        <v>105</v>
      </c>
      <c r="F57" s="10" t="s">
        <v>112</v>
      </c>
    </row>
    <row r="58" spans="1:6">
      <c r="A58" t="s">
        <v>113</v>
      </c>
      <c r="B58">
        <f>B7*B49/(10*1000000)</f>
        <v>2.2480492813141684</v>
      </c>
      <c r="C58">
        <f>C7*C49/(10*1000000)</f>
        <v>2.2984257357973989</v>
      </c>
      <c r="D58">
        <f>D7*D49/(10*1000000)</f>
        <v>3.0219301848049285</v>
      </c>
      <c r="E58" t="s">
        <v>105</v>
      </c>
      <c r="F58" s="10" t="s">
        <v>114</v>
      </c>
    </row>
    <row r="59" spans="1:6">
      <c r="A59" t="s">
        <v>115</v>
      </c>
      <c r="B59">
        <f>B22*B58*B20</f>
        <v>1.1240246406570842</v>
      </c>
      <c r="C59">
        <f>C22*C58*C20</f>
        <v>1.1492128678986995</v>
      </c>
      <c r="D59">
        <f>D22*D58*D20</f>
        <v>1.5109650924024642</v>
      </c>
      <c r="E59" t="s">
        <v>105</v>
      </c>
      <c r="F59" s="10" t="s">
        <v>116</v>
      </c>
    </row>
    <row r="60" spans="1:6">
      <c r="A60" t="s">
        <v>117</v>
      </c>
      <c r="B60">
        <f>(B58+B59)*B24</f>
        <v>6.7441478439425051</v>
      </c>
      <c r="C60">
        <f>(C58+C59)*C24</f>
        <v>6.8952772073921968</v>
      </c>
      <c r="D60">
        <f>(D58+D59)*D24</f>
        <v>9.0657905544147859</v>
      </c>
      <c r="E60" t="s">
        <v>105</v>
      </c>
      <c r="F60" s="10" t="s">
        <v>118</v>
      </c>
    </row>
    <row r="61" spans="1:6">
      <c r="A61" t="s">
        <v>119</v>
      </c>
      <c r="B61">
        <f>B38/B45</f>
        <v>1.0053388090349076</v>
      </c>
      <c r="C61">
        <f>C38/C45</f>
        <v>0.71950718685831605</v>
      </c>
      <c r="D61">
        <f>D38/D45</f>
        <v>1.2951129363449692</v>
      </c>
      <c r="E61" t="s">
        <v>105</v>
      </c>
      <c r="F61" s="10" t="s">
        <v>120</v>
      </c>
    </row>
    <row r="62" spans="1:6">
      <c r="A62" t="s">
        <v>121</v>
      </c>
      <c r="B62">
        <f>B47+B55+B57+B60+B61</f>
        <v>11.70605338809035</v>
      </c>
      <c r="C62">
        <f>C47+C55+C57+C60+C61</f>
        <v>11.660013689253933</v>
      </c>
      <c r="D62">
        <f>D47+D55+D57+D60+D61</f>
        <v>15.679500616016428</v>
      </c>
      <c r="F62" s="10" t="s">
        <v>122</v>
      </c>
    </row>
    <row r="63" spans="1:6">
      <c r="A63" t="s">
        <v>123</v>
      </c>
      <c r="B63" s="3">
        <v>20</v>
      </c>
      <c r="C63" s="3">
        <v>20</v>
      </c>
      <c r="D63" s="3">
        <v>20</v>
      </c>
      <c r="E63" t="s">
        <v>124</v>
      </c>
      <c r="F63" s="10" t="s">
        <v>125</v>
      </c>
    </row>
    <row r="64" spans="1:6">
      <c r="A64" t="s">
        <v>126</v>
      </c>
      <c r="B64">
        <f>B63*B41</f>
        <v>200</v>
      </c>
      <c r="C64">
        <f>C63*C41</f>
        <v>200</v>
      </c>
      <c r="D64">
        <f>D63*D41</f>
        <v>200</v>
      </c>
      <c r="E64" t="s">
        <v>124</v>
      </c>
      <c r="F64" s="10" t="s">
        <v>127</v>
      </c>
    </row>
    <row r="65" spans="1:4">
      <c r="A65" t="s">
        <v>128</v>
      </c>
      <c r="B65">
        <f>B14/1000+B51+B53+B27+B39</f>
        <v>8.9165663467761824</v>
      </c>
      <c r="C65">
        <f>C14/1000+C51+C53+C27+C39</f>
        <v>8.143266500205339</v>
      </c>
      <c r="D65">
        <f>D14/1000+D51+D53+D27+D39</f>
        <v>11.808355899400413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E10" sqref="E10"/>
    </sheetView>
  </sheetViews>
  <sheetFormatPr baseColWidth="10" defaultColWidth="8.83203125" defaultRowHeight="12" x14ac:dyDescent="0"/>
  <sheetData>
    <row r="1" spans="1:5" ht="12.25" customHeight="1">
      <c r="B1" t="s">
        <v>2</v>
      </c>
      <c r="C1" t="s">
        <v>3</v>
      </c>
    </row>
    <row r="2" spans="1:5" ht="12.25" customHeight="1">
      <c r="A2" t="s">
        <v>129</v>
      </c>
      <c r="B2" s="3">
        <f>model!B5</f>
        <v>14.571428571428571</v>
      </c>
      <c r="C2" s="3">
        <f>model!C5</f>
        <v>10.428571428571429</v>
      </c>
    </row>
    <row r="3" spans="1:5" ht="12.25" customHeight="1">
      <c r="A3" t="s">
        <v>130</v>
      </c>
      <c r="B3">
        <f>7*B2</f>
        <v>102</v>
      </c>
      <c r="C3">
        <f>7*C2</f>
        <v>73</v>
      </c>
      <c r="D3" t="s">
        <v>131</v>
      </c>
      <c r="E3" s="3">
        <v>2</v>
      </c>
    </row>
    <row r="4" spans="1:5" ht="12.25" customHeight="1">
      <c r="A4" t="s">
        <v>132</v>
      </c>
      <c r="B4">
        <f>model!B6</f>
        <v>0.5</v>
      </c>
      <c r="C4">
        <f>model!C6</f>
        <v>0.5</v>
      </c>
      <c r="D4" t="s">
        <v>133</v>
      </c>
      <c r="E4">
        <f>24*60*60</f>
        <v>86400</v>
      </c>
    </row>
    <row r="5" spans="1:5" ht="12.25" customHeight="1">
      <c r="A5" t="s">
        <v>134</v>
      </c>
      <c r="B5" s="5">
        <f>B3*B4*$E$4</f>
        <v>4406400</v>
      </c>
      <c r="C5" s="5">
        <f>C3*C4*$E$4</f>
        <v>3153600</v>
      </c>
      <c r="D5" t="s">
        <v>135</v>
      </c>
      <c r="E5">
        <v>365.25</v>
      </c>
    </row>
    <row r="6" spans="1:5" ht="12.25" customHeight="1">
      <c r="A6" t="s">
        <v>136</v>
      </c>
      <c r="B6">
        <v>20000</v>
      </c>
      <c r="C6">
        <v>20000</v>
      </c>
      <c r="D6" t="s">
        <v>137</v>
      </c>
      <c r="E6">
        <v>10000</v>
      </c>
    </row>
    <row r="7" spans="1:5" ht="12.25" customHeight="1">
      <c r="A7" t="s">
        <v>138</v>
      </c>
      <c r="B7" s="5">
        <f>B5*B6</f>
        <v>88128000000</v>
      </c>
      <c r="C7" s="5">
        <f>C5*C6</f>
        <v>63072000000</v>
      </c>
      <c r="D7" t="s">
        <v>139</v>
      </c>
      <c r="E7">
        <v>2</v>
      </c>
    </row>
    <row r="8" spans="1:5" ht="12.25" customHeight="1">
      <c r="B8" s="5"/>
      <c r="C8" s="5"/>
      <c r="D8" t="s">
        <v>140</v>
      </c>
      <c r="E8">
        <v>18000</v>
      </c>
    </row>
    <row r="9" spans="1:5" ht="12.25" customHeight="1">
      <c r="A9" t="s">
        <v>141</v>
      </c>
      <c r="B9">
        <f>model!B9</f>
        <v>0.1020408163265306</v>
      </c>
      <c r="C9">
        <f>model!C9</f>
        <v>0.1020408163265306</v>
      </c>
      <c r="D9" t="s">
        <v>142</v>
      </c>
      <c r="E9">
        <v>0.2</v>
      </c>
    </row>
    <row r="10" spans="1:5" ht="12.25" customHeight="1">
      <c r="A10" t="s">
        <v>143</v>
      </c>
      <c r="B10">
        <f>B7*B9/$E$4/$E$5</f>
        <v>284.95997988517786</v>
      </c>
      <c r="C10">
        <f>C7*C9/$E$4/$E$5</f>
        <v>203.94194638841159</v>
      </c>
    </row>
    <row r="11" spans="1:5" ht="12.25" customHeight="1">
      <c r="A11" t="s">
        <v>144</v>
      </c>
      <c r="B11">
        <f>B7*B9/$E$4/$E$6</f>
        <v>10.408163265306122</v>
      </c>
      <c r="C11">
        <f>C7*C9/$E$4/$E$6</f>
        <v>7.4489795918367339</v>
      </c>
    </row>
    <row r="13" spans="1:5" ht="12.25" customHeight="1">
      <c r="A13" t="s">
        <v>145</v>
      </c>
      <c r="B13">
        <f>model!B28</f>
        <v>5.5555555555555552E-2</v>
      </c>
      <c r="C13">
        <f>model!C28</f>
        <v>0.1111111111111111</v>
      </c>
    </row>
    <row r="14" spans="1:5" ht="12.25" customHeight="1">
      <c r="A14" t="s">
        <v>146</v>
      </c>
      <c r="B14">
        <f>B9</f>
        <v>0.1020408163265306</v>
      </c>
      <c r="C14">
        <f>C9</f>
        <v>0.1020408163265306</v>
      </c>
    </row>
    <row r="15" spans="1:5" ht="12.25" customHeight="1">
      <c r="A15" t="s">
        <v>147</v>
      </c>
      <c r="B15">
        <f>B7*$E$7*(B14+B13)/$E$4/$E$6</f>
        <v>32.149659863945573</v>
      </c>
      <c r="C15">
        <f>C7*$E$7*(C14+C13)/$E$4/$E$6</f>
        <v>31.120181405895693</v>
      </c>
    </row>
    <row r="17" spans="1:3" ht="12.25" customHeight="1">
      <c r="A17" t="s">
        <v>148</v>
      </c>
      <c r="B17">
        <f>B11+B15</f>
        <v>42.557823129251695</v>
      </c>
      <c r="C17">
        <f>C11+C15</f>
        <v>38.569160997732425</v>
      </c>
    </row>
    <row r="23" spans="1:3" ht="12.25" customHeight="1">
      <c r="A23" t="s">
        <v>149</v>
      </c>
      <c r="B23">
        <f>B7*$E8</f>
        <v>1586304000000000</v>
      </c>
      <c r="C23">
        <f>C7*$E8</f>
        <v>1135296000000000</v>
      </c>
    </row>
    <row r="24" spans="1:3" ht="12.25" customHeight="1">
      <c r="A24" t="s">
        <v>150</v>
      </c>
      <c r="B24">
        <f>B23/1000000000000000</f>
        <v>1.5863039999999999</v>
      </c>
      <c r="C24">
        <f>C23/1000000000000000</f>
        <v>1.1352960000000001</v>
      </c>
    </row>
    <row r="25" spans="1:3" ht="12.25" customHeight="1">
      <c r="A25" t="s">
        <v>151</v>
      </c>
      <c r="B25">
        <f>B24*$E9</f>
        <v>0.31726080000000001</v>
      </c>
      <c r="C25">
        <f>C24*$E9</f>
        <v>0.22705920000000002</v>
      </c>
    </row>
    <row r="26" spans="1:3" ht="12.25" customHeight="1">
      <c r="A26" t="s">
        <v>152</v>
      </c>
      <c r="B26">
        <f>B24*(1+0.2*(2*1+2*2+2*0.05+5*0.1))</f>
        <v>3.6802252800000002</v>
      </c>
      <c r="C26">
        <f>C24*(1+0.2*(2*1+2*2+2*0.05+5*0.1))</f>
        <v>2.6338867200000005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wait times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Ito</dc:creator>
  <cp:lastModifiedBy>David Lawrence</cp:lastModifiedBy>
  <cp:revision>10</cp:revision>
  <dcterms:created xsi:type="dcterms:W3CDTF">2015-02-05T18:55:24Z</dcterms:created>
  <dcterms:modified xsi:type="dcterms:W3CDTF">2017-05-03T18:20:48Z</dcterms:modified>
  <dc:language>en-US</dc:language>
</cp:coreProperties>
</file>