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odel" sheetId="1" state="visible" r:id="rId2"/>
    <sheet name="wait times" sheetId="2" state="visible" r:id="rId3"/>
  </sheets>
  <definedNames>
    <definedName function="false" hidden="false" name="Pass1CPUs" vbProcedure="false">model!$B$10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<sst xmlns="http://schemas.openxmlformats.org/spreadsheetml/2006/main" count="197" uniqueCount="156">
  <si>
    <t>GlueX Computing Model</t>
  </si>
  <si>
    <t>parameter</t>
  </si>
  <si>
    <t>fy15</t>
  </si>
  <si>
    <t>fy16</t>
  </si>
  <si>
    <t>fy17</t>
  </si>
  <si>
    <t>fy18</t>
  </si>
  <si>
    <t>fy19</t>
  </si>
  <si>
    <t>units</t>
  </si>
  <si>
    <t>comments</t>
  </si>
  <si>
    <t>event rate</t>
  </si>
  <si>
    <t>events/s</t>
  </si>
  <si>
    <t>raw data rate out of the counting room when beam is on</t>
  </si>
  <si>
    <t>annual running</t>
  </si>
  <si>
    <t>weeks</t>
  </si>
  <si>
    <t>amount of running in a year</t>
  </si>
  <si>
    <t>running efficiency</t>
  </si>
  <si>
    <t>fraction of wall time when beam is on, either due to beam unavailable or detector not ready</t>
  </si>
  <si>
    <t>effective event rate (per second)</t>
  </si>
  <si>
    <t>Event rate averaged over time</t>
  </si>
  <si>
    <t>effective event rate (per year)</t>
  </si>
  <si>
    <t>events/year</t>
  </si>
  <si>
    <t>CPU time per event</t>
  </si>
  <si>
    <t>CPU-s/event</t>
  </si>
  <si>
    <t>Time to reconstruct a single event on a 2.8 GHz Nehalem machine, per thread, from Simon's email of 1/31/2011</t>
  </si>
  <si>
    <t>single Pass 1 CPU needed</t>
  </si>
  <si>
    <t>CPU's</t>
  </si>
  <si>
    <t>number of threads to keep up with the raw event rate</t>
  </si>
  <si>
    <t>raw event size</t>
  </si>
  <si>
    <t>bytes</t>
  </si>
  <si>
    <t>size of a single raw event</t>
  </si>
  <si>
    <t>raw instantaneous storage rate</t>
  </si>
  <si>
    <t>MB/s</t>
  </si>
  <si>
    <t>data rate when beam is on</t>
  </si>
  <si>
    <t>raw effective storage rate</t>
  </si>
  <si>
    <t>bytes/year</t>
  </si>
  <si>
    <t>average data volume rate</t>
  </si>
  <si>
    <t>TB/year</t>
  </si>
  <si>
    <t>pass 0 event fraction</t>
  </si>
  <si>
    <t>fraction of events from raw data stream to perform calibrations</t>
  </si>
  <si>
    <t>pass 1 repetition factor</t>
  </si>
  <si>
    <t>number of times event reconstruction will be repeated</t>
  </si>
  <si>
    <t>pass 0 repetition factor</t>
  </si>
  <si>
    <t>number of times calibration will be repeated</t>
  </si>
  <si>
    <t>pass 0 CPU need</t>
  </si>
  <si>
    <t>number of threads of calibration to keep up</t>
  </si>
  <si>
    <t>pass 1 CPU need</t>
  </si>
  <si>
    <t>number of threads of reconstruction to keep up</t>
  </si>
  <si>
    <t>stream/pass-1 CPU ratio</t>
  </si>
  <si>
    <t>ratio of CPU time required for a skim stream to that needed for reconstruction</t>
  </si>
  <si>
    <t>stream output to input size ratio</t>
  </si>
  <si>
    <t>ratio of data volume output for a stream to that of input</t>
  </si>
  <si>
    <t>stream multiplicity factor</t>
  </si>
  <si>
    <t>number of streams to be produced</t>
  </si>
  <si>
    <t>single stream CPU need</t>
  </si>
  <si>
    <t>number of threads for one stream to keep up</t>
  </si>
  <si>
    <t>stream repetition factor</t>
  </si>
  <si>
    <t>number of times streaming will be repeated</t>
  </si>
  <si>
    <t>stream CPU need</t>
  </si>
  <si>
    <t>number of threads for streaming to keep up</t>
  </si>
  <si>
    <t>single stream output data rate</t>
  </si>
  <si>
    <t>total stream output data rate</t>
  </si>
  <si>
    <t>PB/year</t>
  </si>
  <si>
    <t>MC CPU time per event, generation</t>
  </si>
  <si>
    <t>MC CPU time per event, reconstruction</t>
  </si>
  <si>
    <t>MC CPU ratio per event, generation</t>
  </si>
  <si>
    <t>ratio of CPU time required for generating a Monte Carlo event to that needed for reconstruction</t>
  </si>
  <si>
    <t>MC CPU ratio per event, reconstruction</t>
  </si>
  <si>
    <t>ratio of CPU time to reconstruct Monte Carlo events to that to reconstruct real data</t>
  </si>
  <si>
    <t>MC/raw data event rate ratio</t>
  </si>
  <si>
    <t>ratio of number of Monte Carlo events needed to number of raw data events</t>
  </si>
  <si>
    <t>MC event size</t>
  </si>
  <si>
    <t>size of a single generated Monte Carlo event</t>
  </si>
  <si>
    <t>MC multiplicity factor</t>
  </si>
  <si>
    <t>number of times MC data will need to be generated</t>
  </si>
  <si>
    <t>MC effective event rate</t>
  </si>
  <si>
    <t>event rate averaged over time of MC event generation</t>
  </si>
  <si>
    <t>MC CPU need</t>
  </si>
  <si>
    <t>numbers of threads needed for generating Monte Carlo</t>
  </si>
  <si>
    <t>MC pass 1 output event size</t>
  </si>
  <si>
    <t>size of a single reconstructed Monte Carlo event</t>
  </si>
  <si>
    <t>MC effective data rate</t>
  </si>
  <si>
    <t>analysis/pass-1 CPU ratio</t>
  </si>
  <si>
    <t>ratio of CPU time required for performing a physics analysis to that needed for reconstruction</t>
  </si>
  <si>
    <t>analysis multiplicity factor</t>
  </si>
  <si>
    <t>number of analyses to be conducted</t>
  </si>
  <si>
    <t>analysis CPU need</t>
  </si>
  <si>
    <t>number of threads needed for analysis</t>
  </si>
  <si>
    <t>total CPU need</t>
  </si>
  <si>
    <t>total number  of threads needed for all activities</t>
  </si>
  <si>
    <t>total CPU need exclusive of MC</t>
  </si>
  <si>
    <t>total number of threads needed for all activities</t>
  </si>
  <si>
    <t>data rate, tape to cache disk</t>
  </si>
  <si>
    <t>average rate from tape library to cache disk</t>
  </si>
  <si>
    <t>data rate, cache disk to local disk</t>
  </si>
  <si>
    <t>average rate from cache disk to local farm node disk</t>
  </si>
  <si>
    <t>raw data recording tape need</t>
  </si>
  <si>
    <t>Pass 1 output to input size ratio</t>
  </si>
  <si>
    <t>ratio of output event size to input event size</t>
  </si>
  <si>
    <t>pass1 processed event size</t>
  </si>
  <si>
    <t>reconstructed event size</t>
  </si>
  <si>
    <t>Single pass 1 output data rate</t>
  </si>
  <si>
    <t>data rate for a single pass 1 output stream</t>
  </si>
  <si>
    <t>total pass 1 output data rate</t>
  </si>
  <si>
    <t>data rate for all pass 1 output streams</t>
  </si>
  <si>
    <t>Single pass 0 output data rate</t>
  </si>
  <si>
    <t>total pass 0 output data rate</t>
  </si>
  <si>
    <t>data rate for all pass 0 output streams</t>
  </si>
  <si>
    <t>single pass 1 tape need</t>
  </si>
  <si>
    <t>drives</t>
  </si>
  <si>
    <t>number of tape drives needed to support pass 1, one iteration</t>
  </si>
  <si>
    <t>Pass 1 tape need</t>
  </si>
  <si>
    <t>number of tape drives needed to support pass 1, all iterations</t>
  </si>
  <si>
    <t>single pass 0 tape need</t>
  </si>
  <si>
    <t>number of tape drives needed to support pass 0, one iteration</t>
  </si>
  <si>
    <t>Pass 0 tape need</t>
  </si>
  <si>
    <t>number of tape drives needed to support pass 0, all iterations</t>
  </si>
  <si>
    <t>single stream input tape need</t>
  </si>
  <si>
    <t>number of tape drives needed to support input for streaming, one iteration</t>
  </si>
  <si>
    <t>single set of stream output tape need (all streams)</t>
  </si>
  <si>
    <t>number of tape drives needed to support output for streaming, one iteration</t>
  </si>
  <si>
    <t>total stream tape need</t>
  </si>
  <si>
    <t>number of tape drives needed to support streaming, all iterations</t>
  </si>
  <si>
    <t>MC tape drive need</t>
  </si>
  <si>
    <t>number of tape drives needed to archive reconstructed MC data</t>
  </si>
  <si>
    <t>total tape drive need</t>
  </si>
  <si>
    <t>total number of tape drives needed for all activities</t>
  </si>
  <si>
    <t>disk usage per analysis</t>
  </si>
  <si>
    <t>TB</t>
  </si>
  <si>
    <t>permanent disk space used by an analysis</t>
  </si>
  <si>
    <t>disk usage total</t>
  </si>
  <si>
    <t>permanent disk space used by all analyses</t>
  </si>
  <si>
    <t>total output rate</t>
  </si>
  <si>
    <t>Weeks of running</t>
  </si>
  <si>
    <t>Days of running</t>
  </si>
  <si>
    <t>Days of Running per PAC Day</t>
  </si>
  <si>
    <t>Running efficiency</t>
  </si>
  <si>
    <t>Seconds per day</t>
  </si>
  <si>
    <t>Running time (s)</t>
  </si>
  <si>
    <t>Days per year</t>
  </si>
  <si>
    <t>Trigger rate (Hz)</t>
  </si>
  <si>
    <t>Number of cores</t>
  </si>
  <si>
    <t>Number of events</t>
  </si>
  <si>
    <t>Ratio of Monte Carlo events to data events</t>
  </si>
  <si>
    <t>event size (bytes)</t>
  </si>
  <si>
    <t>Reconstruction time per event per core (s)</t>
  </si>
  <si>
    <t>ratio of size of DST to Raw</t>
  </si>
  <si>
    <t>Reconstruction time, single core (y)</t>
  </si>
  <si>
    <t>Reconstruction time (d)</t>
  </si>
  <si>
    <t>Monte Carlo generation time per event per core</t>
  </si>
  <si>
    <t>Monte Carlo reconstruction time per event per core</t>
  </si>
  <si>
    <t>Monte Carlo time, gen. + recon. (d)</t>
  </si>
  <si>
    <t>Reconstruction time + MC time (d)</t>
  </si>
  <si>
    <t>raw data volume (bytes)</t>
  </si>
  <si>
    <t>raw data volume (PB)</t>
  </si>
  <si>
    <t>DST data volume, real data, recon. (PB)</t>
  </si>
  <si>
    <t>total data to tape (PB)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</si>
</sst>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##0.0E+0"/>
    <numFmt numFmtId="167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75"/>
  <cols>
    <col collapsed="false" hidden="false" max="1" min="1" style="0" width="33.3877551020408"/>
    <col collapsed="false" hidden="false" max="6" min="2" style="0" width="12.5561224489796"/>
    <col collapsed="false" hidden="false" max="7" min="7" style="0" width="11.8418367346939"/>
    <col collapsed="false" hidden="false" max="1025" min="8" style="0" width="11.5561224489796"/>
  </cols>
  <sheetData>
    <row r="1" customFormat="false" ht="12.6" hidden="false" customHeight="true" outlineLevel="0" collapsed="false">
      <c r="A1" s="1" t="s">
        <v>0</v>
      </c>
    </row>
    <row r="2" customFormat="false" ht="12.2" hidden="false" customHeight="true" outlineLevel="0" collapsed="false">
      <c r="I2" s="2" t="n">
        <f aca="false">365.25*24*60*60</f>
        <v>31557600</v>
      </c>
    </row>
    <row r="3" s="1" customFormat="true" ht="12.2" hidden="false" customHeight="tru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customFormat="false" ht="12.2" hidden="false" customHeight="true" outlineLevel="0" collapsed="false">
      <c r="A4" s="3" t="s">
        <v>9</v>
      </c>
      <c r="B4" s="4" t="n">
        <v>20000</v>
      </c>
      <c r="C4" s="4" t="n">
        <v>20000</v>
      </c>
      <c r="D4" s="4" t="n">
        <v>20000</v>
      </c>
      <c r="E4" s="4" t="n">
        <v>20000</v>
      </c>
      <c r="F4" s="4" t="n">
        <v>20000</v>
      </c>
      <c r="G4" s="0" t="s">
        <v>10</v>
      </c>
      <c r="H4" s="0" t="s">
        <v>11</v>
      </c>
    </row>
    <row r="5" customFormat="false" ht="12.2" hidden="false" customHeight="true" outlineLevel="0" collapsed="false">
      <c r="A5" s="0" t="s">
        <v>12</v>
      </c>
      <c r="B5" s="4" t="n">
        <v>2</v>
      </c>
      <c r="C5" s="4" t="n">
        <v>16</v>
      </c>
      <c r="D5" s="4" t="n">
        <v>25</v>
      </c>
      <c r="E5" s="4" t="n">
        <v>18</v>
      </c>
      <c r="F5" s="4" t="n">
        <v>22</v>
      </c>
      <c r="G5" s="0" t="s">
        <v>13</v>
      </c>
      <c r="H5" s="0" t="s">
        <v>14</v>
      </c>
    </row>
    <row r="6" customFormat="false" ht="12.2" hidden="false" customHeight="true" outlineLevel="0" collapsed="false">
      <c r="A6" s="0" t="s">
        <v>15</v>
      </c>
      <c r="B6" s="4" t="n">
        <v>0.5</v>
      </c>
      <c r="C6" s="4" t="n">
        <v>0.5</v>
      </c>
      <c r="D6" s="4" t="n">
        <v>0.5</v>
      </c>
      <c r="E6" s="4" t="n">
        <v>0.5</v>
      </c>
      <c r="F6" s="4" t="n">
        <v>0.5</v>
      </c>
      <c r="H6" s="0" t="s">
        <v>16</v>
      </c>
    </row>
    <row r="7" customFormat="false" ht="12.2" hidden="false" customHeight="true" outlineLevel="0" collapsed="false">
      <c r="A7" s="0" t="s">
        <v>17</v>
      </c>
      <c r="B7" s="2" t="n">
        <f aca="false">B4*B5/(365.25/7)*B6</f>
        <v>383.299110198494</v>
      </c>
      <c r="C7" s="2" t="n">
        <f aca="false">C4*C5/(365.25/7)*C6</f>
        <v>3066.39288158795</v>
      </c>
      <c r="D7" s="2" t="n">
        <f aca="false">D4*D5/(365.25/7)*D6</f>
        <v>4791.23887748118</v>
      </c>
      <c r="E7" s="2" t="n">
        <f aca="false">E4*E5/(365.25/7)*E6</f>
        <v>3449.69199178645</v>
      </c>
      <c r="F7" s="2" t="n">
        <f aca="false">F4*F5/(365.25/7)*F6</f>
        <v>4216.29021218344</v>
      </c>
      <c r="G7" s="0" t="s">
        <v>10</v>
      </c>
      <c r="H7" s="0" t="s">
        <v>18</v>
      </c>
    </row>
    <row r="8" customFormat="false" ht="12.2" hidden="false" customHeight="true" outlineLevel="0" collapsed="false">
      <c r="A8" s="0" t="s">
        <v>19</v>
      </c>
      <c r="B8" s="5" t="n">
        <f aca="false">B7*365*24*60*60</f>
        <v>12087720739.2197</v>
      </c>
      <c r="C8" s="5" t="n">
        <f aca="false">C7*365*24*60*60</f>
        <v>96701765913.7577</v>
      </c>
      <c r="D8" s="5" t="n">
        <f aca="false">D7*365*24*60*60</f>
        <v>151096509240.246</v>
      </c>
      <c r="E8" s="5" t="n">
        <f aca="false">E7*365*24*60*60</f>
        <v>108789486652.977</v>
      </c>
      <c r="F8" s="5" t="n">
        <f aca="false">F7*365*24*60*60</f>
        <v>132964928131.417</v>
      </c>
      <c r="G8" s="0" t="s">
        <v>20</v>
      </c>
      <c r="H8" s="0" t="s">
        <v>18</v>
      </c>
    </row>
    <row r="9" customFormat="false" ht="12.2" hidden="false" customHeight="true" outlineLevel="0" collapsed="false">
      <c r="A9" s="0" t="s">
        <v>21</v>
      </c>
      <c r="B9" s="4" t="n">
        <f aca="false">1/22</f>
        <v>0.0454545454545455</v>
      </c>
      <c r="C9" s="4" t="n">
        <f aca="false">1/22</f>
        <v>0.0454545454545455</v>
      </c>
      <c r="D9" s="4" t="n">
        <f aca="false">1/22</f>
        <v>0.0454545454545455</v>
      </c>
      <c r="E9" s="4" t="n">
        <f aca="false">1/22</f>
        <v>0.0454545454545455</v>
      </c>
      <c r="F9" s="4" t="n">
        <f aca="false">1/22</f>
        <v>0.0454545454545455</v>
      </c>
      <c r="G9" s="0" t="s">
        <v>22</v>
      </c>
      <c r="H9" s="0" t="s">
        <v>23</v>
      </c>
    </row>
    <row r="10" customFormat="false" ht="12.2" hidden="false" customHeight="true" outlineLevel="0" collapsed="false">
      <c r="A10" s="0" t="s">
        <v>24</v>
      </c>
      <c r="B10" s="2" t="n">
        <f aca="false">B7*B9</f>
        <v>17.4226868272043</v>
      </c>
      <c r="C10" s="2" t="n">
        <f aca="false">C7*C9</f>
        <v>139.381494617634</v>
      </c>
      <c r="D10" s="2" t="n">
        <f aca="false">D7*D9</f>
        <v>217.783585340053</v>
      </c>
      <c r="E10" s="2" t="n">
        <f aca="false">E7*E9</f>
        <v>156.804181444839</v>
      </c>
      <c r="F10" s="2" t="n">
        <f aca="false">F7*F9</f>
        <v>191.649555099247</v>
      </c>
      <c r="G10" s="0" t="s">
        <v>25</v>
      </c>
      <c r="H10" s="0" t="s">
        <v>26</v>
      </c>
    </row>
    <row r="11" customFormat="false" ht="12.2" hidden="false" customHeight="true" outlineLevel="0" collapsed="false">
      <c r="A11" s="0" t="s">
        <v>27</v>
      </c>
      <c r="B11" s="4" t="n">
        <v>18000</v>
      </c>
      <c r="C11" s="4" t="n">
        <v>18000</v>
      </c>
      <c r="D11" s="4" t="n">
        <v>18000</v>
      </c>
      <c r="E11" s="4" t="n">
        <v>18000</v>
      </c>
      <c r="F11" s="4" t="n">
        <v>18000</v>
      </c>
      <c r="G11" s="0" t="s">
        <v>28</v>
      </c>
      <c r="H11" s="0" t="s">
        <v>29</v>
      </c>
    </row>
    <row r="12" customFormat="false" ht="12.2" hidden="false" customHeight="true" outlineLevel="0" collapsed="false">
      <c r="A12" s="0" t="s">
        <v>30</v>
      </c>
      <c r="B12" s="6" t="n">
        <f aca="false">B4*B11/1000000</f>
        <v>360</v>
      </c>
      <c r="C12" s="6" t="n">
        <f aca="false">C4*C11/1000000</f>
        <v>360</v>
      </c>
      <c r="D12" s="6" t="n">
        <f aca="false">D4*D11/1000000</f>
        <v>360</v>
      </c>
      <c r="E12" s="6" t="n">
        <f aca="false">E4*E11/1000000</f>
        <v>360</v>
      </c>
      <c r="F12" s="6" t="n">
        <f aca="false">F4*F11/1000000</f>
        <v>360</v>
      </c>
      <c r="G12" s="0" t="s">
        <v>31</v>
      </c>
      <c r="H12" s="0" t="s">
        <v>32</v>
      </c>
    </row>
    <row r="13" customFormat="false" ht="12.2" hidden="false" customHeight="true" outlineLevel="0" collapsed="false">
      <c r="A13" s="0" t="s">
        <v>33</v>
      </c>
      <c r="B13" s="7" t="n">
        <f aca="false">B8*B11</f>
        <v>217578973305955</v>
      </c>
      <c r="C13" s="7" t="n">
        <f aca="false">C8*C11</f>
        <v>1740631786447640</v>
      </c>
      <c r="D13" s="7" t="n">
        <f aca="false">D8*D11</f>
        <v>2719737166324430</v>
      </c>
      <c r="E13" s="7" t="n">
        <f aca="false">E8*E11</f>
        <v>1958210759753590</v>
      </c>
      <c r="F13" s="7" t="n">
        <f aca="false">F8*F11</f>
        <v>2393368706365500</v>
      </c>
      <c r="G13" s="0" t="s">
        <v>34</v>
      </c>
      <c r="H13" s="0" t="s">
        <v>35</v>
      </c>
    </row>
    <row r="14" customFormat="false" ht="12.75" hidden="false" customHeight="false" outlineLevel="0" collapsed="false">
      <c r="A14" s="0" t="s">
        <v>33</v>
      </c>
      <c r="B14" s="2" t="n">
        <f aca="false">B13/1000000000000</f>
        <v>217.578973305955</v>
      </c>
      <c r="C14" s="2" t="n">
        <f aca="false">C13/1000000000000</f>
        <v>1740.63178644764</v>
      </c>
      <c r="D14" s="2" t="n">
        <f aca="false">D13/1000000000000</f>
        <v>2719.73716632443</v>
      </c>
      <c r="E14" s="2" t="n">
        <f aca="false">E13/1000000000000</f>
        <v>1958.21075975359</v>
      </c>
      <c r="F14" s="2" t="n">
        <f aca="false">F13/1000000000000</f>
        <v>2393.3687063655</v>
      </c>
      <c r="G14" s="0" t="s">
        <v>36</v>
      </c>
      <c r="H14" s="0" t="s">
        <v>35</v>
      </c>
    </row>
    <row r="15" customFormat="false" ht="12.75" hidden="false" customHeight="false" outlineLevel="0" collapsed="false">
      <c r="A15" s="0" t="s">
        <v>37</v>
      </c>
      <c r="B15" s="4" t="n">
        <v>0.05</v>
      </c>
      <c r="C15" s="4" t="n">
        <v>0.05</v>
      </c>
      <c r="D15" s="4" t="n">
        <v>0.05</v>
      </c>
      <c r="E15" s="4" t="n">
        <v>0.05</v>
      </c>
      <c r="F15" s="4" t="n">
        <v>0.05</v>
      </c>
      <c r="H15" s="0" t="s">
        <v>38</v>
      </c>
    </row>
    <row r="16" customFormat="false" ht="12.75" hidden="false" customHeight="false" outlineLevel="0" collapsed="false">
      <c r="A16" s="0" t="s">
        <v>39</v>
      </c>
      <c r="B16" s="4" t="n">
        <v>2</v>
      </c>
      <c r="C16" s="4" t="n">
        <v>2</v>
      </c>
      <c r="D16" s="4" t="n">
        <v>2</v>
      </c>
      <c r="E16" s="4" t="n">
        <v>2</v>
      </c>
      <c r="F16" s="4" t="n">
        <v>2</v>
      </c>
      <c r="H16" s="0" t="s">
        <v>40</v>
      </c>
    </row>
    <row r="17" customFormat="false" ht="12.75" hidden="false" customHeight="false" outlineLevel="0" collapsed="false">
      <c r="A17" s="0" t="s">
        <v>41</v>
      </c>
      <c r="B17" s="4" t="n">
        <v>2</v>
      </c>
      <c r="C17" s="4" t="n">
        <v>2</v>
      </c>
      <c r="D17" s="4" t="n">
        <v>2</v>
      </c>
      <c r="E17" s="4" t="n">
        <v>2</v>
      </c>
      <c r="F17" s="4" t="n">
        <v>2</v>
      </c>
      <c r="H17" s="0" t="s">
        <v>42</v>
      </c>
    </row>
    <row r="18" customFormat="false" ht="12.75" hidden="false" customHeight="false" outlineLevel="0" collapsed="false">
      <c r="A18" s="0" t="s">
        <v>43</v>
      </c>
      <c r="B18" s="2" t="n">
        <f aca="false">B15*B17*B10</f>
        <v>1.74226868272043</v>
      </c>
      <c r="C18" s="2" t="n">
        <f aca="false">C15*C17*C10</f>
        <v>13.9381494617634</v>
      </c>
      <c r="D18" s="2" t="n">
        <f aca="false">D15*D17*D10</f>
        <v>21.7783585340053</v>
      </c>
      <c r="E18" s="2" t="n">
        <f aca="false">E15*E17*E10</f>
        <v>15.6804181444839</v>
      </c>
      <c r="F18" s="2" t="n">
        <f aca="false">F15*F17*F10</f>
        <v>19.1649555099247</v>
      </c>
      <c r="G18" s="0" t="s">
        <v>25</v>
      </c>
      <c r="H18" s="0" t="s">
        <v>44</v>
      </c>
    </row>
    <row r="19" customFormat="false" ht="12.75" hidden="false" customHeight="false" outlineLevel="0" collapsed="false">
      <c r="A19" s="0" t="s">
        <v>45</v>
      </c>
      <c r="B19" s="2" t="n">
        <f aca="false">B16*B10</f>
        <v>34.8453736544086</v>
      </c>
      <c r="C19" s="2" t="n">
        <f aca="false">C16*C10</f>
        <v>278.762989235268</v>
      </c>
      <c r="D19" s="2" t="n">
        <f aca="false">D16*D10</f>
        <v>435.567170680107</v>
      </c>
      <c r="E19" s="2" t="n">
        <f aca="false">E16*E10</f>
        <v>313.608362889677</v>
      </c>
      <c r="F19" s="2" t="n">
        <f aca="false">F16*F10</f>
        <v>383.299110198494</v>
      </c>
      <c r="G19" s="0" t="s">
        <v>25</v>
      </c>
      <c r="H19" s="0" t="s">
        <v>46</v>
      </c>
      <c r="I19" s="8"/>
    </row>
    <row r="20" customFormat="false" ht="12.75" hidden="false" customHeight="false" outlineLevel="0" collapsed="false">
      <c r="A20" s="0" t="s">
        <v>47</v>
      </c>
      <c r="B20" s="4" t="n">
        <v>0.1</v>
      </c>
      <c r="C20" s="4" t="n">
        <v>0.1</v>
      </c>
      <c r="D20" s="4" t="n">
        <v>0.1</v>
      </c>
      <c r="E20" s="4" t="n">
        <v>0.1</v>
      </c>
      <c r="F20" s="4" t="n">
        <v>0.1</v>
      </c>
      <c r="H20" s="0" t="s">
        <v>48</v>
      </c>
    </row>
    <row r="21" customFormat="false" ht="12.75" hidden="false" customHeight="false" outlineLevel="0" collapsed="false">
      <c r="A21" s="0" t="s">
        <v>49</v>
      </c>
      <c r="B21" s="4" t="n">
        <v>0.1</v>
      </c>
      <c r="C21" s="4" t="n">
        <v>0.1</v>
      </c>
      <c r="D21" s="4" t="n">
        <v>0.1</v>
      </c>
      <c r="E21" s="4" t="n">
        <v>0.1</v>
      </c>
      <c r="F21" s="4" t="n">
        <v>0.1</v>
      </c>
      <c r="H21" s="0" t="s">
        <v>50</v>
      </c>
    </row>
    <row r="22" customFormat="false" ht="12.75" hidden="false" customHeight="false" outlineLevel="0" collapsed="false">
      <c r="A22" s="0" t="s">
        <v>51</v>
      </c>
      <c r="B22" s="4" t="n">
        <v>5</v>
      </c>
      <c r="C22" s="4" t="n">
        <v>5</v>
      </c>
      <c r="D22" s="4" t="n">
        <v>5</v>
      </c>
      <c r="E22" s="4" t="n">
        <v>5</v>
      </c>
      <c r="F22" s="4" t="n">
        <v>5</v>
      </c>
      <c r="H22" s="0" t="s">
        <v>52</v>
      </c>
    </row>
    <row r="23" customFormat="false" ht="12.75" hidden="false" customHeight="false" outlineLevel="0" collapsed="false">
      <c r="A23" s="0" t="s">
        <v>53</v>
      </c>
      <c r="B23" s="2" t="n">
        <f aca="false">B20*B10</f>
        <v>1.74226868272043</v>
      </c>
      <c r="C23" s="2" t="n">
        <f aca="false">C20*C10</f>
        <v>13.9381494617634</v>
      </c>
      <c r="D23" s="2" t="n">
        <f aca="false">D20*D10</f>
        <v>21.7783585340053</v>
      </c>
      <c r="E23" s="2" t="n">
        <f aca="false">E20*E10</f>
        <v>15.6804181444839</v>
      </c>
      <c r="F23" s="2" t="n">
        <f aca="false">F20*F10</f>
        <v>19.1649555099247</v>
      </c>
      <c r="G23" s="0" t="s">
        <v>25</v>
      </c>
      <c r="H23" s="0" t="s">
        <v>54</v>
      </c>
    </row>
    <row r="24" customFormat="false" ht="12.75" hidden="false" customHeight="false" outlineLevel="0" collapsed="false">
      <c r="A24" s="0" t="s">
        <v>55</v>
      </c>
      <c r="B24" s="9" t="n">
        <v>2</v>
      </c>
      <c r="C24" s="9" t="n">
        <v>2</v>
      </c>
      <c r="D24" s="9" t="n">
        <v>2</v>
      </c>
      <c r="E24" s="9" t="n">
        <v>2</v>
      </c>
      <c r="F24" s="9" t="n">
        <v>2</v>
      </c>
      <c r="H24" s="0" t="s">
        <v>56</v>
      </c>
    </row>
    <row r="25" customFormat="false" ht="12.75" hidden="false" customHeight="false" outlineLevel="0" collapsed="false">
      <c r="A25" s="0" t="s">
        <v>57</v>
      </c>
      <c r="B25" s="2" t="n">
        <f aca="false">B22*B23*B24</f>
        <v>17.4226868272043</v>
      </c>
      <c r="C25" s="2" t="n">
        <f aca="false">C22*C23*C24</f>
        <v>139.381494617634</v>
      </c>
      <c r="D25" s="2" t="n">
        <f aca="false">D22*D23*D24</f>
        <v>217.783585340053</v>
      </c>
      <c r="E25" s="2" t="n">
        <f aca="false">E22*E23*E24</f>
        <v>156.804181444839</v>
      </c>
      <c r="F25" s="2" t="n">
        <f aca="false">F22*F23*F24</f>
        <v>191.649555099247</v>
      </c>
      <c r="G25" s="0" t="s">
        <v>25</v>
      </c>
      <c r="H25" s="0" t="s">
        <v>58</v>
      </c>
    </row>
    <row r="26" customFormat="false" ht="12.75" hidden="false" customHeight="false" outlineLevel="0" collapsed="false">
      <c r="A26" s="0" t="s">
        <v>59</v>
      </c>
      <c r="B26" s="2" t="n">
        <f aca="false">B50*B21</f>
        <v>0.137987679671458</v>
      </c>
      <c r="C26" s="2" t="n">
        <f aca="false">C50*C21</f>
        <v>1.10390143737166</v>
      </c>
      <c r="D26" s="2" t="n">
        <f aca="false">D50*D21</f>
        <v>1.72484599589322</v>
      </c>
      <c r="E26" s="2" t="n">
        <f aca="false">E50*E21</f>
        <v>1.24188911704312</v>
      </c>
      <c r="F26" s="2" t="n">
        <f aca="false">F50*F21</f>
        <v>1.51786447638604</v>
      </c>
      <c r="G26" s="0" t="s">
        <v>31</v>
      </c>
    </row>
    <row r="27" customFormat="false" ht="12.75" hidden="false" customHeight="false" outlineLevel="0" collapsed="false">
      <c r="A27" s="0" t="s">
        <v>60</v>
      </c>
      <c r="B27" s="2" t="n">
        <f aca="false">B26*B22*B24*$I2/1000000000</f>
        <v>0.0435456</v>
      </c>
      <c r="C27" s="2" t="n">
        <f aca="false">C26*C22*C24*$I2/1000000000</f>
        <v>0.3483648</v>
      </c>
      <c r="D27" s="2" t="n">
        <f aca="false">D26*D22*D24*$I2/1000000000</f>
        <v>0.54432</v>
      </c>
      <c r="E27" s="2" t="n">
        <f aca="false">E26*E22*E24*$I2/1000000000</f>
        <v>0.3919104</v>
      </c>
      <c r="F27" s="2" t="n">
        <f aca="false">F26*F22*F24*$I2/1000000000</f>
        <v>0.4790016</v>
      </c>
      <c r="G27" s="0" t="s">
        <v>61</v>
      </c>
    </row>
    <row r="28" customFormat="false" ht="12.75" hidden="false" customHeight="false" outlineLevel="0" collapsed="false">
      <c r="A28" s="0" t="s">
        <v>62</v>
      </c>
      <c r="B28" s="9" t="n">
        <f aca="false">1/14.04+1/11.4</f>
        <v>0.158944369470685</v>
      </c>
      <c r="C28" s="9" t="n">
        <f aca="false">1/14.04+1/11.4</f>
        <v>0.158944369470685</v>
      </c>
      <c r="D28" s="9" t="n">
        <f aca="false">1/14.04+1/11.4</f>
        <v>0.158944369470685</v>
      </c>
      <c r="E28" s="9" t="n">
        <f aca="false">1/14.04+1/11.4</f>
        <v>0.158944369470685</v>
      </c>
      <c r="F28" s="9" t="n">
        <f aca="false">1/14.04+1/11.4</f>
        <v>0.158944369470685</v>
      </c>
    </row>
    <row r="29" customFormat="false" ht="12.75" hidden="false" customHeight="false" outlineLevel="0" collapsed="false">
      <c r="A29" s="0" t="s">
        <v>63</v>
      </c>
      <c r="B29" s="4" t="n">
        <f aca="false">1/22</f>
        <v>0.0454545454545455</v>
      </c>
      <c r="C29" s="4" t="n">
        <f aca="false">1/22</f>
        <v>0.0454545454545455</v>
      </c>
      <c r="D29" s="4" t="n">
        <f aca="false">1/22</f>
        <v>0.0454545454545455</v>
      </c>
      <c r="E29" s="4" t="n">
        <f aca="false">1/22</f>
        <v>0.0454545454545455</v>
      </c>
      <c r="F29" s="4" t="n">
        <f aca="false">1/22</f>
        <v>0.0454545454545455</v>
      </c>
    </row>
    <row r="30" customFormat="false" ht="12.75" hidden="false" customHeight="false" outlineLevel="0" collapsed="false">
      <c r="A30" s="0" t="s">
        <v>64</v>
      </c>
      <c r="B30" s="6" t="n">
        <f aca="false">B28/B9</f>
        <v>3.49677612835508</v>
      </c>
      <c r="C30" s="6" t="n">
        <f aca="false">C28/C9</f>
        <v>3.49677612835508</v>
      </c>
      <c r="D30" s="6" t="n">
        <f aca="false">D28/D9</f>
        <v>3.49677612835508</v>
      </c>
      <c r="E30" s="6" t="n">
        <f aca="false">E28/E9</f>
        <v>3.49677612835508</v>
      </c>
      <c r="F30" s="6" t="n">
        <f aca="false">F28/F9</f>
        <v>3.49677612835508</v>
      </c>
      <c r="G30" s="0" t="s">
        <v>22</v>
      </c>
      <c r="H30" s="0" t="s">
        <v>65</v>
      </c>
    </row>
    <row r="31" customFormat="false" ht="12.75" hidden="false" customHeight="false" outlineLevel="0" collapsed="false">
      <c r="A31" s="0" t="s">
        <v>66</v>
      </c>
      <c r="B31" s="6" t="n">
        <f aca="false">B29/B9</f>
        <v>1</v>
      </c>
      <c r="C31" s="6" t="n">
        <f aca="false">C29/C9</f>
        <v>1</v>
      </c>
      <c r="D31" s="6" t="n">
        <f aca="false">D29/D9</f>
        <v>1</v>
      </c>
      <c r="E31" s="6" t="n">
        <f aca="false">E29/E9</f>
        <v>1</v>
      </c>
      <c r="F31" s="6" t="n">
        <f aca="false">F29/F9</f>
        <v>1</v>
      </c>
      <c r="H31" s="0" t="s">
        <v>67</v>
      </c>
    </row>
    <row r="32" customFormat="false" ht="12.75" hidden="false" customHeight="false" outlineLevel="0" collapsed="false">
      <c r="A32" s="0" t="s">
        <v>68</v>
      </c>
      <c r="B32" s="4" t="n">
        <v>2</v>
      </c>
      <c r="C32" s="4" t="n">
        <v>2</v>
      </c>
      <c r="D32" s="4" t="n">
        <v>2</v>
      </c>
      <c r="E32" s="4" t="n">
        <v>2</v>
      </c>
      <c r="F32" s="4" t="n">
        <v>2</v>
      </c>
      <c r="H32" s="0" t="s">
        <v>69</v>
      </c>
    </row>
    <row r="33" customFormat="false" ht="12.75" hidden="false" customHeight="false" outlineLevel="0" collapsed="false">
      <c r="A33" s="0" t="s">
        <v>70</v>
      </c>
      <c r="B33" s="2" t="n">
        <v>18000</v>
      </c>
      <c r="C33" s="2" t="n">
        <v>18000</v>
      </c>
      <c r="D33" s="2" t="n">
        <v>18000</v>
      </c>
      <c r="E33" s="2" t="n">
        <v>18000</v>
      </c>
      <c r="F33" s="2" t="n">
        <v>18000</v>
      </c>
      <c r="G33" s="0" t="s">
        <v>28</v>
      </c>
      <c r="H33" s="0" t="s">
        <v>71</v>
      </c>
    </row>
    <row r="34" customFormat="false" ht="12.75" hidden="false" customHeight="false" outlineLevel="0" collapsed="false">
      <c r="A34" s="0" t="s">
        <v>72</v>
      </c>
      <c r="B34" s="9" t="n">
        <v>2</v>
      </c>
      <c r="C34" s="9" t="n">
        <v>2</v>
      </c>
      <c r="D34" s="9" t="n">
        <v>2</v>
      </c>
      <c r="E34" s="9" t="n">
        <v>2</v>
      </c>
      <c r="F34" s="9" t="n">
        <v>2</v>
      </c>
      <c r="H34" s="0" t="s">
        <v>73</v>
      </c>
    </row>
    <row r="35" customFormat="false" ht="12.75" hidden="false" customHeight="false" outlineLevel="0" collapsed="false">
      <c r="A35" s="0" t="s">
        <v>74</v>
      </c>
      <c r="B35" s="10" t="n">
        <f aca="false">B7*B32*B34</f>
        <v>1533.19644079398</v>
      </c>
      <c r="C35" s="10" t="n">
        <f aca="false">C7*C32*C34</f>
        <v>12265.5715263518</v>
      </c>
      <c r="D35" s="10" t="n">
        <f aca="false">D7*D32*D34</f>
        <v>19164.9555099247</v>
      </c>
      <c r="E35" s="10" t="n">
        <f aca="false">E7*E32*E34</f>
        <v>13798.7679671458</v>
      </c>
      <c r="F35" s="10" t="n">
        <f aca="false">F7*F32*F34</f>
        <v>16865.1608487337</v>
      </c>
      <c r="G35" s="0" t="s">
        <v>10</v>
      </c>
      <c r="H35" s="0" t="s">
        <v>75</v>
      </c>
    </row>
    <row r="36" customFormat="false" ht="12.75" hidden="false" customHeight="false" outlineLevel="0" collapsed="false">
      <c r="A36" s="0" t="s">
        <v>76</v>
      </c>
      <c r="B36" s="2" t="n">
        <f aca="false">B32*B10*(B30+B31)*B34</f>
        <v>313.383688865514</v>
      </c>
      <c r="C36" s="2" t="n">
        <f aca="false">C32*C10*(C30+C31)*C34</f>
        <v>2507.06951092412</v>
      </c>
      <c r="D36" s="2" t="n">
        <f aca="false">D32*D10*(D30+D31)*D34</f>
        <v>3917.29611081893</v>
      </c>
      <c r="E36" s="2" t="n">
        <f aca="false">E32*E10*(E30+E31)*E34</f>
        <v>2820.45319978963</v>
      </c>
      <c r="F36" s="2" t="n">
        <f aca="false">F32*F10*(F30+F31)*F34</f>
        <v>3447.22057752066</v>
      </c>
      <c r="G36" s="0" t="s">
        <v>25</v>
      </c>
      <c r="H36" s="0" t="s">
        <v>77</v>
      </c>
    </row>
    <row r="37" customFormat="false" ht="12.75" hidden="false" customHeight="false" outlineLevel="0" collapsed="false">
      <c r="A37" s="0" t="s">
        <v>78</v>
      </c>
      <c r="B37" s="2" t="n">
        <f aca="false">B33*B48</f>
        <v>3600</v>
      </c>
      <c r="C37" s="2" t="n">
        <f aca="false">C33*C48</f>
        <v>3600</v>
      </c>
      <c r="D37" s="2" t="n">
        <f aca="false">D33*D48</f>
        <v>3600</v>
      </c>
      <c r="E37" s="2" t="n">
        <f aca="false">E33*E48</f>
        <v>3600</v>
      </c>
      <c r="F37" s="2" t="n">
        <f aca="false">F33*F48</f>
        <v>3600</v>
      </c>
      <c r="G37" s="0" t="s">
        <v>28</v>
      </c>
      <c r="H37" s="0" t="s">
        <v>79</v>
      </c>
    </row>
    <row r="38" customFormat="false" ht="12.75" hidden="false" customHeight="false" outlineLevel="0" collapsed="false">
      <c r="A38" s="0" t="s">
        <v>80</v>
      </c>
      <c r="B38" s="2" t="n">
        <f aca="false">B35*B37/1000000</f>
        <v>5.51950718685832</v>
      </c>
      <c r="C38" s="2" t="n">
        <f aca="false">C35*C37/1000000</f>
        <v>44.1560574948665</v>
      </c>
      <c r="D38" s="2" t="n">
        <f aca="false">D35*D37/1000000</f>
        <v>68.9938398357289</v>
      </c>
      <c r="E38" s="2" t="n">
        <f aca="false">E35*E37/1000000</f>
        <v>49.6755646817248</v>
      </c>
      <c r="F38" s="2" t="n">
        <f aca="false">F35*F37/1000000</f>
        <v>60.7145790554415</v>
      </c>
      <c r="G38" s="0" t="s">
        <v>31</v>
      </c>
    </row>
    <row r="39" customFormat="false" ht="12.75" hidden="false" customHeight="false" outlineLevel="0" collapsed="false">
      <c r="A39" s="0" t="s">
        <v>80</v>
      </c>
      <c r="B39" s="2" t="n">
        <f aca="false">B38*$I2/1000000000</f>
        <v>0.1741824</v>
      </c>
      <c r="C39" s="2" t="n">
        <f aca="false">C38*$I2/1000000000</f>
        <v>1.3934592</v>
      </c>
      <c r="D39" s="2" t="n">
        <f aca="false">D38*$I2/1000000000</f>
        <v>2.17728</v>
      </c>
      <c r="E39" s="2" t="n">
        <f aca="false">E38*$I2/1000000000</f>
        <v>1.5676416</v>
      </c>
      <c r="F39" s="2" t="n">
        <f aca="false">F38*$I2/1000000000</f>
        <v>1.9160064</v>
      </c>
      <c r="G39" s="0" t="s">
        <v>61</v>
      </c>
    </row>
    <row r="40" customFormat="false" ht="12.75" hidden="false" customHeight="false" outlineLevel="0" collapsed="false">
      <c r="A40" s="0" t="s">
        <v>81</v>
      </c>
      <c r="B40" s="4" t="n">
        <v>0.1</v>
      </c>
      <c r="C40" s="4" t="n">
        <v>0.1</v>
      </c>
      <c r="D40" s="4" t="n">
        <v>0.1</v>
      </c>
      <c r="E40" s="4" t="n">
        <v>0.1</v>
      </c>
      <c r="F40" s="4" t="n">
        <v>0.1</v>
      </c>
      <c r="H40" s="0" t="s">
        <v>82</v>
      </c>
    </row>
    <row r="41" customFormat="false" ht="12.75" hidden="false" customHeight="false" outlineLevel="0" collapsed="false">
      <c r="A41" s="0" t="s">
        <v>83</v>
      </c>
      <c r="B41" s="4" t="n">
        <v>10</v>
      </c>
      <c r="C41" s="4" t="n">
        <v>10</v>
      </c>
      <c r="D41" s="4" t="n">
        <v>10</v>
      </c>
      <c r="E41" s="4" t="n">
        <v>10</v>
      </c>
      <c r="F41" s="4" t="n">
        <v>10</v>
      </c>
      <c r="H41" s="0" t="s">
        <v>84</v>
      </c>
    </row>
    <row r="42" customFormat="false" ht="12.75" hidden="false" customHeight="false" outlineLevel="0" collapsed="false">
      <c r="A42" s="0" t="s">
        <v>85</v>
      </c>
      <c r="B42" s="2" t="n">
        <f aca="false">B40*B10*B41</f>
        <v>17.4226868272043</v>
      </c>
      <c r="C42" s="2" t="n">
        <f aca="false">C40*C10*C41</f>
        <v>139.381494617634</v>
      </c>
      <c r="D42" s="2" t="n">
        <f aca="false">D40*D10*D41</f>
        <v>217.783585340053</v>
      </c>
      <c r="E42" s="2" t="n">
        <f aca="false">E40*E10*E41</f>
        <v>156.804181444839</v>
      </c>
      <c r="F42" s="2" t="n">
        <f aca="false">F40*F10*F41</f>
        <v>191.649555099247</v>
      </c>
      <c r="G42" s="0" t="s">
        <v>25</v>
      </c>
      <c r="H42" s="0" t="s">
        <v>86</v>
      </c>
    </row>
    <row r="43" s="11" customFormat="true" ht="12.75" hidden="false" customHeight="false" outlineLevel="0" collapsed="false">
      <c r="A43" s="11" t="s">
        <v>87</v>
      </c>
      <c r="B43" s="12" t="n">
        <f aca="false">B18+B19+B25+B36+B42</f>
        <v>384.816704857052</v>
      </c>
      <c r="C43" s="12" t="n">
        <f aca="false">C18+C19+C25+C36+C42</f>
        <v>3078.53363885642</v>
      </c>
      <c r="D43" s="12" t="n">
        <f aca="false">D18+D19+D25+D36+D42</f>
        <v>4810.20881071315</v>
      </c>
      <c r="E43" s="12" t="n">
        <f aca="false">E18+E19+E25+E36+E42</f>
        <v>3463.35034371347</v>
      </c>
      <c r="F43" s="12" t="n">
        <f aca="false">F18+F19+F25+F36+F42</f>
        <v>4232.98375342757</v>
      </c>
      <c r="G43" s="11" t="s">
        <v>25</v>
      </c>
      <c r="H43" s="11" t="s">
        <v>88</v>
      </c>
    </row>
    <row r="44" customFormat="false" ht="12.75" hidden="false" customHeight="false" outlineLevel="0" collapsed="false">
      <c r="A44" s="0" t="s">
        <v>89</v>
      </c>
      <c r="B44" s="2" t="n">
        <f aca="false">B43-B36</f>
        <v>71.4330159915376</v>
      </c>
      <c r="C44" s="2" t="n">
        <f aca="false">C43-C36</f>
        <v>571.464127932301</v>
      </c>
      <c r="D44" s="2" t="n">
        <f aca="false">D43-D36</f>
        <v>892.91269989422</v>
      </c>
      <c r="E44" s="2" t="n">
        <f aca="false">E43-E36</f>
        <v>642.897143923838</v>
      </c>
      <c r="F44" s="2" t="n">
        <f aca="false">F43-F36</f>
        <v>785.763175906913</v>
      </c>
      <c r="G44" s="0" t="s">
        <v>25</v>
      </c>
      <c r="H44" s="0" t="s">
        <v>90</v>
      </c>
    </row>
    <row r="45" customFormat="false" ht="12.75" hidden="false" customHeight="false" outlineLevel="0" collapsed="false">
      <c r="A45" s="0" t="s">
        <v>91</v>
      </c>
      <c r="B45" s="4" t="n">
        <v>100</v>
      </c>
      <c r="C45" s="4" t="n">
        <v>100</v>
      </c>
      <c r="D45" s="4" t="n">
        <v>100</v>
      </c>
      <c r="E45" s="4" t="n">
        <v>100</v>
      </c>
      <c r="F45" s="4" t="n">
        <v>100</v>
      </c>
      <c r="G45" s="0" t="s">
        <v>31</v>
      </c>
      <c r="H45" s="0" t="s">
        <v>92</v>
      </c>
    </row>
    <row r="46" customFormat="false" ht="12.75" hidden="false" customHeight="false" outlineLevel="0" collapsed="false">
      <c r="A46" s="0" t="s">
        <v>93</v>
      </c>
      <c r="B46" s="4" t="n">
        <v>3</v>
      </c>
      <c r="C46" s="4" t="n">
        <v>3</v>
      </c>
      <c r="D46" s="4" t="n">
        <v>3</v>
      </c>
      <c r="E46" s="4" t="n">
        <v>3</v>
      </c>
      <c r="F46" s="4" t="n">
        <v>3</v>
      </c>
      <c r="G46" s="0" t="s">
        <v>31</v>
      </c>
      <c r="H46" s="0" t="s">
        <v>94</v>
      </c>
    </row>
    <row r="47" customFormat="false" ht="12.75" hidden="false" customHeight="false" outlineLevel="0" collapsed="false">
      <c r="A47" s="0" t="s">
        <v>95</v>
      </c>
      <c r="B47" s="6" t="n">
        <f aca="false">B7*B11/B45/1000000</f>
        <v>0.068993839835729</v>
      </c>
      <c r="C47" s="6" t="n">
        <f aca="false">C7*C11/C45/1000000</f>
        <v>0.551950718685832</v>
      </c>
      <c r="D47" s="6" t="n">
        <f aca="false">D7*D11/D45/1000000</f>
        <v>0.862422997946612</v>
      </c>
      <c r="E47" s="6" t="n">
        <f aca="false">E7*E11/E45/1000000</f>
        <v>0.620944558521561</v>
      </c>
      <c r="F47" s="6" t="n">
        <f aca="false">F7*F11/F45/1000000</f>
        <v>0.758932238193018</v>
      </c>
    </row>
    <row r="48" customFormat="false" ht="12.75" hidden="false" customHeight="false" outlineLevel="0" collapsed="false">
      <c r="A48" s="0" t="s">
        <v>96</v>
      </c>
      <c r="B48" s="4" t="n">
        <v>0.2</v>
      </c>
      <c r="C48" s="4" t="n">
        <v>0.2</v>
      </c>
      <c r="D48" s="4" t="n">
        <v>0.2</v>
      </c>
      <c r="E48" s="4" t="n">
        <v>0.2</v>
      </c>
      <c r="F48" s="4" t="n">
        <v>0.2</v>
      </c>
      <c r="H48" s="0" t="s">
        <v>97</v>
      </c>
    </row>
    <row r="49" customFormat="false" ht="12.75" hidden="false" customHeight="false" outlineLevel="0" collapsed="false">
      <c r="A49" s="0" t="s">
        <v>98</v>
      </c>
      <c r="B49" s="2" t="n">
        <f aca="false">B48*B11</f>
        <v>3600</v>
      </c>
      <c r="C49" s="2" t="n">
        <f aca="false">C48*C11</f>
        <v>3600</v>
      </c>
      <c r="D49" s="2" t="n">
        <f aca="false">D48*D11</f>
        <v>3600</v>
      </c>
      <c r="E49" s="2" t="n">
        <f aca="false">E48*E11</f>
        <v>3600</v>
      </c>
      <c r="F49" s="2" t="n">
        <f aca="false">F48*F11</f>
        <v>3600</v>
      </c>
      <c r="G49" s="0" t="s">
        <v>28</v>
      </c>
      <c r="H49" s="0" t="s">
        <v>99</v>
      </c>
    </row>
    <row r="50" customFormat="false" ht="12.75" hidden="false" customHeight="false" outlineLevel="0" collapsed="false">
      <c r="A50" s="0" t="s">
        <v>100</v>
      </c>
      <c r="B50" s="2" t="n">
        <f aca="false">B7*B49/1000000</f>
        <v>1.37987679671458</v>
      </c>
      <c r="C50" s="2" t="n">
        <f aca="false">C7*C49/1000000</f>
        <v>11.0390143737166</v>
      </c>
      <c r="D50" s="2" t="n">
        <f aca="false">D7*D49/1000000</f>
        <v>17.2484599589322</v>
      </c>
      <c r="E50" s="2" t="n">
        <f aca="false">E7*E49/1000000</f>
        <v>12.4188911704312</v>
      </c>
      <c r="F50" s="2" t="n">
        <f aca="false">F7*F49/1000000</f>
        <v>15.1786447638604</v>
      </c>
      <c r="G50" s="0" t="s">
        <v>31</v>
      </c>
      <c r="H50" s="0" t="s">
        <v>101</v>
      </c>
    </row>
    <row r="51" customFormat="false" ht="12.75" hidden="false" customHeight="false" outlineLevel="0" collapsed="false">
      <c r="A51" s="0" t="s">
        <v>102</v>
      </c>
      <c r="B51" s="2" t="n">
        <f aca="false">B16*B50*365.25*24*60*60/1000000000</f>
        <v>0.0870912</v>
      </c>
      <c r="C51" s="2" t="n">
        <f aca="false">C16*C50*365.25*24*60*60/1000000000</f>
        <v>0.6967296</v>
      </c>
      <c r="D51" s="2" t="n">
        <f aca="false">D16*D50*365.25*24*60*60/1000000000</f>
        <v>1.08864</v>
      </c>
      <c r="E51" s="2" t="n">
        <f aca="false">E16*E50*365.25*24*60*60/1000000000</f>
        <v>0.7838208</v>
      </c>
      <c r="F51" s="2" t="n">
        <f aca="false">F16*F50*365.25*24*60*60/1000000000</f>
        <v>0.9580032</v>
      </c>
      <c r="G51" s="0" t="s">
        <v>61</v>
      </c>
      <c r="H51" s="0" t="s">
        <v>103</v>
      </c>
    </row>
    <row r="52" customFormat="false" ht="12.75" hidden="false" customHeight="false" outlineLevel="0" collapsed="false">
      <c r="A52" s="0" t="s">
        <v>104</v>
      </c>
      <c r="B52" s="2" t="n">
        <f aca="false">B15*B7*B49/1000000</f>
        <v>0.068993839835729</v>
      </c>
      <c r="C52" s="2" t="n">
        <f aca="false">C15*C7*C49/1000000</f>
        <v>0.551950718685832</v>
      </c>
      <c r="D52" s="2" t="n">
        <f aca="false">D15*D7*D49/1000000</f>
        <v>0.862422997946612</v>
      </c>
      <c r="E52" s="2" t="n">
        <f aca="false">E15*E7*E49/1000000</f>
        <v>0.620944558521561</v>
      </c>
      <c r="F52" s="2" t="n">
        <f aca="false">F15*F7*F49/1000000</f>
        <v>0.758932238193018</v>
      </c>
      <c r="G52" s="0" t="s">
        <v>31</v>
      </c>
      <c r="H52" s="0" t="s">
        <v>101</v>
      </c>
    </row>
    <row r="53" customFormat="false" ht="12.75" hidden="false" customHeight="false" outlineLevel="0" collapsed="false">
      <c r="A53" s="0" t="s">
        <v>105</v>
      </c>
      <c r="B53" s="2" t="n">
        <f aca="false">B17*B52*365.25*24*60*60/1000000000</f>
        <v>0.00435456</v>
      </c>
      <c r="C53" s="2" t="n">
        <f aca="false">C17*C52*365.25*24*60*60/1000000000</f>
        <v>0.03483648</v>
      </c>
      <c r="D53" s="2" t="n">
        <f aca="false">D17*D52*365.25*24*60*60/1000000000</f>
        <v>0.054432</v>
      </c>
      <c r="E53" s="2" t="n">
        <f aca="false">E17*E52*365.25*24*60*60/1000000000</f>
        <v>0.03919104</v>
      </c>
      <c r="F53" s="2" t="n">
        <f aca="false">F17*F52*365.25*24*60*60/1000000000</f>
        <v>0.04790016</v>
      </c>
      <c r="G53" s="0" t="s">
        <v>61</v>
      </c>
      <c r="H53" s="0" t="s">
        <v>106</v>
      </c>
    </row>
    <row r="54" customFormat="false" ht="12.75" hidden="false" customHeight="false" outlineLevel="0" collapsed="false">
      <c r="A54" s="0" t="s">
        <v>107</v>
      </c>
      <c r="B54" s="2" t="n">
        <f aca="false">B7*(B49+B11)/(B45*1000000)</f>
        <v>0.0827926078028747</v>
      </c>
      <c r="C54" s="2" t="n">
        <f aca="false">C7*(C49+C11)/(C45*1000000)</f>
        <v>0.662340862422998</v>
      </c>
      <c r="D54" s="2" t="n">
        <f aca="false">D7*(D49+D11)/(D45*1000000)</f>
        <v>1.03490759753593</v>
      </c>
      <c r="E54" s="2" t="n">
        <f aca="false">E7*(E49+E11)/(E45*1000000)</f>
        <v>0.745133470225873</v>
      </c>
      <c r="F54" s="2" t="n">
        <f aca="false">F7*(F49+F11)/(F45*1000000)</f>
        <v>0.910718685831622</v>
      </c>
      <c r="G54" s="0" t="s">
        <v>108</v>
      </c>
      <c r="H54" s="0" t="s">
        <v>109</v>
      </c>
    </row>
    <row r="55" customFormat="false" ht="12.75" hidden="false" customHeight="false" outlineLevel="0" collapsed="false">
      <c r="A55" s="0" t="s">
        <v>110</v>
      </c>
      <c r="B55" s="2" t="n">
        <f aca="false">B16*B54</f>
        <v>0.165585215605749</v>
      </c>
      <c r="C55" s="2" t="n">
        <f aca="false">C16*C54</f>
        <v>1.324681724846</v>
      </c>
      <c r="D55" s="2" t="n">
        <f aca="false">D16*D54</f>
        <v>2.06981519507187</v>
      </c>
      <c r="E55" s="2" t="n">
        <f aca="false">E16*E54</f>
        <v>1.49026694045175</v>
      </c>
      <c r="F55" s="2" t="n">
        <f aca="false">F16*F54</f>
        <v>1.82143737166324</v>
      </c>
      <c r="G55" s="0" t="s">
        <v>108</v>
      </c>
      <c r="H55" s="0" t="s">
        <v>111</v>
      </c>
    </row>
    <row r="56" customFormat="false" ht="12.75" hidden="false" customHeight="false" outlineLevel="0" collapsed="false">
      <c r="A56" s="0" t="s">
        <v>112</v>
      </c>
      <c r="B56" s="2" t="n">
        <f aca="false">B15*B54</f>
        <v>0.00413963039014374</v>
      </c>
      <c r="C56" s="2" t="n">
        <f aca="false">C15*C54</f>
        <v>0.0331170431211499</v>
      </c>
      <c r="D56" s="2" t="n">
        <f aca="false">D15*D54</f>
        <v>0.0517453798767967</v>
      </c>
      <c r="E56" s="2" t="n">
        <f aca="false">E15*E54</f>
        <v>0.0372566735112936</v>
      </c>
      <c r="F56" s="2" t="n">
        <f aca="false">F15*F54</f>
        <v>0.0455359342915811</v>
      </c>
      <c r="G56" s="0" t="s">
        <v>108</v>
      </c>
      <c r="H56" s="0" t="s">
        <v>113</v>
      </c>
    </row>
    <row r="57" customFormat="false" ht="12.75" hidden="false" customHeight="false" outlineLevel="0" collapsed="false">
      <c r="A57" s="0" t="s">
        <v>114</v>
      </c>
      <c r="B57" s="2" t="n">
        <f aca="false">B17*B56</f>
        <v>0.00827926078028747</v>
      </c>
      <c r="C57" s="2" t="n">
        <f aca="false">C17*C56</f>
        <v>0.0662340862422998</v>
      </c>
      <c r="D57" s="2" t="n">
        <f aca="false">D17*D56</f>
        <v>0.103490759753593</v>
      </c>
      <c r="E57" s="2" t="n">
        <f aca="false">E17*E56</f>
        <v>0.0745133470225873</v>
      </c>
      <c r="F57" s="2" t="n">
        <f aca="false">F17*F56</f>
        <v>0.0910718685831622</v>
      </c>
      <c r="G57" s="0" t="s">
        <v>108</v>
      </c>
      <c r="H57" s="0" t="s">
        <v>115</v>
      </c>
    </row>
    <row r="58" customFormat="false" ht="12.75" hidden="false" customHeight="false" outlineLevel="0" collapsed="false">
      <c r="A58" s="0" t="s">
        <v>116</v>
      </c>
      <c r="B58" s="2" t="n">
        <f aca="false">B7*B49/(10*1000000)</f>
        <v>0.137987679671458</v>
      </c>
      <c r="C58" s="2" t="n">
        <f aca="false">C7*C49/(10*1000000)</f>
        <v>1.10390143737166</v>
      </c>
      <c r="D58" s="2" t="n">
        <f aca="false">D7*D49/(10*1000000)</f>
        <v>1.72484599589322</v>
      </c>
      <c r="E58" s="2" t="n">
        <f aca="false">E7*E49/(10*1000000)</f>
        <v>1.24188911704312</v>
      </c>
      <c r="F58" s="2" t="n">
        <f aca="false">F7*F49/(10*1000000)</f>
        <v>1.51786447638604</v>
      </c>
      <c r="G58" s="0" t="s">
        <v>108</v>
      </c>
      <c r="H58" s="0" t="s">
        <v>117</v>
      </c>
    </row>
    <row r="59" customFormat="false" ht="12.75" hidden="false" customHeight="false" outlineLevel="0" collapsed="false">
      <c r="A59" s="0" t="s">
        <v>118</v>
      </c>
      <c r="B59" s="2" t="n">
        <f aca="false">B22*B58*B20</f>
        <v>0.0689938398357289</v>
      </c>
      <c r="C59" s="2" t="n">
        <f aca="false">C22*C58*C20</f>
        <v>0.551950718685832</v>
      </c>
      <c r="D59" s="2" t="n">
        <f aca="false">D22*D58*D20</f>
        <v>0.862422997946612</v>
      </c>
      <c r="E59" s="2" t="n">
        <f aca="false">E22*E58*E20</f>
        <v>0.620944558521561</v>
      </c>
      <c r="F59" s="2" t="n">
        <f aca="false">F22*F58*F20</f>
        <v>0.758932238193018</v>
      </c>
      <c r="G59" s="0" t="s">
        <v>108</v>
      </c>
      <c r="H59" s="0" t="s">
        <v>119</v>
      </c>
    </row>
    <row r="60" customFormat="false" ht="12.75" hidden="false" customHeight="false" outlineLevel="0" collapsed="false">
      <c r="A60" s="0" t="s">
        <v>120</v>
      </c>
      <c r="B60" s="2" t="n">
        <f aca="false">(B58+B59)*B24</f>
        <v>0.413963039014374</v>
      </c>
      <c r="C60" s="2" t="n">
        <f aca="false">(C58+C59)*C24</f>
        <v>3.31170431211499</v>
      </c>
      <c r="D60" s="2" t="n">
        <f aca="false">(D58+D59)*D24</f>
        <v>5.17453798767967</v>
      </c>
      <c r="E60" s="2" t="n">
        <f aca="false">(E58+E59)*E24</f>
        <v>3.72566735112936</v>
      </c>
      <c r="F60" s="2" t="n">
        <f aca="false">(F58+F59)*F24</f>
        <v>4.55359342915811</v>
      </c>
      <c r="G60" s="0" t="s">
        <v>108</v>
      </c>
      <c r="H60" s="0" t="s">
        <v>121</v>
      </c>
    </row>
    <row r="61" customFormat="false" ht="12.75" hidden="false" customHeight="false" outlineLevel="0" collapsed="false">
      <c r="A61" s="0" t="s">
        <v>122</v>
      </c>
      <c r="B61" s="2" t="n">
        <f aca="false">B38/B45</f>
        <v>0.0551950718685832</v>
      </c>
      <c r="C61" s="2" t="n">
        <f aca="false">C38/C45</f>
        <v>0.441560574948665</v>
      </c>
      <c r="D61" s="2" t="n">
        <f aca="false">D38/D45</f>
        <v>0.68993839835729</v>
      </c>
      <c r="E61" s="2" t="n">
        <f aca="false">E38/E45</f>
        <v>0.496755646817248</v>
      </c>
      <c r="F61" s="2" t="n">
        <f aca="false">F38/F45</f>
        <v>0.607145790554415</v>
      </c>
      <c r="G61" s="0" t="s">
        <v>108</v>
      </c>
      <c r="H61" s="0" t="s">
        <v>123</v>
      </c>
    </row>
    <row r="62" customFormat="false" ht="12.75" hidden="false" customHeight="false" outlineLevel="0" collapsed="false">
      <c r="A62" s="0" t="s">
        <v>124</v>
      </c>
      <c r="B62" s="2" t="n">
        <f aca="false">B47+B55+B57+B60+B61</f>
        <v>0.712016427104723</v>
      </c>
      <c r="C62" s="2" t="n">
        <f aca="false">C47+C55+C57+C60+C61</f>
        <v>5.69613141683778</v>
      </c>
      <c r="D62" s="2" t="n">
        <f aca="false">D47+D55+D57+D60+D61</f>
        <v>8.90020533880904</v>
      </c>
      <c r="E62" s="2" t="n">
        <f aca="false">E47+E55+E57+E60+E61</f>
        <v>6.40814784394251</v>
      </c>
      <c r="F62" s="2" t="n">
        <f aca="false">F47+F55+F57+F60+F61</f>
        <v>7.83218069815195</v>
      </c>
      <c r="H62" s="0" t="s">
        <v>125</v>
      </c>
    </row>
    <row r="63" customFormat="false" ht="12.75" hidden="false" customHeight="false" outlineLevel="0" collapsed="false">
      <c r="A63" s="0" t="s">
        <v>126</v>
      </c>
      <c r="B63" s="4" t="n">
        <v>20</v>
      </c>
      <c r="C63" s="4" t="n">
        <v>20</v>
      </c>
      <c r="D63" s="4" t="n">
        <v>20</v>
      </c>
      <c r="E63" s="4" t="n">
        <v>20</v>
      </c>
      <c r="F63" s="4" t="n">
        <v>20</v>
      </c>
      <c r="G63" s="0" t="s">
        <v>127</v>
      </c>
      <c r="H63" s="0" t="s">
        <v>128</v>
      </c>
    </row>
    <row r="64" customFormat="false" ht="12.75" hidden="false" customHeight="false" outlineLevel="0" collapsed="false">
      <c r="A64" s="0" t="s">
        <v>129</v>
      </c>
      <c r="B64" s="2" t="n">
        <f aca="false">B63*B41</f>
        <v>200</v>
      </c>
      <c r="C64" s="2" t="n">
        <f aca="false">C63*C41</f>
        <v>200</v>
      </c>
      <c r="D64" s="2" t="n">
        <f aca="false">D63*D41</f>
        <v>200</v>
      </c>
      <c r="E64" s="2" t="n">
        <f aca="false">E63*E41</f>
        <v>200</v>
      </c>
      <c r="F64" s="2" t="n">
        <f aca="false">F63*F41</f>
        <v>200</v>
      </c>
      <c r="G64" s="0" t="s">
        <v>127</v>
      </c>
      <c r="H64" s="0" t="s">
        <v>130</v>
      </c>
    </row>
    <row r="65" customFormat="false" ht="12.75" hidden="false" customHeight="false" outlineLevel="0" collapsed="false">
      <c r="A65" s="0" t="s">
        <v>131</v>
      </c>
      <c r="B65" s="2" t="n">
        <f aca="false">B14/1000+B51+B53+B27+B39</f>
        <v>0.526752733305955</v>
      </c>
      <c r="C65" s="2" t="n">
        <f aca="false">C14/1000+C51+C53+C27+C39</f>
        <v>4.21402186644764</v>
      </c>
      <c r="D65" s="2" t="n">
        <f aca="false">D14/1000+D51+D53+D27+D39</f>
        <v>6.58440916632444</v>
      </c>
      <c r="E65" s="2" t="n">
        <f aca="false">E14/1000+E51+E53+E27+E39</f>
        <v>4.74077459975359</v>
      </c>
      <c r="F65" s="2" t="n">
        <f aca="false">F14/1000+F51+F53+F27+F39</f>
        <v>5.7942800663655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2"/>
  <cols>
    <col collapsed="false" hidden="false" max="1" min="1" style="0" width="36.1071428571429"/>
    <col collapsed="false" hidden="false" max="6" min="2" style="0" width="11.5561224489796"/>
    <col collapsed="false" hidden="false" max="7" min="7" style="0" width="26.6836734693878"/>
    <col collapsed="false" hidden="false" max="1025" min="8" style="0" width="11.5561224489796"/>
  </cols>
  <sheetData>
    <row r="1" customFormat="false" ht="12.2" hidden="false" customHeight="true" outlineLevel="0" collapsed="false"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2" hidden="false" customHeight="true" outlineLevel="0" collapsed="false">
      <c r="A2" s="0" t="s">
        <v>132</v>
      </c>
      <c r="B2" s="4" t="n">
        <f aca="false">model!B5</f>
        <v>2</v>
      </c>
      <c r="C2" s="4" t="n">
        <f aca="false">model!C5</f>
        <v>16</v>
      </c>
      <c r="D2" s="4" t="n">
        <f aca="false">model!D5</f>
        <v>25</v>
      </c>
      <c r="E2" s="4" t="n">
        <f aca="false">model!E5</f>
        <v>18</v>
      </c>
      <c r="F2" s="4" t="n">
        <f aca="false">model!F5</f>
        <v>22</v>
      </c>
    </row>
    <row r="3" customFormat="false" ht="12.2" hidden="false" customHeight="true" outlineLevel="0" collapsed="false">
      <c r="A3" s="0" t="s">
        <v>133</v>
      </c>
      <c r="B3" s="0" t="n">
        <f aca="false">7*B2</f>
        <v>14</v>
      </c>
      <c r="C3" s="0" t="n">
        <f aca="false">7*C2</f>
        <v>112</v>
      </c>
      <c r="D3" s="0" t="n">
        <f aca="false">7*D2</f>
        <v>175</v>
      </c>
      <c r="E3" s="0" t="n">
        <f aca="false">7*E2</f>
        <v>126</v>
      </c>
      <c r="F3" s="0" t="n">
        <f aca="false">7*F2</f>
        <v>154</v>
      </c>
      <c r="G3" s="0" t="s">
        <v>134</v>
      </c>
      <c r="H3" s="4" t="n">
        <v>2</v>
      </c>
    </row>
    <row r="4" customFormat="false" ht="12.2" hidden="false" customHeight="true" outlineLevel="0" collapsed="false">
      <c r="A4" s="0" t="s">
        <v>135</v>
      </c>
      <c r="B4" s="0" t="n">
        <f aca="false">model!B6</f>
        <v>0.5</v>
      </c>
      <c r="C4" s="0" t="n">
        <f aca="false">model!C6</f>
        <v>0.5</v>
      </c>
      <c r="D4" s="0" t="n">
        <f aca="false">model!D6</f>
        <v>0.5</v>
      </c>
      <c r="E4" s="0" t="n">
        <f aca="false">model!E6</f>
        <v>0.5</v>
      </c>
      <c r="F4" s="0" t="n">
        <f aca="false">model!F6</f>
        <v>0.5</v>
      </c>
      <c r="G4" s="0" t="s">
        <v>136</v>
      </c>
      <c r="H4" s="0" t="n">
        <f aca="false">24*60*60</f>
        <v>86400</v>
      </c>
    </row>
    <row r="5" customFormat="false" ht="12.2" hidden="false" customHeight="true" outlineLevel="0" collapsed="false">
      <c r="A5" s="0" t="s">
        <v>137</v>
      </c>
      <c r="B5" s="5" t="n">
        <f aca="false">B3*B4*$H$4</f>
        <v>604800</v>
      </c>
      <c r="C5" s="5" t="n">
        <f aca="false">C3*C4*$H$4</f>
        <v>4838400</v>
      </c>
      <c r="D5" s="5" t="n">
        <f aca="false">D3*D4*$H$4</f>
        <v>7560000</v>
      </c>
      <c r="E5" s="5" t="n">
        <f aca="false">E3*E4*$H$4</f>
        <v>5443200</v>
      </c>
      <c r="F5" s="5" t="n">
        <f aca="false">F3*F4*$H$4</f>
        <v>6652800</v>
      </c>
      <c r="G5" s="0" t="s">
        <v>138</v>
      </c>
      <c r="H5" s="0" t="n">
        <v>365.25</v>
      </c>
    </row>
    <row r="6" customFormat="false" ht="12.2" hidden="false" customHeight="true" outlineLevel="0" collapsed="false">
      <c r="A6" s="0" t="s">
        <v>139</v>
      </c>
      <c r="B6" s="0" t="n">
        <v>2000</v>
      </c>
      <c r="C6" s="0" t="n">
        <v>20000</v>
      </c>
      <c r="D6" s="0" t="n">
        <v>20000</v>
      </c>
      <c r="E6" s="0" t="n">
        <v>20000</v>
      </c>
      <c r="F6" s="0" t="n">
        <v>20000</v>
      </c>
      <c r="G6" s="0" t="s">
        <v>140</v>
      </c>
      <c r="H6" s="0" t="n">
        <v>10000</v>
      </c>
    </row>
    <row r="7" customFormat="false" ht="12.2" hidden="false" customHeight="true" outlineLevel="0" collapsed="false">
      <c r="A7" s="0" t="s">
        <v>141</v>
      </c>
      <c r="B7" s="5" t="n">
        <f aca="false">B5*B6</f>
        <v>1209600000</v>
      </c>
      <c r="C7" s="5" t="n">
        <f aca="false">C5*C6</f>
        <v>96768000000</v>
      </c>
      <c r="D7" s="5" t="n">
        <f aca="false">D5*D6</f>
        <v>151200000000</v>
      </c>
      <c r="E7" s="5" t="n">
        <f aca="false">E5*E6</f>
        <v>108864000000</v>
      </c>
      <c r="F7" s="5" t="n">
        <f aca="false">F5*F6</f>
        <v>133056000000</v>
      </c>
      <c r="G7" s="0" t="s">
        <v>142</v>
      </c>
      <c r="H7" s="0" t="n">
        <f aca="false">model!$B32</f>
        <v>2</v>
      </c>
    </row>
    <row r="8" customFormat="false" ht="12.2" hidden="false" customHeight="true" outlineLevel="0" collapsed="false">
      <c r="B8" s="5"/>
      <c r="C8" s="5"/>
      <c r="D8" s="5"/>
      <c r="E8" s="5"/>
      <c r="F8" s="5"/>
      <c r="G8" s="0" t="s">
        <v>143</v>
      </c>
      <c r="H8" s="0" t="n">
        <f aca="false">model!$B11</f>
        <v>18000</v>
      </c>
    </row>
    <row r="9" customFormat="false" ht="12.2" hidden="false" customHeight="true" outlineLevel="0" collapsed="false">
      <c r="A9" s="0" t="s">
        <v>144</v>
      </c>
      <c r="B9" s="0" t="n">
        <f aca="false">model!B9</f>
        <v>0.0454545454545455</v>
      </c>
      <c r="C9" s="0" t="n">
        <f aca="false">model!C9</f>
        <v>0.0454545454545455</v>
      </c>
      <c r="D9" s="0" t="n">
        <f aca="false">model!D9</f>
        <v>0.0454545454545455</v>
      </c>
      <c r="E9" s="0" t="n">
        <f aca="false">model!E9</f>
        <v>0.0454545454545455</v>
      </c>
      <c r="F9" s="0" t="n">
        <f aca="false">model!F9</f>
        <v>0.0454545454545455</v>
      </c>
      <c r="G9" s="0" t="s">
        <v>145</v>
      </c>
      <c r="H9" s="0" t="n">
        <f aca="false">model!$B48</f>
        <v>0.2</v>
      </c>
    </row>
    <row r="10" customFormat="false" ht="12.2" hidden="false" customHeight="true" outlineLevel="0" collapsed="false">
      <c r="A10" s="0" t="s">
        <v>146</v>
      </c>
      <c r="B10" s="0" t="n">
        <f aca="false">B7*B9/$H$4/$H$5</f>
        <v>1.74226868272043</v>
      </c>
      <c r="C10" s="0" t="n">
        <f aca="false">C7*C9/$H$4/$H$5</f>
        <v>139.381494617634</v>
      </c>
      <c r="D10" s="0" t="n">
        <f aca="false">D7*D9/$H$4/$H$5</f>
        <v>217.783585340053</v>
      </c>
      <c r="E10" s="0" t="n">
        <f aca="false">E7*E9/$H$4/$H$5</f>
        <v>156.804181444839</v>
      </c>
      <c r="F10" s="0" t="n">
        <f aca="false">F7*F9/$H$4/$H$5</f>
        <v>191.649555099247</v>
      </c>
    </row>
    <row r="11" customFormat="false" ht="12.2" hidden="false" customHeight="true" outlineLevel="0" collapsed="false">
      <c r="A11" s="0" t="s">
        <v>147</v>
      </c>
      <c r="B11" s="0" t="n">
        <f aca="false">B7*B9/$H$4/$H$6</f>
        <v>0.0636363636363636</v>
      </c>
      <c r="C11" s="0" t="n">
        <f aca="false">C7*C9/$H$4/$H$6</f>
        <v>5.09090909090909</v>
      </c>
      <c r="D11" s="0" t="n">
        <f aca="false">D7*D9/$H$4/$H$6</f>
        <v>7.95454545454545</v>
      </c>
      <c r="E11" s="0" t="n">
        <f aca="false">E7*E9/$H$4/$H$6</f>
        <v>5.72727272727273</v>
      </c>
      <c r="F11" s="13" t="n">
        <f aca="false">F7*F9/$H$4/$H$6</f>
        <v>7</v>
      </c>
    </row>
    <row r="13" customFormat="false" ht="12.2" hidden="false" customHeight="true" outlineLevel="0" collapsed="false">
      <c r="A13" s="0" t="s">
        <v>148</v>
      </c>
      <c r="B13" s="0" t="n">
        <f aca="false">model!B28</f>
        <v>0.158944369470685</v>
      </c>
      <c r="C13" s="0" t="n">
        <f aca="false">model!C28</f>
        <v>0.158944369470685</v>
      </c>
      <c r="D13" s="0" t="n">
        <f aca="false">model!D28</f>
        <v>0.158944369470685</v>
      </c>
      <c r="E13" s="0" t="n">
        <f aca="false">model!E28</f>
        <v>0.158944369470685</v>
      </c>
      <c r="F13" s="0" t="n">
        <f aca="false">model!F28</f>
        <v>0.158944369470685</v>
      </c>
    </row>
    <row r="14" customFormat="false" ht="12.2" hidden="false" customHeight="true" outlineLevel="0" collapsed="false">
      <c r="A14" s="0" t="s">
        <v>149</v>
      </c>
      <c r="B14" s="0" t="n">
        <f aca="false">B9</f>
        <v>0.0454545454545455</v>
      </c>
      <c r="C14" s="0" t="n">
        <f aca="false">C9</f>
        <v>0.0454545454545455</v>
      </c>
      <c r="D14" s="0" t="n">
        <f aca="false">D9</f>
        <v>0.0454545454545455</v>
      </c>
      <c r="E14" s="0" t="n">
        <f aca="false">E9</f>
        <v>0.0454545454545455</v>
      </c>
      <c r="F14" s="0" t="n">
        <f aca="false">F9</f>
        <v>0.0454545454545455</v>
      </c>
    </row>
    <row r="15" customFormat="false" ht="12.2" hidden="false" customHeight="true" outlineLevel="0" collapsed="false">
      <c r="A15" s="0" t="s">
        <v>150</v>
      </c>
      <c r="B15" s="0" t="n">
        <f aca="false">B7*$H$7*(B14+B13)/$H$4/$H$6</f>
        <v>0.572316961790646</v>
      </c>
      <c r="C15" s="0" t="n">
        <f aca="false">C7*$H$7*(C14+C13)/$H$4/$H$6</f>
        <v>45.7853569432517</v>
      </c>
      <c r="D15" s="0" t="n">
        <f aca="false">D7*$H$7*(D14+D13)/$H$4/$H$6</f>
        <v>71.5396202238308</v>
      </c>
      <c r="E15" s="0" t="n">
        <f aca="false">E7*$H$7*(E14+E13)/$H$4/$H$6</f>
        <v>51.5085265611581</v>
      </c>
      <c r="F15" s="0" t="n">
        <f aca="false">F7*$H$7*(F14+F13)/$H$4/$H$6</f>
        <v>62.9548657969711</v>
      </c>
    </row>
    <row r="17" customFormat="false" ht="12.2" hidden="false" customHeight="true" outlineLevel="0" collapsed="false">
      <c r="A17" s="0" t="s">
        <v>151</v>
      </c>
      <c r="B17" s="0" t="n">
        <f aca="false">B11+B15</f>
        <v>0.63595332542701</v>
      </c>
      <c r="C17" s="0" t="n">
        <f aca="false">C11+C15</f>
        <v>50.8762660341608</v>
      </c>
      <c r="D17" s="0" t="n">
        <f aca="false">D11+D15</f>
        <v>79.4941656783762</v>
      </c>
      <c r="E17" s="0" t="n">
        <f aca="false">E11+E15</f>
        <v>57.2357992884309</v>
      </c>
      <c r="F17" s="0" t="n">
        <f aca="false">F11+F15</f>
        <v>69.9548657969711</v>
      </c>
    </row>
    <row r="23" customFormat="false" ht="12.2" hidden="false" customHeight="true" outlineLevel="0" collapsed="false">
      <c r="A23" s="0" t="s">
        <v>152</v>
      </c>
      <c r="B23" s="0" t="n">
        <f aca="false">B7*$H8</f>
        <v>21772800000000</v>
      </c>
      <c r="C23" s="0" t="n">
        <f aca="false">C7*$H8</f>
        <v>1741824000000000</v>
      </c>
      <c r="D23" s="0" t="n">
        <f aca="false">D7*$H8</f>
        <v>2721600000000000</v>
      </c>
      <c r="E23" s="0" t="n">
        <f aca="false">E7*$H8</f>
        <v>1959552000000000</v>
      </c>
      <c r="F23" s="0" t="n">
        <f aca="false">F7*$H8</f>
        <v>2395008000000000</v>
      </c>
    </row>
    <row r="24" customFormat="false" ht="12.2" hidden="false" customHeight="true" outlineLevel="0" collapsed="false">
      <c r="A24" s="0" t="s">
        <v>153</v>
      </c>
      <c r="B24" s="0" t="n">
        <f aca="false">B23/1E+015</f>
        <v>0.0217728</v>
      </c>
      <c r="C24" s="0" t="n">
        <f aca="false">C23/1E+015</f>
        <v>1.741824</v>
      </c>
      <c r="D24" s="0" t="n">
        <f aca="false">D23/1E+015</f>
        <v>2.7216</v>
      </c>
      <c r="E24" s="0" t="n">
        <f aca="false">E23/1E+015</f>
        <v>1.959552</v>
      </c>
      <c r="F24" s="0" t="n">
        <f aca="false">F23/1E+015</f>
        <v>2.395008</v>
      </c>
    </row>
    <row r="25" customFormat="false" ht="12.2" hidden="false" customHeight="true" outlineLevel="0" collapsed="false">
      <c r="A25" s="0" t="s">
        <v>154</v>
      </c>
      <c r="B25" s="0" t="n">
        <f aca="false">B24*$H9</f>
        <v>0.00435456</v>
      </c>
      <c r="C25" s="0" t="n">
        <f aca="false">C24*$H9</f>
        <v>0.3483648</v>
      </c>
      <c r="D25" s="0" t="n">
        <f aca="false">D24*$H9</f>
        <v>0.54432</v>
      </c>
      <c r="E25" s="0" t="n">
        <f aca="false">E24*$H9</f>
        <v>0.3919104</v>
      </c>
      <c r="F25" s="0" t="n">
        <f aca="false">F24*$H9</f>
        <v>0.4790016</v>
      </c>
    </row>
    <row r="26" customFormat="false" ht="12.2" hidden="false" customHeight="true" outlineLevel="0" collapsed="false">
      <c r="A26" s="0" t="s">
        <v>155</v>
      </c>
      <c r="B26" s="0" t="n">
        <f aca="false">B24*(1+0.2*(2*1+2*2+2*0.05+5*0.1))</f>
        <v>0.050512896</v>
      </c>
      <c r="C26" s="0" t="n">
        <f aca="false">C24*(1+0.2*(2*1+2*2+2*0.05+5*0.1))</f>
        <v>4.04103168</v>
      </c>
      <c r="D26" s="0" t="n">
        <f aca="false">D24*(1+0.2*(2*1+2*2+2*0.05+5*0.1))</f>
        <v>6.314112</v>
      </c>
      <c r="E26" s="0" t="n">
        <f aca="false">E24*(1+0.2*(2*1+2*2+2*0.05+5*0.1))</f>
        <v>4.54616064</v>
      </c>
      <c r="F26" s="0" t="n">
        <f aca="false">F24*(1+0.2*(2*1+2*2+2*0.05+5*0.1))</f>
        <v>5.55641856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2015-02-05T18:55:24Z</dcterms:created>
  <dc:creator>Mark Ito</dc:creator>
  <dc:language>en-US</dc:language>
  <cp:lastModifiedBy>Mark Ito</cp:lastModifiedBy>
  <dcterms:modified xsi:type="dcterms:W3CDTF">2015-02-05T18:55:24Z</dcterms:modified>
  <cp:revision>0</cp:revision>
</cp:coreProperties>
</file>