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600" yWindow="0" windowWidth="29420" windowHeight="19220" tabRatio="991"/>
  </bookViews>
  <sheets>
    <sheet name="model" sheetId="1" r:id="rId1"/>
    <sheet name="wait times" sheetId="2" r:id="rId2"/>
  </sheets>
  <definedNames>
    <definedName name="Pass1CPUs">model!$B$10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C11" i="1"/>
  <c r="B11" i="1"/>
  <c r="D9" i="1"/>
  <c r="C9" i="1"/>
  <c r="B9" i="1"/>
  <c r="F2" i="2"/>
  <c r="F3" i="2"/>
  <c r="F4" i="2"/>
  <c r="H4" i="2"/>
  <c r="F5" i="2"/>
  <c r="F7" i="2"/>
  <c r="H8" i="2"/>
  <c r="F23" i="2"/>
  <c r="F24" i="2"/>
  <c r="F26" i="2"/>
  <c r="E2" i="2"/>
  <c r="E3" i="2"/>
  <c r="E4" i="2"/>
  <c r="E5" i="2"/>
  <c r="E7" i="2"/>
  <c r="E23" i="2"/>
  <c r="E24" i="2"/>
  <c r="E26" i="2"/>
  <c r="D2" i="2"/>
  <c r="D3" i="2"/>
  <c r="D4" i="2"/>
  <c r="D5" i="2"/>
  <c r="D7" i="2"/>
  <c r="D23" i="2"/>
  <c r="D24" i="2"/>
  <c r="D26" i="2"/>
  <c r="C2" i="2"/>
  <c r="C3" i="2"/>
  <c r="C4" i="2"/>
  <c r="C5" i="2"/>
  <c r="C7" i="2"/>
  <c r="C23" i="2"/>
  <c r="C24" i="2"/>
  <c r="C26" i="2"/>
  <c r="B2" i="2"/>
  <c r="B3" i="2"/>
  <c r="B4" i="2"/>
  <c r="B5" i="2"/>
  <c r="B7" i="2"/>
  <c r="B23" i="2"/>
  <c r="B24" i="2"/>
  <c r="B26" i="2"/>
  <c r="H9" i="2"/>
  <c r="F25" i="2"/>
  <c r="E25" i="2"/>
  <c r="D25" i="2"/>
  <c r="C25" i="2"/>
  <c r="B25" i="2"/>
  <c r="F9" i="2"/>
  <c r="F11" i="2"/>
  <c r="H7" i="2"/>
  <c r="F14" i="2"/>
  <c r="F13" i="2"/>
  <c r="F15" i="2"/>
  <c r="F17" i="2"/>
  <c r="E9" i="2"/>
  <c r="E11" i="2"/>
  <c r="E14" i="2"/>
  <c r="E13" i="2"/>
  <c r="E15" i="2"/>
  <c r="E17" i="2"/>
  <c r="D9" i="2"/>
  <c r="D11" i="2"/>
  <c r="D14" i="2"/>
  <c r="D28" i="1"/>
  <c r="D13" i="2"/>
  <c r="D15" i="2"/>
  <c r="D17" i="2"/>
  <c r="C9" i="2"/>
  <c r="C11" i="2"/>
  <c r="C14" i="2"/>
  <c r="C28" i="1"/>
  <c r="C13" i="2"/>
  <c r="C15" i="2"/>
  <c r="C17" i="2"/>
  <c r="B9" i="2"/>
  <c r="B11" i="2"/>
  <c r="B14" i="2"/>
  <c r="B28" i="1"/>
  <c r="B13" i="2"/>
  <c r="B15" i="2"/>
  <c r="B17" i="2"/>
  <c r="F10" i="2"/>
  <c r="E10" i="2"/>
  <c r="D10" i="2"/>
  <c r="C10" i="2"/>
  <c r="B10" i="2"/>
  <c r="D7" i="1"/>
  <c r="D8" i="1"/>
  <c r="D13" i="1"/>
  <c r="D14" i="1"/>
  <c r="D49" i="1"/>
  <c r="D50" i="1"/>
  <c r="D51" i="1"/>
  <c r="D52" i="1"/>
  <c r="D53" i="1"/>
  <c r="D26" i="1"/>
  <c r="G2" i="1"/>
  <c r="D27" i="1"/>
  <c r="D35" i="1"/>
  <c r="D37" i="1"/>
  <c r="D38" i="1"/>
  <c r="D39" i="1"/>
  <c r="D65" i="1"/>
  <c r="C7" i="1"/>
  <c r="C8" i="1"/>
  <c r="C13" i="1"/>
  <c r="C14" i="1"/>
  <c r="C49" i="1"/>
  <c r="C50" i="1"/>
  <c r="C51" i="1"/>
  <c r="C52" i="1"/>
  <c r="C53" i="1"/>
  <c r="C26" i="1"/>
  <c r="C27" i="1"/>
  <c r="C35" i="1"/>
  <c r="C37" i="1"/>
  <c r="C38" i="1"/>
  <c r="C39" i="1"/>
  <c r="C65" i="1"/>
  <c r="B7" i="1"/>
  <c r="B8" i="1"/>
  <c r="B13" i="1"/>
  <c r="B14" i="1"/>
  <c r="B49" i="1"/>
  <c r="B50" i="1"/>
  <c r="B51" i="1"/>
  <c r="B52" i="1"/>
  <c r="B53" i="1"/>
  <c r="B26" i="1"/>
  <c r="B27" i="1"/>
  <c r="B35" i="1"/>
  <c r="B37" i="1"/>
  <c r="B38" i="1"/>
  <c r="B39" i="1"/>
  <c r="B65" i="1"/>
  <c r="D64" i="1"/>
  <c r="C64" i="1"/>
  <c r="B64" i="1"/>
  <c r="D47" i="1"/>
  <c r="D54" i="1"/>
  <c r="D55" i="1"/>
  <c r="D56" i="1"/>
  <c r="D57" i="1"/>
  <c r="D58" i="1"/>
  <c r="D59" i="1"/>
  <c r="D60" i="1"/>
  <c r="D61" i="1"/>
  <c r="D62" i="1"/>
  <c r="C47" i="1"/>
  <c r="C54" i="1"/>
  <c r="C55" i="1"/>
  <c r="C56" i="1"/>
  <c r="C57" i="1"/>
  <c r="C58" i="1"/>
  <c r="C59" i="1"/>
  <c r="C60" i="1"/>
  <c r="C61" i="1"/>
  <c r="C62" i="1"/>
  <c r="B47" i="1"/>
  <c r="B54" i="1"/>
  <c r="B55" i="1"/>
  <c r="B56" i="1"/>
  <c r="B57" i="1"/>
  <c r="B58" i="1"/>
  <c r="B59" i="1"/>
  <c r="B60" i="1"/>
  <c r="B61" i="1"/>
  <c r="B62" i="1"/>
  <c r="D10" i="1"/>
  <c r="D18" i="1"/>
  <c r="D19" i="1"/>
  <c r="D23" i="1"/>
  <c r="D25" i="1"/>
  <c r="D30" i="1"/>
  <c r="D29" i="1"/>
  <c r="D31" i="1"/>
  <c r="D36" i="1"/>
  <c r="D42" i="1"/>
  <c r="D43" i="1"/>
  <c r="D44" i="1"/>
  <c r="C10" i="1"/>
  <c r="C18" i="1"/>
  <c r="C19" i="1"/>
  <c r="C23" i="1"/>
  <c r="C25" i="1"/>
  <c r="C30" i="1"/>
  <c r="C29" i="1"/>
  <c r="C31" i="1"/>
  <c r="C36" i="1"/>
  <c r="C42" i="1"/>
  <c r="C43" i="1"/>
  <c r="C44" i="1"/>
  <c r="B10" i="1"/>
  <c r="B18" i="1"/>
  <c r="B19" i="1"/>
  <c r="B23" i="1"/>
  <c r="B25" i="1"/>
  <c r="B30" i="1"/>
  <c r="B29" i="1"/>
  <c r="B31" i="1"/>
  <c r="B36" i="1"/>
  <c r="B42" i="1"/>
  <c r="B43" i="1"/>
  <c r="B44" i="1"/>
  <c r="D12" i="1"/>
  <c r="C12" i="1"/>
  <c r="B12" i="1"/>
</calcChain>
</file>

<file path=xl/sharedStrings.xml><?xml version="1.0" encoding="utf-8"?>
<sst xmlns="http://schemas.openxmlformats.org/spreadsheetml/2006/main" count="195" uniqueCount="156">
  <si>
    <t>GlueX Computing Model</t>
  </si>
  <si>
    <t>parameter</t>
  </si>
  <si>
    <t>fy16</t>
  </si>
  <si>
    <t>fy17</t>
  </si>
  <si>
    <t>fy18</t>
  </si>
  <si>
    <t>units</t>
  </si>
  <si>
    <t>comments</t>
  </si>
  <si>
    <t>event rate</t>
  </si>
  <si>
    <t>events/s</t>
  </si>
  <si>
    <t>raw data rate out of the counting room when beam is on</t>
  </si>
  <si>
    <t>annual running</t>
  </si>
  <si>
    <t>weeks</t>
  </si>
  <si>
    <t>amount of running in a year</t>
  </si>
  <si>
    <t>running efficiency</t>
  </si>
  <si>
    <t>fraction of wall time when beam is on, either due to beam unavailable or detector not ready</t>
  </si>
  <si>
    <t>effective event rate (per second)</t>
  </si>
  <si>
    <t>Event rate averaged over time</t>
  </si>
  <si>
    <t>effective event rate (per year)</t>
  </si>
  <si>
    <t>events/year</t>
  </si>
  <si>
    <t>CPU time per event</t>
  </si>
  <si>
    <t>CPU-s/event</t>
  </si>
  <si>
    <t>single Pass 1 CPU needed</t>
  </si>
  <si>
    <t>CPU's</t>
  </si>
  <si>
    <t>number of threads to keep up with the raw event rate</t>
  </si>
  <si>
    <t>raw event size</t>
  </si>
  <si>
    <t>bytes</t>
  </si>
  <si>
    <t>raw instantaneous storage rate</t>
  </si>
  <si>
    <t>MB/s</t>
  </si>
  <si>
    <t>data rate when beam is on</t>
  </si>
  <si>
    <t>raw effective storage rate</t>
  </si>
  <si>
    <t>bytes/year</t>
  </si>
  <si>
    <t>average data volume rate</t>
  </si>
  <si>
    <t>TB/year</t>
  </si>
  <si>
    <t>pass 0 event fraction</t>
  </si>
  <si>
    <t>fraction of events from raw data stream to perform calibrations</t>
  </si>
  <si>
    <t>pass 1 repetition factor</t>
  </si>
  <si>
    <t>number of times event reconstruction will be repeated</t>
  </si>
  <si>
    <t>pass 0 repetition factor</t>
  </si>
  <si>
    <t>number of times calibration will be repeated</t>
  </si>
  <si>
    <t>pass 0 CPU need</t>
  </si>
  <si>
    <t>number of threads of calibration to keep up</t>
  </si>
  <si>
    <t>pass 1 CPU need</t>
  </si>
  <si>
    <t>number of threads of reconstruction to keep up</t>
  </si>
  <si>
    <t>stream/pass-1 CPU ratio</t>
  </si>
  <si>
    <t>ratio of CPU time required for a skim stream to that needed for reconstruction</t>
  </si>
  <si>
    <t>stream output to input size ratio</t>
  </si>
  <si>
    <t>ratio of data volume output for a stream to that of input</t>
  </si>
  <si>
    <t>stream multiplicity factor</t>
  </si>
  <si>
    <t>number of streams to be produced</t>
  </si>
  <si>
    <t>single stream CPU need</t>
  </si>
  <si>
    <t>number of threads for one stream to keep up</t>
  </si>
  <si>
    <t>stream repetition factor</t>
  </si>
  <si>
    <t>number of times streaming will be repeated</t>
  </si>
  <si>
    <t>stream CPU need</t>
  </si>
  <si>
    <t>number of threads for streaming to keep up</t>
  </si>
  <si>
    <t>single stream output data rate</t>
  </si>
  <si>
    <t>total stream output data rate</t>
  </si>
  <si>
    <t>PB/year</t>
  </si>
  <si>
    <t>MC CPU time per event, generation</t>
  </si>
  <si>
    <t>MC CPU time per event, reconstruction</t>
  </si>
  <si>
    <t>MC CPU ratio per event, generation</t>
  </si>
  <si>
    <t>ratio of CPU time required for generating a Monte Carlo event to that needed for reconstruction</t>
  </si>
  <si>
    <t>MC CPU ratio per event, reconstruction</t>
  </si>
  <si>
    <t>ratio of CPU time to reconstruct Monte Carlo events to that to reconstruct real data</t>
  </si>
  <si>
    <t>MC/raw data event rate ratio</t>
  </si>
  <si>
    <t>ratio of number of Monte Carlo events needed to number of raw data events</t>
  </si>
  <si>
    <t>MC event size</t>
  </si>
  <si>
    <t>size of a single generated Monte Carlo event</t>
  </si>
  <si>
    <t>MC multiplicity factor</t>
  </si>
  <si>
    <t>number of times MC data will need to be generated</t>
  </si>
  <si>
    <t>MC effective event rate</t>
  </si>
  <si>
    <t>event rate averaged over time of MC event generation</t>
  </si>
  <si>
    <t>MC CPU need</t>
  </si>
  <si>
    <t>numbers of threads needed for generating Monte Carlo</t>
  </si>
  <si>
    <t>MC pass 1 output event size</t>
  </si>
  <si>
    <t>size of a single reconstructed Monte Carlo event</t>
  </si>
  <si>
    <t>MC effective data rate</t>
  </si>
  <si>
    <t>analysis/pass-1 CPU ratio</t>
  </si>
  <si>
    <t>ratio of CPU time required for performing a physics analysis to that needed for reconstruction</t>
  </si>
  <si>
    <t>analysis multiplicity factor</t>
  </si>
  <si>
    <t>number of analyses to be conducted</t>
  </si>
  <si>
    <t>analysis CPU need</t>
  </si>
  <si>
    <t>number of threads needed for analysis</t>
  </si>
  <si>
    <t>total CPU need</t>
  </si>
  <si>
    <t>total number  of threads needed for all activities</t>
  </si>
  <si>
    <t>total CPU need exclusive of MC</t>
  </si>
  <si>
    <t>total number of threads needed for all activities</t>
  </si>
  <si>
    <t>data rate, tape to cache disk</t>
  </si>
  <si>
    <t>average rate from tape library to cache disk</t>
  </si>
  <si>
    <t>data rate, cache disk to local disk</t>
  </si>
  <si>
    <t>average rate from cache disk to local farm node disk</t>
  </si>
  <si>
    <t>raw data recording tape need</t>
  </si>
  <si>
    <t>Pass 1 output to input size ratio</t>
  </si>
  <si>
    <t>ratio of output event size to input event size</t>
  </si>
  <si>
    <t>pass1 processed event size</t>
  </si>
  <si>
    <t>reconstructed event size</t>
  </si>
  <si>
    <t>Single pass 1 output data rate</t>
  </si>
  <si>
    <t>data rate for a single pass 1 output stream</t>
  </si>
  <si>
    <t>total pass 1 output data rate</t>
  </si>
  <si>
    <t>data rate for all pass 1 output streams</t>
  </si>
  <si>
    <t>Single pass 0 output data rate</t>
  </si>
  <si>
    <t>total pass 0 output data rate</t>
  </si>
  <si>
    <t>data rate for all pass 0 output streams</t>
  </si>
  <si>
    <t>single pass 1 tape need</t>
  </si>
  <si>
    <t>drives</t>
  </si>
  <si>
    <t>number of tape drives needed to support pass 1, one iteration</t>
  </si>
  <si>
    <t>Pass 1 tape need</t>
  </si>
  <si>
    <t>number of tape drives needed to support pass 1, all iterations</t>
  </si>
  <si>
    <t>single pass 0 tape need</t>
  </si>
  <si>
    <t>number of tape drives needed to support pass 0, one iteration</t>
  </si>
  <si>
    <t>Pass 0 tape need</t>
  </si>
  <si>
    <t>number of tape drives needed to support pass 0, all iterations</t>
  </si>
  <si>
    <t>single stream input tape need</t>
  </si>
  <si>
    <t>number of tape drives needed to support input for streaming, one iteration</t>
  </si>
  <si>
    <t>single set of stream output tape need (all streams)</t>
  </si>
  <si>
    <t>number of tape drives needed to support output for streaming, one iteration</t>
  </si>
  <si>
    <t>total stream tape need</t>
  </si>
  <si>
    <t>number of tape drives needed to support streaming, all iterations</t>
  </si>
  <si>
    <t>MC tape drive need</t>
  </si>
  <si>
    <t>number of tape drives needed to archive reconstructed MC data</t>
  </si>
  <si>
    <t>total tape drive need</t>
  </si>
  <si>
    <t>total number of tape drives needed for all activities</t>
  </si>
  <si>
    <t>disk usage per analysis</t>
  </si>
  <si>
    <t>TB</t>
  </si>
  <si>
    <t>permanent disk space used by an analysis</t>
  </si>
  <si>
    <t>disk usage total</t>
  </si>
  <si>
    <t>permanent disk space used by all analyses</t>
  </si>
  <si>
    <t>total output rate</t>
  </si>
  <si>
    <t>fy15</t>
  </si>
  <si>
    <t>fy19</t>
  </si>
  <si>
    <t>Weeks of running</t>
  </si>
  <si>
    <t>Days of running</t>
  </si>
  <si>
    <t>Days of Running per PAC Day</t>
  </si>
  <si>
    <t>Running efficiency</t>
  </si>
  <si>
    <t>Seconds per day</t>
  </si>
  <si>
    <t>Running time (s)</t>
  </si>
  <si>
    <t>Days per year</t>
  </si>
  <si>
    <t>Trigger rate (Hz)</t>
  </si>
  <si>
    <t>Number of cores</t>
  </si>
  <si>
    <t>Number of events</t>
  </si>
  <si>
    <t>Ratio of Monte Carlo events to data events</t>
  </si>
  <si>
    <t>event size (bytes)</t>
  </si>
  <si>
    <t>Reconstruction time per event per core (s)</t>
  </si>
  <si>
    <t>ratio of size of DST to Raw</t>
  </si>
  <si>
    <t>Reconstruction time, single core (y)</t>
  </si>
  <si>
    <t>Reconstruction time (d)</t>
  </si>
  <si>
    <t>Monte Carlo generation time per event per core</t>
  </si>
  <si>
    <t>Monte Carlo reconstruction time per event per core</t>
  </si>
  <si>
    <t>Monte Carlo time, gen. + recon. (d)</t>
  </si>
  <si>
    <t>Reconstruction time + MC time (d)</t>
  </si>
  <si>
    <t>raw data volume (bytes)</t>
  </si>
  <si>
    <t>raw data volume (PB)</t>
  </si>
  <si>
    <t>DST data volume, real data, recon. (PB)</t>
  </si>
  <si>
    <t>total data to tape (PB)</t>
  </si>
  <si>
    <t>Oct. 2016 David benchmark gave 250Hz for 16 threads on Ivy Bridge, 340Hz for 24 threads on Haswell, 600Hz for 36 threads on Broadwell</t>
  </si>
  <si>
    <t>size of a single raw event. Actual Spring 2016 data is 16.4kB+4.6kB/10^7 g/s. Estimate from Spring 2016 data for reduced windows is 11.5kB + 0.23kB/10^7 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</si>
</sst>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FFFF99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11" fontId="0" fillId="0" borderId="0" xfId="0" applyNumberFormat="1"/>
    <xf numFmtId="48" fontId="0" fillId="0" borderId="0" xfId="0" applyNumberFormat="1"/>
    <xf numFmtId="0" fontId="0" fillId="0" borderId="0" xfId="0" applyFont="1" applyAlignment="1">
      <alignment wrapText="1"/>
    </xf>
    <xf numFmtId="0" fontId="0" fillId="3" borderId="0" xfId="0" applyFont="1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5"/>
  <sheetViews>
    <sheetView tabSelected="1" workbookViewId="0">
      <selection activeCell="A15" sqref="A15"/>
    </sheetView>
  </sheetViews>
  <sheetFormatPr baseColWidth="10" defaultColWidth="8.83203125" defaultRowHeight="12" x14ac:dyDescent="0"/>
  <cols>
    <col min="1" max="1" width="38.6640625" customWidth="1"/>
    <col min="5" max="5" width="10.5" customWidth="1"/>
  </cols>
  <sheetData>
    <row r="1" spans="1:1024" ht="12.5" customHeight="1">
      <c r="A1" s="1" t="s">
        <v>0</v>
      </c>
    </row>
    <row r="2" spans="1:1024" ht="12.25" customHeight="1">
      <c r="G2">
        <f>365.25*24*60*60</f>
        <v>31557600</v>
      </c>
    </row>
    <row r="3" spans="1:1024" s="1" customFormat="1" ht="12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AMI3"/>
      <c r="AMJ3"/>
    </row>
    <row r="4" spans="1:1024" ht="12.25" customHeight="1">
      <c r="A4" s="2" t="s">
        <v>7</v>
      </c>
      <c r="B4" s="3">
        <v>30000</v>
      </c>
      <c r="C4" s="3">
        <v>50000</v>
      </c>
      <c r="D4" s="3">
        <v>100000</v>
      </c>
      <c r="E4" t="s">
        <v>8</v>
      </c>
      <c r="F4" t="s">
        <v>9</v>
      </c>
    </row>
    <row r="5" spans="1:1024" ht="12.25" customHeight="1">
      <c r="A5" t="s">
        <v>10</v>
      </c>
      <c r="B5" s="3">
        <v>10</v>
      </c>
      <c r="C5" s="3">
        <v>25.5</v>
      </c>
      <c r="D5" s="3">
        <v>32</v>
      </c>
      <c r="E5" t="s">
        <v>11</v>
      </c>
      <c r="F5" t="s">
        <v>12</v>
      </c>
    </row>
    <row r="6" spans="1:1024" ht="12.25" customHeight="1">
      <c r="A6" t="s">
        <v>13</v>
      </c>
      <c r="B6" s="3">
        <v>0.5</v>
      </c>
      <c r="C6" s="3">
        <v>0.5</v>
      </c>
      <c r="D6" s="3">
        <v>0.5</v>
      </c>
      <c r="F6" t="s">
        <v>14</v>
      </c>
    </row>
    <row r="7" spans="1:1024" ht="12.25" customHeight="1">
      <c r="A7" t="s">
        <v>15</v>
      </c>
      <c r="B7">
        <f>B4*B5/(365.25/7)*B6</f>
        <v>2874.7433264887063</v>
      </c>
      <c r="C7">
        <f>C4*C5/(365.25/7)*C6</f>
        <v>12217.659137577002</v>
      </c>
      <c r="D7">
        <f>D4*D5/(365.25/7)*D6</f>
        <v>30663.928815879532</v>
      </c>
      <c r="E7" t="s">
        <v>8</v>
      </c>
      <c r="F7" t="s">
        <v>16</v>
      </c>
    </row>
    <row r="8" spans="1:1024" ht="12.25" customHeight="1">
      <c r="A8" t="s">
        <v>17</v>
      </c>
      <c r="B8" s="4">
        <f>B7*365*24*60*60</f>
        <v>90657905544.147827</v>
      </c>
      <c r="C8" s="4">
        <f>C7*365*24*60*60</f>
        <v>385296098562.6283</v>
      </c>
      <c r="D8" s="4">
        <f>D7*365*24*60*60</f>
        <v>967017659137.5769</v>
      </c>
      <c r="E8" t="s">
        <v>18</v>
      </c>
      <c r="F8" t="s">
        <v>16</v>
      </c>
    </row>
    <row r="9" spans="1:1024" ht="12.25" customHeight="1">
      <c r="A9" t="s">
        <v>19</v>
      </c>
      <c r="B9" s="3">
        <f>1/(340/24)</f>
        <v>7.0588235294117646E-2</v>
      </c>
      <c r="C9" s="3">
        <f>1/(340/24)</f>
        <v>7.0588235294117646E-2</v>
      </c>
      <c r="D9" s="3">
        <f>1/(600/36)</f>
        <v>0.06</v>
      </c>
      <c r="E9" t="s">
        <v>20</v>
      </c>
      <c r="F9" t="s">
        <v>154</v>
      </c>
    </row>
    <row r="10" spans="1:1024" ht="12.25" customHeight="1">
      <c r="A10" t="s">
        <v>21</v>
      </c>
      <c r="B10">
        <f>B7*B9</f>
        <v>202.92305834037927</v>
      </c>
      <c r="C10">
        <f>C7*C9</f>
        <v>862.42299794661187</v>
      </c>
      <c r="D10">
        <f>D7*D9</f>
        <v>1839.8357289527719</v>
      </c>
      <c r="E10" t="s">
        <v>22</v>
      </c>
      <c r="F10" t="s">
        <v>23</v>
      </c>
    </row>
    <row r="11" spans="1:1024" ht="12.25" customHeight="1">
      <c r="A11" t="s">
        <v>24</v>
      </c>
      <c r="B11" s="3">
        <f>(16.1+4.6*1)*1000</f>
        <v>20700.000000000004</v>
      </c>
      <c r="C11" s="3">
        <f>(11.5+2.3*2)*1000</f>
        <v>16100.000000000002</v>
      </c>
      <c r="D11" s="3">
        <f>(11.5+2.3*5)*1000</f>
        <v>23000</v>
      </c>
      <c r="E11" t="s">
        <v>25</v>
      </c>
      <c r="F11" t="s">
        <v>155</v>
      </c>
    </row>
    <row r="12" spans="1:1024" ht="12.25" customHeight="1">
      <c r="A12" t="s">
        <v>26</v>
      </c>
      <c r="B12">
        <f>B4*B11/1000000</f>
        <v>621.00000000000011</v>
      </c>
      <c r="C12">
        <f>C4*C11/1000000</f>
        <v>805.00000000000011</v>
      </c>
      <c r="D12">
        <f>D4*D11/1000000</f>
        <v>2300</v>
      </c>
      <c r="E12" t="s">
        <v>27</v>
      </c>
      <c r="F12" t="s">
        <v>28</v>
      </c>
    </row>
    <row r="13" spans="1:1024" ht="12.25" customHeight="1">
      <c r="A13" t="s">
        <v>29</v>
      </c>
      <c r="B13" s="5">
        <f>B8*B11</f>
        <v>1876618644763860.2</v>
      </c>
      <c r="C13" s="5">
        <f>C8*C11</f>
        <v>6203267186858316</v>
      </c>
      <c r="D13" s="5">
        <f>D8*D11</f>
        <v>2.2241406160164268E+16</v>
      </c>
      <c r="E13" t="s">
        <v>30</v>
      </c>
      <c r="F13" t="s">
        <v>31</v>
      </c>
    </row>
    <row r="14" spans="1:1024">
      <c r="A14" t="s">
        <v>29</v>
      </c>
      <c r="B14">
        <f>B13/1000000000000</f>
        <v>1876.6186447638602</v>
      </c>
      <c r="C14">
        <f>C13/1000000000000</f>
        <v>6203.2671868583157</v>
      </c>
      <c r="D14">
        <f>D13/1000000000000</f>
        <v>22241.406160164268</v>
      </c>
      <c r="E14" t="s">
        <v>32</v>
      </c>
      <c r="F14" t="s">
        <v>31</v>
      </c>
    </row>
    <row r="15" spans="1:1024">
      <c r="A15" t="s">
        <v>33</v>
      </c>
      <c r="B15" s="3">
        <v>0.05</v>
      </c>
      <c r="C15" s="3">
        <v>0.05</v>
      </c>
      <c r="D15" s="3">
        <v>0.05</v>
      </c>
      <c r="F15" t="s">
        <v>34</v>
      </c>
    </row>
    <row r="16" spans="1:1024">
      <c r="A16" t="s">
        <v>35</v>
      </c>
      <c r="B16" s="3">
        <v>2</v>
      </c>
      <c r="C16" s="3">
        <v>2</v>
      </c>
      <c r="D16" s="3">
        <v>2</v>
      </c>
      <c r="F16" t="s">
        <v>36</v>
      </c>
    </row>
    <row r="17" spans="1:7">
      <c r="A17" t="s">
        <v>37</v>
      </c>
      <c r="B17" s="3">
        <v>2</v>
      </c>
      <c r="C17" s="3">
        <v>2</v>
      </c>
      <c r="D17" s="3">
        <v>2</v>
      </c>
      <c r="F17" t="s">
        <v>38</v>
      </c>
    </row>
    <row r="18" spans="1:7">
      <c r="A18" t="s">
        <v>39</v>
      </c>
      <c r="B18">
        <f>B15*B17*B10</f>
        <v>20.292305834037929</v>
      </c>
      <c r="C18">
        <f>C15*C17*C10</f>
        <v>86.242299794661193</v>
      </c>
      <c r="D18">
        <f>D15*D17*D10</f>
        <v>183.98357289527721</v>
      </c>
      <c r="E18" t="s">
        <v>22</v>
      </c>
      <c r="F18" t="s">
        <v>40</v>
      </c>
    </row>
    <row r="19" spans="1:7">
      <c r="A19" t="s">
        <v>41</v>
      </c>
      <c r="B19">
        <f>B16*B10</f>
        <v>405.84611668075854</v>
      </c>
      <c r="C19">
        <f>C16*C10</f>
        <v>1724.8459958932237</v>
      </c>
      <c r="D19">
        <f>D16*D10</f>
        <v>3679.6714579055438</v>
      </c>
      <c r="E19" t="s">
        <v>22</v>
      </c>
      <c r="F19" t="s">
        <v>42</v>
      </c>
      <c r="G19" s="6"/>
    </row>
    <row r="20" spans="1:7">
      <c r="A20" t="s">
        <v>43</v>
      </c>
      <c r="B20" s="3">
        <v>0.1</v>
      </c>
      <c r="C20" s="3">
        <v>0.1</v>
      </c>
      <c r="D20" s="3">
        <v>0.1</v>
      </c>
      <c r="F20" t="s">
        <v>44</v>
      </c>
    </row>
    <row r="21" spans="1:7">
      <c r="A21" t="s">
        <v>45</v>
      </c>
      <c r="B21" s="3">
        <v>0.1</v>
      </c>
      <c r="C21" s="3">
        <v>0.1</v>
      </c>
      <c r="D21" s="3">
        <v>0.1</v>
      </c>
      <c r="F21" t="s">
        <v>46</v>
      </c>
    </row>
    <row r="22" spans="1:7">
      <c r="A22" t="s">
        <v>47</v>
      </c>
      <c r="B22" s="3">
        <v>5</v>
      </c>
      <c r="C22" s="3">
        <v>5</v>
      </c>
      <c r="D22" s="3">
        <v>5</v>
      </c>
      <c r="F22" t="s">
        <v>48</v>
      </c>
    </row>
    <row r="23" spans="1:7">
      <c r="A23" t="s">
        <v>49</v>
      </c>
      <c r="B23">
        <f>B20*B10</f>
        <v>20.292305834037929</v>
      </c>
      <c r="C23">
        <f>C20*C10</f>
        <v>86.242299794661193</v>
      </c>
      <c r="D23">
        <f>D20*D10</f>
        <v>183.98357289527721</v>
      </c>
      <c r="E23" t="s">
        <v>22</v>
      </c>
      <c r="F23" t="s">
        <v>50</v>
      </c>
    </row>
    <row r="24" spans="1:7">
      <c r="A24" t="s">
        <v>51</v>
      </c>
      <c r="B24" s="3">
        <v>2</v>
      </c>
      <c r="C24" s="3">
        <v>2</v>
      </c>
      <c r="D24" s="3">
        <v>2</v>
      </c>
      <c r="F24" t="s">
        <v>52</v>
      </c>
    </row>
    <row r="25" spans="1:7">
      <c r="A25" t="s">
        <v>53</v>
      </c>
      <c r="B25">
        <f>B22*B23*B24</f>
        <v>202.9230583403793</v>
      </c>
      <c r="C25">
        <f>C22*C23*C24</f>
        <v>862.42299794661199</v>
      </c>
      <c r="D25">
        <f>D22*D23*D24</f>
        <v>1839.8357289527721</v>
      </c>
      <c r="E25" t="s">
        <v>22</v>
      </c>
      <c r="F25" t="s">
        <v>54</v>
      </c>
    </row>
    <row r="26" spans="1:7">
      <c r="A26" t="s">
        <v>55</v>
      </c>
      <c r="B26">
        <f>B50*B21</f>
        <v>1.1901437371663246</v>
      </c>
      <c r="C26">
        <f>C50*C21</f>
        <v>3.9340862422997951</v>
      </c>
      <c r="D26">
        <f>D50*D21</f>
        <v>14.105407255304584</v>
      </c>
      <c r="E26" t="s">
        <v>27</v>
      </c>
    </row>
    <row r="27" spans="1:7">
      <c r="A27" t="s">
        <v>56</v>
      </c>
      <c r="B27">
        <f>B26*B22*B24*$G2/1000000000</f>
        <v>0.37558080000000005</v>
      </c>
      <c r="C27">
        <f>C26*C22*C24*$G2/1000000000</f>
        <v>1.2415032000000001</v>
      </c>
      <c r="D27">
        <f>D26*D22*D24*$G2/1000000000</f>
        <v>4.4513279999999993</v>
      </c>
      <c r="E27" t="s">
        <v>57</v>
      </c>
    </row>
    <row r="28" spans="1:7">
      <c r="A28" t="s">
        <v>58</v>
      </c>
      <c r="B28" s="3">
        <f>1/14.04+1/11.4</f>
        <v>0.15894436947068524</v>
      </c>
      <c r="C28" s="3">
        <f>1/14.04+1/11.4</f>
        <v>0.15894436947068524</v>
      </c>
      <c r="D28" s="3">
        <f>1/14.04+1/11.4</f>
        <v>0.15894436947068524</v>
      </c>
    </row>
    <row r="29" spans="1:7">
      <c r="A29" t="s">
        <v>59</v>
      </c>
      <c r="B29" s="3">
        <f>1/22</f>
        <v>4.5454545454545456E-2</v>
      </c>
      <c r="C29" s="3">
        <f>1/22</f>
        <v>4.5454545454545456E-2</v>
      </c>
      <c r="D29" s="3">
        <f>1/22</f>
        <v>4.5454545454545456E-2</v>
      </c>
    </row>
    <row r="30" spans="1:7">
      <c r="A30" t="s">
        <v>60</v>
      </c>
      <c r="B30">
        <f>B28/B9</f>
        <v>2.2517119008347075</v>
      </c>
      <c r="C30">
        <f>C28/C9</f>
        <v>2.2517119008347075</v>
      </c>
      <c r="D30">
        <f>D28/D9</f>
        <v>2.6490728245114208</v>
      </c>
      <c r="E30" t="s">
        <v>20</v>
      </c>
      <c r="F30" t="s">
        <v>61</v>
      </c>
    </row>
    <row r="31" spans="1:7">
      <c r="A31" t="s">
        <v>62</v>
      </c>
      <c r="B31">
        <f>B29/B9</f>
        <v>0.64393939393939392</v>
      </c>
      <c r="C31">
        <f>C29/C9</f>
        <v>0.64393939393939392</v>
      </c>
      <c r="D31">
        <f>D29/D9</f>
        <v>0.75757575757575768</v>
      </c>
      <c r="F31" t="s">
        <v>63</v>
      </c>
    </row>
    <row r="32" spans="1:7">
      <c r="A32" t="s">
        <v>64</v>
      </c>
      <c r="B32" s="3">
        <v>2</v>
      </c>
      <c r="C32" s="3">
        <v>2</v>
      </c>
      <c r="D32" s="3">
        <v>2</v>
      </c>
      <c r="F32" t="s">
        <v>65</v>
      </c>
    </row>
    <row r="33" spans="1:1024">
      <c r="A33" t="s">
        <v>66</v>
      </c>
      <c r="B33">
        <v>18000</v>
      </c>
      <c r="C33">
        <v>18000</v>
      </c>
      <c r="D33">
        <v>18000</v>
      </c>
      <c r="E33" t="s">
        <v>25</v>
      </c>
      <c r="F33" t="s">
        <v>67</v>
      </c>
    </row>
    <row r="34" spans="1:1024">
      <c r="A34" t="s">
        <v>68</v>
      </c>
      <c r="B34" s="3">
        <v>2</v>
      </c>
      <c r="C34" s="3">
        <v>2</v>
      </c>
      <c r="D34" s="3">
        <v>2</v>
      </c>
      <c r="F34" t="s">
        <v>69</v>
      </c>
    </row>
    <row r="35" spans="1:1024">
      <c r="A35" t="s">
        <v>70</v>
      </c>
      <c r="B35">
        <f>B7*B32*B34</f>
        <v>11498.973305954825</v>
      </c>
      <c r="C35">
        <f>C7*C32*C34</f>
        <v>48870.636550308009</v>
      </c>
      <c r="D35">
        <f>D7*D32*D34</f>
        <v>122655.71526351813</v>
      </c>
      <c r="E35" t="s">
        <v>8</v>
      </c>
      <c r="F35" t="s">
        <v>71</v>
      </c>
    </row>
    <row r="36" spans="1:1024">
      <c r="A36" t="s">
        <v>72</v>
      </c>
      <c r="B36">
        <f>B32*B10*(B30+B31)*B34</f>
        <v>2350.3776664913589</v>
      </c>
      <c r="C36">
        <f>C32*C10*(C30+C31)*C34</f>
        <v>9989.1050825882758</v>
      </c>
      <c r="D36">
        <f>D32*D10*(D30+D31)*D34</f>
        <v>25070.695109241165</v>
      </c>
      <c r="E36" t="s">
        <v>22</v>
      </c>
      <c r="F36" t="s">
        <v>73</v>
      </c>
    </row>
    <row r="37" spans="1:1024">
      <c r="A37" t="s">
        <v>74</v>
      </c>
      <c r="B37">
        <f>B33*B48</f>
        <v>3600</v>
      </c>
      <c r="C37">
        <f>C33*C48</f>
        <v>3600</v>
      </c>
      <c r="D37">
        <f>D33*D48</f>
        <v>3600</v>
      </c>
      <c r="E37" t="s">
        <v>25</v>
      </c>
      <c r="F37" t="s">
        <v>75</v>
      </c>
    </row>
    <row r="38" spans="1:1024">
      <c r="A38" t="s">
        <v>76</v>
      </c>
      <c r="B38">
        <f>B35*B37/1000000</f>
        <v>41.396303901437371</v>
      </c>
      <c r="C38">
        <f>C35*C37/1000000</f>
        <v>175.93429158110885</v>
      </c>
      <c r="D38">
        <f>D35*D37/1000000</f>
        <v>441.56057494866525</v>
      </c>
      <c r="E38" t="s">
        <v>27</v>
      </c>
    </row>
    <row r="39" spans="1:1024">
      <c r="A39" t="s">
        <v>76</v>
      </c>
      <c r="B39">
        <f>B38*$G2/1000000000</f>
        <v>1.306368</v>
      </c>
      <c r="C39">
        <f>C38*$G2/1000000000</f>
        <v>5.5520640000000006</v>
      </c>
      <c r="D39">
        <f>D38*$G2/1000000000</f>
        <v>13.934591999999999</v>
      </c>
      <c r="E39" t="s">
        <v>57</v>
      </c>
    </row>
    <row r="40" spans="1:1024">
      <c r="A40" t="s">
        <v>77</v>
      </c>
      <c r="B40" s="3">
        <v>0.1</v>
      </c>
      <c r="C40" s="3">
        <v>0.1</v>
      </c>
      <c r="D40" s="3">
        <v>0.1</v>
      </c>
      <c r="F40" t="s">
        <v>78</v>
      </c>
    </row>
    <row r="41" spans="1:1024">
      <c r="A41" t="s">
        <v>79</v>
      </c>
      <c r="B41" s="3">
        <v>10</v>
      </c>
      <c r="C41" s="3">
        <v>10</v>
      </c>
      <c r="D41" s="3">
        <v>10</v>
      </c>
      <c r="F41" t="s">
        <v>80</v>
      </c>
    </row>
    <row r="42" spans="1:1024">
      <c r="A42" t="s">
        <v>81</v>
      </c>
      <c r="B42">
        <f>B40*B10*B41</f>
        <v>202.9230583403793</v>
      </c>
      <c r="C42">
        <f>C40*C10*C41</f>
        <v>862.42299794661199</v>
      </c>
      <c r="D42">
        <f>D40*D10*D41</f>
        <v>1839.8357289527721</v>
      </c>
      <c r="E42" t="s">
        <v>22</v>
      </c>
      <c r="F42" t="s">
        <v>82</v>
      </c>
    </row>
    <row r="43" spans="1:1024" s="7" customFormat="1">
      <c r="A43" s="7" t="s">
        <v>83</v>
      </c>
      <c r="B43" s="8">
        <f>B18+B19+B25+B36+B42</f>
        <v>3182.362205686914</v>
      </c>
      <c r="C43" s="8">
        <f>C18+C19+C25+C36+C42</f>
        <v>13525.039374169386</v>
      </c>
      <c r="D43" s="8">
        <f>D18+D19+D25+D36+D42</f>
        <v>32614.021597947532</v>
      </c>
      <c r="E43" s="7" t="s">
        <v>22</v>
      </c>
      <c r="F43" s="7" t="s">
        <v>84</v>
      </c>
      <c r="AMI43"/>
      <c r="AMJ43"/>
    </row>
    <row r="44" spans="1:1024">
      <c r="A44" t="s">
        <v>85</v>
      </c>
      <c r="B44">
        <f>B43-B36</f>
        <v>831.98453919555504</v>
      </c>
      <c r="C44">
        <f>C43-C36</f>
        <v>3535.9342915811103</v>
      </c>
      <c r="D44">
        <f>D43-D36</f>
        <v>7543.3264887063669</v>
      </c>
      <c r="E44" t="s">
        <v>22</v>
      </c>
      <c r="F44" t="s">
        <v>86</v>
      </c>
    </row>
    <row r="45" spans="1:1024">
      <c r="A45" t="s">
        <v>87</v>
      </c>
      <c r="B45" s="3">
        <v>100</v>
      </c>
      <c r="C45" s="3">
        <v>100</v>
      </c>
      <c r="D45" s="3">
        <v>100</v>
      </c>
      <c r="E45" t="s">
        <v>27</v>
      </c>
      <c r="F45" t="s">
        <v>88</v>
      </c>
    </row>
    <row r="46" spans="1:1024">
      <c r="A46" t="s">
        <v>89</v>
      </c>
      <c r="B46" s="3">
        <v>3</v>
      </c>
      <c r="C46" s="3">
        <v>3</v>
      </c>
      <c r="D46" s="3">
        <v>3</v>
      </c>
      <c r="E46" t="s">
        <v>27</v>
      </c>
      <c r="F46" t="s">
        <v>90</v>
      </c>
    </row>
    <row r="47" spans="1:1024">
      <c r="A47" t="s">
        <v>91</v>
      </c>
      <c r="B47">
        <f>B7*B11/B45/1000000</f>
        <v>0.5950718685831623</v>
      </c>
      <c r="C47">
        <f>C7*C11/C45/1000000</f>
        <v>1.9670431211498975</v>
      </c>
      <c r="D47">
        <f>D7*D11/D45/1000000</f>
        <v>7.0527036276522921</v>
      </c>
    </row>
    <row r="48" spans="1:1024">
      <c r="A48" t="s">
        <v>92</v>
      </c>
      <c r="B48" s="3">
        <v>0.2</v>
      </c>
      <c r="C48" s="3">
        <v>0.2</v>
      </c>
      <c r="D48" s="3">
        <v>0.2</v>
      </c>
      <c r="F48" t="s">
        <v>93</v>
      </c>
    </row>
    <row r="49" spans="1:6">
      <c r="A49" t="s">
        <v>94</v>
      </c>
      <c r="B49">
        <f>B48*B11</f>
        <v>4140.0000000000009</v>
      </c>
      <c r="C49">
        <f>C48*C11</f>
        <v>3220.0000000000005</v>
      </c>
      <c r="D49">
        <f>D48*D11</f>
        <v>4600</v>
      </c>
      <c r="E49" t="s">
        <v>25</v>
      </c>
      <c r="F49" t="s">
        <v>95</v>
      </c>
    </row>
    <row r="50" spans="1:6">
      <c r="A50" t="s">
        <v>96</v>
      </c>
      <c r="B50">
        <f>B7*B49/1000000</f>
        <v>11.901437371663246</v>
      </c>
      <c r="C50">
        <f>C7*C49/1000000</f>
        <v>39.340862422997951</v>
      </c>
      <c r="D50">
        <f>D7*D49/1000000</f>
        <v>141.05407255304584</v>
      </c>
      <c r="E50" t="s">
        <v>27</v>
      </c>
      <c r="F50" t="s">
        <v>97</v>
      </c>
    </row>
    <row r="51" spans="1:6">
      <c r="A51" t="s">
        <v>98</v>
      </c>
      <c r="B51">
        <f>B16*B50*365.25*24*60*60/1000000000</f>
        <v>0.75116159999999998</v>
      </c>
      <c r="C51">
        <f>C16*C50*365.25*24*60*60/1000000000</f>
        <v>2.4830064000000003</v>
      </c>
      <c r="D51">
        <f>D16*D50*365.25*24*60*60/1000000000</f>
        <v>8.9026559999999986</v>
      </c>
      <c r="E51" t="s">
        <v>57</v>
      </c>
      <c r="F51" t="s">
        <v>99</v>
      </c>
    </row>
    <row r="52" spans="1:6">
      <c r="A52" t="s">
        <v>100</v>
      </c>
      <c r="B52">
        <f>B15*B7*B49/1000000</f>
        <v>0.5950718685831623</v>
      </c>
      <c r="C52">
        <f>C15*C7*C49/1000000</f>
        <v>1.9670431211498975</v>
      </c>
      <c r="D52">
        <f>D15*D7*D49/1000000</f>
        <v>7.052703627652293</v>
      </c>
      <c r="E52" t="s">
        <v>27</v>
      </c>
      <c r="F52" t="s">
        <v>97</v>
      </c>
    </row>
    <row r="53" spans="1:6">
      <c r="A53" t="s">
        <v>101</v>
      </c>
      <c r="B53">
        <f>B17*B52*365.25*24*60*60/1000000000</f>
        <v>3.7558080000000008E-2</v>
      </c>
      <c r="C53">
        <f>C17*C52*365.25*24*60*60/1000000000</f>
        <v>0.12415032000000001</v>
      </c>
      <c r="D53">
        <f>D17*D52*365.25*24*60*60/1000000000</f>
        <v>0.4451328</v>
      </c>
      <c r="E53" t="s">
        <v>57</v>
      </c>
      <c r="F53" t="s">
        <v>102</v>
      </c>
    </row>
    <row r="54" spans="1:6">
      <c r="A54" t="s">
        <v>103</v>
      </c>
      <c r="B54">
        <f>B7*(B49+B11)/(B45*1000000)</f>
        <v>0.71408624229979467</v>
      </c>
      <c r="C54">
        <f>C7*(C49+C11)/(C45*1000000)</f>
        <v>2.3604517453798772</v>
      </c>
      <c r="D54">
        <f>D7*(D49+D11)/(D45*1000000)</f>
        <v>8.4632443531827501</v>
      </c>
      <c r="E54" t="s">
        <v>104</v>
      </c>
      <c r="F54" t="s">
        <v>105</v>
      </c>
    </row>
    <row r="55" spans="1:6">
      <c r="A55" t="s">
        <v>106</v>
      </c>
      <c r="B55">
        <f>B16*B54</f>
        <v>1.4281724845995893</v>
      </c>
      <c r="C55">
        <f>C16*C54</f>
        <v>4.7209034907597545</v>
      </c>
      <c r="D55">
        <f>D16*D54</f>
        <v>16.9264887063655</v>
      </c>
      <c r="E55" t="s">
        <v>104</v>
      </c>
      <c r="F55" t="s">
        <v>107</v>
      </c>
    </row>
    <row r="56" spans="1:6">
      <c r="A56" t="s">
        <v>108</v>
      </c>
      <c r="B56">
        <f>B15*B54</f>
        <v>3.5704312114989735E-2</v>
      </c>
      <c r="C56">
        <f>C15*C54</f>
        <v>0.11802258726899387</v>
      </c>
      <c r="D56">
        <f>D15*D54</f>
        <v>0.42316221765913753</v>
      </c>
      <c r="E56" t="s">
        <v>104</v>
      </c>
      <c r="F56" t="s">
        <v>109</v>
      </c>
    </row>
    <row r="57" spans="1:6">
      <c r="A57" t="s">
        <v>110</v>
      </c>
      <c r="B57">
        <f>B17*B56</f>
        <v>7.140862422997947E-2</v>
      </c>
      <c r="C57">
        <f>C17*C56</f>
        <v>0.23604517453798773</v>
      </c>
      <c r="D57">
        <f>D17*D56</f>
        <v>0.84632443531827506</v>
      </c>
      <c r="E57" t="s">
        <v>104</v>
      </c>
      <c r="F57" t="s">
        <v>111</v>
      </c>
    </row>
    <row r="58" spans="1:6">
      <c r="A58" t="s">
        <v>112</v>
      </c>
      <c r="B58">
        <f>B7*B49/(10*1000000)</f>
        <v>1.1901437371663246</v>
      </c>
      <c r="C58">
        <f>C7*C49/(10*1000000)</f>
        <v>3.9340862422997951</v>
      </c>
      <c r="D58">
        <f>D7*D49/(10*1000000)</f>
        <v>14.105407255304584</v>
      </c>
      <c r="E58" t="s">
        <v>104</v>
      </c>
      <c r="F58" t="s">
        <v>113</v>
      </c>
    </row>
    <row r="59" spans="1:6">
      <c r="A59" t="s">
        <v>114</v>
      </c>
      <c r="B59">
        <f>B22*B58*B20</f>
        <v>0.5950718685831623</v>
      </c>
      <c r="C59">
        <f>C22*C58*C20</f>
        <v>1.9670431211498975</v>
      </c>
      <c r="D59">
        <f>D22*D58*D20</f>
        <v>7.0527036276522921</v>
      </c>
      <c r="E59" t="s">
        <v>104</v>
      </c>
      <c r="F59" t="s">
        <v>115</v>
      </c>
    </row>
    <row r="60" spans="1:6">
      <c r="A60" t="s">
        <v>116</v>
      </c>
      <c r="B60">
        <f>(B58+B59)*B24</f>
        <v>3.570431211498974</v>
      </c>
      <c r="C60">
        <f>(C58+C59)*C24</f>
        <v>11.802258726899385</v>
      </c>
      <c r="D60">
        <f>(D58+D59)*D24</f>
        <v>42.316221765913753</v>
      </c>
      <c r="E60" t="s">
        <v>104</v>
      </c>
      <c r="F60" t="s">
        <v>117</v>
      </c>
    </row>
    <row r="61" spans="1:6">
      <c r="A61" t="s">
        <v>118</v>
      </c>
      <c r="B61">
        <f>B38/B45</f>
        <v>0.4139630390143737</v>
      </c>
      <c r="C61">
        <f>C38/C45</f>
        <v>1.7593429158110885</v>
      </c>
      <c r="D61">
        <f>D38/D45</f>
        <v>4.4156057494866525</v>
      </c>
      <c r="E61" t="s">
        <v>104</v>
      </c>
      <c r="F61" t="s">
        <v>119</v>
      </c>
    </row>
    <row r="62" spans="1:6">
      <c r="A62" t="s">
        <v>120</v>
      </c>
      <c r="B62">
        <f>B47+B55+B57+B60+B61</f>
        <v>6.079047227926079</v>
      </c>
      <c r="C62">
        <f>C47+C55+C57+C60+C61</f>
        <v>20.485593429158115</v>
      </c>
      <c r="D62">
        <f>D47+D55+D57+D60+D61</f>
        <v>71.557344284736487</v>
      </c>
      <c r="F62" t="s">
        <v>121</v>
      </c>
    </row>
    <row r="63" spans="1:6">
      <c r="A63" t="s">
        <v>122</v>
      </c>
      <c r="B63" s="3">
        <v>20</v>
      </c>
      <c r="C63" s="3">
        <v>20</v>
      </c>
      <c r="D63" s="3">
        <v>20</v>
      </c>
      <c r="E63" t="s">
        <v>123</v>
      </c>
      <c r="F63" t="s">
        <v>124</v>
      </c>
    </row>
    <row r="64" spans="1:6">
      <c r="A64" t="s">
        <v>125</v>
      </c>
      <c r="B64">
        <f>B63*B41</f>
        <v>200</v>
      </c>
      <c r="C64">
        <f>C63*C41</f>
        <v>200</v>
      </c>
      <c r="D64">
        <f>D63*D41</f>
        <v>200</v>
      </c>
      <c r="E64" t="s">
        <v>123</v>
      </c>
      <c r="F64" t="s">
        <v>126</v>
      </c>
    </row>
    <row r="65" spans="1:4">
      <c r="A65" t="s">
        <v>127</v>
      </c>
      <c r="B65">
        <f>B14/1000+B51+B53+B27+B39</f>
        <v>4.3472871247638603</v>
      </c>
      <c r="C65">
        <f>C14/1000+C51+C53+C27+C39</f>
        <v>15.603991106858317</v>
      </c>
      <c r="D65">
        <f>D14/1000+D51+D53+D27+D39</f>
        <v>49.975114960164262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23" sqref="B23"/>
    </sheetView>
  </sheetViews>
  <sheetFormatPr baseColWidth="10" defaultColWidth="8.83203125" defaultRowHeight="12" x14ac:dyDescent="0"/>
  <sheetData>
    <row r="1" spans="1:8" ht="12.25" customHeight="1">
      <c r="B1" t="s">
        <v>128</v>
      </c>
      <c r="C1" t="s">
        <v>2</v>
      </c>
      <c r="D1" t="s">
        <v>3</v>
      </c>
      <c r="E1" t="s">
        <v>4</v>
      </c>
      <c r="F1" t="s">
        <v>129</v>
      </c>
    </row>
    <row r="2" spans="1:8" ht="12.25" customHeight="1">
      <c r="A2" t="s">
        <v>130</v>
      </c>
      <c r="B2" s="3">
        <f>model!B5</f>
        <v>10</v>
      </c>
      <c r="C2" s="3">
        <f>model!C5</f>
        <v>25.5</v>
      </c>
      <c r="D2" s="3">
        <f>model!D5</f>
        <v>32</v>
      </c>
      <c r="E2" s="3" t="str">
        <f>model!E5</f>
        <v>weeks</v>
      </c>
      <c r="F2" s="3" t="str">
        <f>model!F5</f>
        <v>amount of running in a year</v>
      </c>
    </row>
    <row r="3" spans="1:8" ht="12.25" customHeight="1">
      <c r="A3" t="s">
        <v>131</v>
      </c>
      <c r="B3">
        <f>7*B2</f>
        <v>70</v>
      </c>
      <c r="C3">
        <f>7*C2</f>
        <v>178.5</v>
      </c>
      <c r="D3">
        <f>7*D2</f>
        <v>224</v>
      </c>
      <c r="E3" t="e">
        <f>7*E2</f>
        <v>#VALUE!</v>
      </c>
      <c r="F3" t="e">
        <f>7*F2</f>
        <v>#VALUE!</v>
      </c>
      <c r="G3" t="s">
        <v>132</v>
      </c>
      <c r="H3" s="3">
        <v>2</v>
      </c>
    </row>
    <row r="4" spans="1:8" ht="12.25" customHeight="1">
      <c r="A4" t="s">
        <v>133</v>
      </c>
      <c r="B4">
        <f>model!B6</f>
        <v>0.5</v>
      </c>
      <c r="C4">
        <f>model!C6</f>
        <v>0.5</v>
      </c>
      <c r="D4">
        <f>model!D6</f>
        <v>0.5</v>
      </c>
      <c r="E4">
        <f>model!E6</f>
        <v>0</v>
      </c>
      <c r="F4" t="str">
        <f>model!F6</f>
        <v>fraction of wall time when beam is on, either due to beam unavailable or detector not ready</v>
      </c>
      <c r="G4" t="s">
        <v>134</v>
      </c>
      <c r="H4">
        <f>24*60*60</f>
        <v>86400</v>
      </c>
    </row>
    <row r="5" spans="1:8" ht="12.25" customHeight="1">
      <c r="A5" t="s">
        <v>135</v>
      </c>
      <c r="B5" s="4">
        <f>B3*B4*$H$4</f>
        <v>3024000</v>
      </c>
      <c r="C5" s="4">
        <f>C3*C4*$H$4</f>
        <v>7711200</v>
      </c>
      <c r="D5" s="4">
        <f>D3*D4*$H$4</f>
        <v>9676800</v>
      </c>
      <c r="E5" s="4" t="e">
        <f>E3*E4*$H$4</f>
        <v>#VALUE!</v>
      </c>
      <c r="F5" s="4" t="e">
        <f>F3*F4*$H$4</f>
        <v>#VALUE!</v>
      </c>
      <c r="G5" t="s">
        <v>136</v>
      </c>
      <c r="H5">
        <v>365.25</v>
      </c>
    </row>
    <row r="6" spans="1:8" ht="12.25" customHeight="1">
      <c r="A6" t="s">
        <v>137</v>
      </c>
      <c r="B6">
        <v>2000</v>
      </c>
      <c r="C6">
        <v>20000</v>
      </c>
      <c r="D6">
        <v>20000</v>
      </c>
      <c r="E6">
        <v>20000</v>
      </c>
      <c r="F6">
        <v>20000</v>
      </c>
      <c r="G6" t="s">
        <v>138</v>
      </c>
      <c r="H6">
        <v>10000</v>
      </c>
    </row>
    <row r="7" spans="1:8" ht="12.25" customHeight="1">
      <c r="A7" t="s">
        <v>139</v>
      </c>
      <c r="B7" s="4">
        <f>B5*B6</f>
        <v>6048000000</v>
      </c>
      <c r="C7" s="4">
        <f>C5*C6</f>
        <v>154224000000</v>
      </c>
      <c r="D7" s="4">
        <f>D5*D6</f>
        <v>193536000000</v>
      </c>
      <c r="E7" s="4" t="e">
        <f>E5*E6</f>
        <v>#VALUE!</v>
      </c>
      <c r="F7" s="4" t="e">
        <f>F5*F6</f>
        <v>#VALUE!</v>
      </c>
      <c r="G7" t="s">
        <v>140</v>
      </c>
      <c r="H7">
        <f>model!$B32</f>
        <v>2</v>
      </c>
    </row>
    <row r="8" spans="1:8" ht="12.25" customHeight="1">
      <c r="B8" s="4"/>
      <c r="C8" s="4"/>
      <c r="D8" s="4"/>
      <c r="E8" s="4"/>
      <c r="F8" s="4"/>
      <c r="G8" t="s">
        <v>141</v>
      </c>
      <c r="H8">
        <f>model!$B11</f>
        <v>20700.000000000004</v>
      </c>
    </row>
    <row r="9" spans="1:8" ht="12.25" customHeight="1">
      <c r="A9" t="s">
        <v>142</v>
      </c>
      <c r="B9">
        <f>model!B9</f>
        <v>7.0588235294117646E-2</v>
      </c>
      <c r="C9">
        <f>model!C9</f>
        <v>7.0588235294117646E-2</v>
      </c>
      <c r="D9">
        <f>model!D9</f>
        <v>0.06</v>
      </c>
      <c r="E9" t="str">
        <f>model!E9</f>
        <v>CPU-s/event</v>
      </c>
      <c r="F9" t="str">
        <f>model!F9</f>
        <v>Oct. 2016 David benchmark gave 250Hz for 16 threads on Ivy Bridge, 340Hz for 24 threads on Haswell, 600Hz for 36 threads on Broadwell</v>
      </c>
      <c r="G9" t="s">
        <v>143</v>
      </c>
      <c r="H9">
        <f>model!$B48</f>
        <v>0.2</v>
      </c>
    </row>
    <row r="10" spans="1:8" ht="12.25" customHeight="1">
      <c r="A10" t="s">
        <v>144</v>
      </c>
      <c r="B10">
        <f>B7*B9/$H$4/$H$5</f>
        <v>13.528203889358618</v>
      </c>
      <c r="C10">
        <f>C7*C9/$H$4/$H$5</f>
        <v>344.96919917864477</v>
      </c>
      <c r="D10">
        <f>D7*D9/$H$4/$H$5</f>
        <v>367.96714579055441</v>
      </c>
      <c r="E10" t="e">
        <f>E7*E9/$H$4/$H$5</f>
        <v>#VALUE!</v>
      </c>
      <c r="F10" t="e">
        <f>F7*F9/$H$4/$H$5</f>
        <v>#VALUE!</v>
      </c>
    </row>
    <row r="11" spans="1:8" ht="12.25" customHeight="1">
      <c r="A11" t="s">
        <v>145</v>
      </c>
      <c r="B11">
        <f>B7*B9/$H$4/$H$6</f>
        <v>0.49411764705882349</v>
      </c>
      <c r="C11">
        <f>C7*C9/$H$4/$H$6</f>
        <v>12.6</v>
      </c>
      <c r="D11">
        <f>D7*D9/$H$4/$H$6</f>
        <v>13.44</v>
      </c>
      <c r="E11" t="e">
        <f>E7*E9/$H$4/$H$6</f>
        <v>#VALUE!</v>
      </c>
      <c r="F11" s="9" t="e">
        <f>F7*F9/$H$4/$H$6</f>
        <v>#VALUE!</v>
      </c>
    </row>
    <row r="13" spans="1:8" ht="12.25" customHeight="1">
      <c r="A13" t="s">
        <v>146</v>
      </c>
      <c r="B13">
        <f>model!B28</f>
        <v>0.15894436947068524</v>
      </c>
      <c r="C13">
        <f>model!C28</f>
        <v>0.15894436947068524</v>
      </c>
      <c r="D13">
        <f>model!D28</f>
        <v>0.15894436947068524</v>
      </c>
      <c r="E13">
        <f>model!E28</f>
        <v>0</v>
      </c>
      <c r="F13">
        <f>model!F28</f>
        <v>0</v>
      </c>
    </row>
    <row r="14" spans="1:8" ht="12.25" customHeight="1">
      <c r="A14" t="s">
        <v>147</v>
      </c>
      <c r="B14">
        <f>B9</f>
        <v>7.0588235294117646E-2</v>
      </c>
      <c r="C14">
        <f>C9</f>
        <v>7.0588235294117646E-2</v>
      </c>
      <c r="D14">
        <f>D9</f>
        <v>0.06</v>
      </c>
      <c r="E14" t="str">
        <f>E9</f>
        <v>CPU-s/event</v>
      </c>
      <c r="F14" t="str">
        <f>F9</f>
        <v>Oct. 2016 David benchmark gave 250Hz for 16 threads on Ivy Bridge, 340Hz for 24 threads on Haswell, 600Hz for 36 threads on Broadwell</v>
      </c>
    </row>
    <row r="15" spans="1:8" ht="12.25" customHeight="1">
      <c r="A15" t="s">
        <v>148</v>
      </c>
      <c r="B15">
        <f>B7*$H$7*(B14+B13)/$H$4/$H$6</f>
        <v>3.2134564667072407</v>
      </c>
      <c r="C15">
        <f>C7*$H$7*(C14+C13)/$H$4/$H$6</f>
        <v>81.943139901034641</v>
      </c>
      <c r="D15">
        <f>D7*$H$7*(D14+D13)/$H$4/$H$6</f>
        <v>98.087077522866991</v>
      </c>
      <c r="E15" t="e">
        <f>E7*$H$7*(E14+E13)/$H$4/$H$6</f>
        <v>#VALUE!</v>
      </c>
      <c r="F15" t="e">
        <f>F7*$H$7*(F14+F13)/$H$4/$H$6</f>
        <v>#VALUE!</v>
      </c>
    </row>
    <row r="17" spans="1:6" ht="12.25" customHeight="1">
      <c r="A17" t="s">
        <v>149</v>
      </c>
      <c r="B17">
        <f>B11+B15</f>
        <v>3.7075741137660643</v>
      </c>
      <c r="C17">
        <f>C11+C15</f>
        <v>94.543139901034635</v>
      </c>
      <c r="D17">
        <f>D11+D15</f>
        <v>111.52707752286699</v>
      </c>
      <c r="E17" t="e">
        <f>E11+E15</f>
        <v>#VALUE!</v>
      </c>
      <c r="F17" t="e">
        <f>F11+F15</f>
        <v>#VALUE!</v>
      </c>
    </row>
    <row r="23" spans="1:6" ht="12.25" customHeight="1">
      <c r="A23" t="s">
        <v>150</v>
      </c>
      <c r="B23">
        <f>B7*$H8</f>
        <v>125193600000000.02</v>
      </c>
      <c r="C23">
        <f>C7*$H8</f>
        <v>3192436800000000.5</v>
      </c>
      <c r="D23">
        <f>D7*$H8</f>
        <v>4006195200000000.5</v>
      </c>
      <c r="E23" t="e">
        <f>E7*$H8</f>
        <v>#VALUE!</v>
      </c>
      <c r="F23" t="e">
        <f>F7*$H8</f>
        <v>#VALUE!</v>
      </c>
    </row>
    <row r="24" spans="1:6" ht="12.25" customHeight="1">
      <c r="A24" t="s">
        <v>151</v>
      </c>
      <c r="B24">
        <f>B23/1000000000000000</f>
        <v>0.12519360000000002</v>
      </c>
      <c r="C24">
        <f>C23/1000000000000000</f>
        <v>3.1924368000000003</v>
      </c>
      <c r="D24">
        <f>D23/1000000000000000</f>
        <v>4.0061952000000005</v>
      </c>
      <c r="E24" t="e">
        <f>E23/1000000000000000</f>
        <v>#VALUE!</v>
      </c>
      <c r="F24" t="e">
        <f>F23/1000000000000000</f>
        <v>#VALUE!</v>
      </c>
    </row>
    <row r="25" spans="1:6" ht="12.25" customHeight="1">
      <c r="A25" t="s">
        <v>152</v>
      </c>
      <c r="B25">
        <f>B24*$H9</f>
        <v>2.5038720000000004E-2</v>
      </c>
      <c r="C25">
        <f>C24*$H9</f>
        <v>0.63848736000000006</v>
      </c>
      <c r="D25">
        <f>D24*$H9</f>
        <v>0.80123904000000012</v>
      </c>
      <c r="E25" t="e">
        <f>E24*$H9</f>
        <v>#VALUE!</v>
      </c>
      <c r="F25" t="e">
        <f>F24*$H9</f>
        <v>#VALUE!</v>
      </c>
    </row>
    <row r="26" spans="1:6" ht="12.25" customHeight="1">
      <c r="A26" t="s">
        <v>153</v>
      </c>
      <c r="B26">
        <f>B24*(1+0.2*(2*1+2*2+2*0.05+5*0.1))</f>
        <v>0.2904491520000001</v>
      </c>
      <c r="C26">
        <f>C24*(1+0.2*(2*1+2*2+2*0.05+5*0.1))</f>
        <v>7.4064533760000018</v>
      </c>
      <c r="D26">
        <f>D24*(1+0.2*(2*1+2*2+2*0.05+5*0.1))</f>
        <v>9.2943728640000032</v>
      </c>
      <c r="E26" t="e">
        <f>E24*(1+0.2*(2*1+2*2+2*0.05+5*0.1))</f>
        <v>#VALUE!</v>
      </c>
      <c r="F26" t="e">
        <f>F24*(1+0.2*(2*1+2*2+2*0.05+5*0.1))</f>
        <v>#VALUE!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wait 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Ito</dc:creator>
  <cp:lastModifiedBy>David Lawrence</cp:lastModifiedBy>
  <cp:revision>2</cp:revision>
  <dcterms:created xsi:type="dcterms:W3CDTF">2015-02-05T18:55:24Z</dcterms:created>
  <dcterms:modified xsi:type="dcterms:W3CDTF">2016-10-30T01:11:06Z</dcterms:modified>
  <dc:language>en-US</dc:language>
</cp:coreProperties>
</file>