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9080" yWindow="0" windowWidth="26780" windowHeight="25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F42" i="1"/>
  <c r="G42" i="1"/>
  <c r="H42" i="1"/>
  <c r="D42" i="1"/>
  <c r="D43" i="1"/>
  <c r="D33" i="1"/>
  <c r="E43" i="1"/>
  <c r="E33" i="1"/>
  <c r="F43" i="1"/>
  <c r="F33" i="1"/>
  <c r="G43" i="1"/>
  <c r="G33" i="1"/>
  <c r="H43" i="1"/>
  <c r="H33" i="1"/>
  <c r="F31" i="1"/>
  <c r="D60" i="1"/>
  <c r="E38" i="1"/>
  <c r="E63" i="1"/>
  <c r="E64" i="1"/>
  <c r="F63" i="1"/>
  <c r="F64" i="1"/>
  <c r="G63" i="1"/>
  <c r="G64" i="1"/>
  <c r="H63" i="1"/>
  <c r="H64" i="1"/>
  <c r="E60" i="1"/>
  <c r="E65" i="1"/>
  <c r="F60" i="1"/>
  <c r="F65" i="1"/>
  <c r="G60" i="1"/>
  <c r="G65" i="1"/>
  <c r="H60" i="1"/>
  <c r="H65" i="1"/>
  <c r="D38" i="1"/>
  <c r="D63" i="1"/>
  <c r="D64" i="1"/>
  <c r="E61" i="1"/>
  <c r="E62" i="1"/>
  <c r="F61" i="1"/>
  <c r="F62" i="1"/>
  <c r="G61" i="1"/>
  <c r="G62" i="1"/>
  <c r="H61" i="1"/>
  <c r="H62" i="1"/>
  <c r="D61" i="1"/>
  <c r="D62" i="1"/>
  <c r="E52" i="1"/>
  <c r="E55" i="1"/>
  <c r="E53" i="1"/>
  <c r="E56" i="1"/>
  <c r="E57" i="1"/>
  <c r="F52" i="1"/>
  <c r="F55" i="1"/>
  <c r="F56" i="1"/>
  <c r="F57" i="1"/>
  <c r="G52" i="1"/>
  <c r="G55" i="1"/>
  <c r="G56" i="1"/>
  <c r="G57" i="1"/>
  <c r="H52" i="1"/>
  <c r="H55" i="1"/>
  <c r="H56" i="1"/>
  <c r="H57" i="1"/>
  <c r="D52" i="1"/>
  <c r="D55" i="1"/>
  <c r="D53" i="1"/>
  <c r="D56" i="1"/>
  <c r="D57" i="1"/>
  <c r="E48" i="1"/>
  <c r="E49" i="1"/>
  <c r="F48" i="1"/>
  <c r="F49" i="1"/>
  <c r="G48" i="1"/>
  <c r="G49" i="1"/>
  <c r="H48" i="1"/>
  <c r="H49" i="1"/>
  <c r="D48" i="1"/>
  <c r="D49" i="1"/>
  <c r="E40" i="1"/>
  <c r="E54" i="1"/>
  <c r="F54" i="1"/>
  <c r="G54" i="1"/>
  <c r="H54" i="1"/>
  <c r="D41" i="1"/>
  <c r="D40" i="1"/>
  <c r="E39" i="1"/>
  <c r="F39" i="1"/>
  <c r="G39" i="1"/>
  <c r="H39" i="1"/>
  <c r="E44" i="1"/>
  <c r="E45" i="1"/>
  <c r="E46" i="1"/>
  <c r="E47" i="1"/>
  <c r="E58" i="1"/>
  <c r="E31" i="1"/>
  <c r="G31" i="1"/>
  <c r="H31" i="1"/>
  <c r="C8" i="1"/>
  <c r="F38" i="1"/>
  <c r="G38" i="1"/>
  <c r="H38" i="1"/>
  <c r="D39" i="1"/>
  <c r="C7" i="1"/>
  <c r="C9" i="1"/>
  <c r="D65" i="1"/>
  <c r="E59" i="1"/>
  <c r="F59" i="1"/>
  <c r="G59" i="1"/>
  <c r="H59" i="1"/>
  <c r="D59" i="1"/>
  <c r="E41" i="1"/>
  <c r="F41" i="1"/>
  <c r="G41" i="1"/>
  <c r="H41" i="1"/>
  <c r="E67" i="1"/>
  <c r="E68" i="1"/>
  <c r="F67" i="1"/>
  <c r="F68" i="1"/>
  <c r="G67" i="1"/>
  <c r="G68" i="1"/>
  <c r="H67" i="1"/>
  <c r="H68" i="1"/>
  <c r="D67" i="1"/>
  <c r="D68" i="1"/>
  <c r="H66" i="1"/>
  <c r="H69" i="1"/>
  <c r="H70" i="1"/>
  <c r="H71" i="1"/>
  <c r="H53" i="1"/>
  <c r="H72" i="1"/>
  <c r="H73" i="1"/>
  <c r="G66" i="1"/>
  <c r="G69" i="1"/>
  <c r="G70" i="1"/>
  <c r="G71" i="1"/>
  <c r="G53" i="1"/>
  <c r="G72" i="1"/>
  <c r="G73" i="1"/>
  <c r="F66" i="1"/>
  <c r="F69" i="1"/>
  <c r="F70" i="1"/>
  <c r="F71" i="1"/>
  <c r="F53" i="1"/>
  <c r="F72" i="1"/>
  <c r="F73" i="1"/>
  <c r="E66" i="1"/>
  <c r="E69" i="1"/>
  <c r="E70" i="1"/>
  <c r="E71" i="1"/>
  <c r="E72" i="1"/>
  <c r="E73" i="1"/>
  <c r="D66" i="1"/>
  <c r="D69" i="1"/>
  <c r="D70" i="1"/>
  <c r="D71" i="1"/>
  <c r="D72" i="1"/>
  <c r="D73" i="1"/>
  <c r="H40" i="1"/>
  <c r="H58" i="1"/>
  <c r="G40" i="1"/>
  <c r="G58" i="1"/>
  <c r="F40" i="1"/>
  <c r="F58" i="1"/>
  <c r="D58" i="1"/>
  <c r="H50" i="1"/>
  <c r="H51" i="1"/>
  <c r="G50" i="1"/>
  <c r="G51" i="1"/>
  <c r="F50" i="1"/>
  <c r="F51" i="1"/>
  <c r="E50" i="1"/>
  <c r="E51" i="1"/>
  <c r="D50" i="1"/>
  <c r="D51" i="1"/>
  <c r="D54" i="1"/>
  <c r="H46" i="1"/>
  <c r="H47" i="1"/>
  <c r="G46" i="1"/>
  <c r="G47" i="1"/>
  <c r="F46" i="1"/>
  <c r="F47" i="1"/>
  <c r="D46" i="1"/>
  <c r="D47" i="1"/>
  <c r="H45" i="1"/>
  <c r="G45" i="1"/>
  <c r="F45" i="1"/>
  <c r="D45" i="1"/>
  <c r="H44" i="1"/>
  <c r="G44" i="1"/>
  <c r="F44" i="1"/>
  <c r="D44" i="1"/>
  <c r="H32" i="1"/>
  <c r="G32" i="1"/>
  <c r="F32" i="1"/>
  <c r="E32" i="1"/>
  <c r="D31" i="1"/>
  <c r="D32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<sst xmlns="http://schemas.openxmlformats.org/spreadsheetml/2006/main" count="170" uniqueCount="133">
  <si>
    <t>parameter</t>
  </si>
  <si>
    <t>Constants</t>
  </si>
  <si>
    <t>units</t>
  </si>
  <si>
    <t>comments</t>
  </si>
  <si>
    <t>running efficiency</t>
  </si>
  <si>
    <t>fraction of wall time when beam is on, either due to beam unavailable or detector not ready</t>
  </si>
  <si>
    <t>Time to reconstruct a single event on a 2.3 GHz Haswell</t>
  </si>
  <si>
    <t>DAQ event rate</t>
  </si>
  <si>
    <t>events/s</t>
  </si>
  <si>
    <t>raw data rate out of the counting room when beam is on</t>
  </si>
  <si>
    <t>raw event size</t>
  </si>
  <si>
    <t>bytes</t>
  </si>
  <si>
    <t>size of a single raw event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</si>
  <si>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</si>
  <si>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</si>
  <si>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</si>
  <si>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</si>
  <si>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</si>
  <si>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</si>
  <si>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</si>
  <si>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</si>
  <si>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</si>
  <si>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</si>
  <si>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stream repetition factor</t>
  </si>
  <si>
    <t>number of times streaming will be repeated</t>
  </si>
  <si>
    <t>MC/raw data event rate ratio</t>
  </si>
  <si>
    <t>ratio of number of Monte Carlo events needed to number of raw data events</t>
  </si>
  <si>
    <t>MC multiplicity factor</t>
  </si>
  <si>
    <t>number of times MC data will need to be generated</t>
  </si>
  <si>
    <t>analysis multiplicity factor</t>
  </si>
  <si>
    <t>number of analyses to be conducted</t>
  </si>
  <si>
    <t>data rate, tape to cache disk</t>
  </si>
  <si>
    <t>MB/s</t>
  </si>
  <si>
    <t>average rate from tape library to cache disk</t>
  </si>
  <si>
    <t>Pass 1 output to input size ratio</t>
  </si>
  <si>
    <t>ratio of output event size to input event size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</si>
  <si>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</si>
  <si>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</si>
  <si>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</si>
  <si>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</si>
  <si>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</si>
  <si>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number  of threads needed for all activities</t>
  </si>
  <si>
    <t>total number of threads needed for all activities</t>
  </si>
  <si>
    <t>total rate to tape</t>
  </si>
  <si>
    <t>effective event rate (per second)</t>
  </si>
  <si>
    <t>Event rate averaged over time</t>
  </si>
  <si>
    <t>number of threads to keep up with the raw event rate</t>
  </si>
  <si>
    <t>raw instantaneous storage rate</t>
  </si>
  <si>
    <t>data rate when beam is on</t>
  </si>
  <si>
    <t>raw effective storage rate</t>
  </si>
  <si>
    <t>average data volume rate</t>
  </si>
  <si>
    <t>number of threads of calibration to keep up</t>
  </si>
  <si>
    <t>number of threads of reconstruction to keep up</t>
  </si>
  <si>
    <t>single stream CPU need</t>
  </si>
  <si>
    <t>number of threads for one stream to keep up</t>
  </si>
  <si>
    <t>number of threads for streaming to keep up</t>
  </si>
  <si>
    <t>single stream output data rate</t>
  </si>
  <si>
    <t>total stream output data rate</t>
  </si>
  <si>
    <t>MC event size</t>
  </si>
  <si>
    <t>size of a single generated Monte Carlo event</t>
  </si>
  <si>
    <t>MC effective event rate</t>
  </si>
  <si>
    <t>event rate averaged over time of MC event generation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</si>
  <si>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</si>
  <si>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</si>
  <si>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</si>
  <si>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</si>
  <si>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number of threads needed for analysis</t>
  </si>
  <si>
    <t>raw data recording tape need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</si>
  <si>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</si>
  <si>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</si>
  <si>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</si>
  <si>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</si>
  <si>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</si>
  <si>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</si>
  <si>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</si>
  <si>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</si>
  <si>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</si>
  <si>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</si>
  <si>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</si>
  <si>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</si>
  <si>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</si>
  <si>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</si>
  <si>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</si>
  <si>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</si>
  <si>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</si>
  <si>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</si>
  <si>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</si>
  <si>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</si>
  <si>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</si>
  <si>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</si>
  <si>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</si>
  <si>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</si>
  <si>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</si>
  <si>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</si>
  <si>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</si>
  <si>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</si>
  <si>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total CPU cores needed</t>
  </si>
  <si>
    <t>total CPU cores needed exclusive of MC</t>
  </si>
  <si>
    <t>k cores</t>
  </si>
  <si>
    <t>single Pass 1 CPU cores needed</t>
  </si>
  <si>
    <t>pass 0 CPU cores need</t>
  </si>
  <si>
    <t>pass 1 CPU cores need</t>
  </si>
  <si>
    <t>stream CPU core need</t>
  </si>
  <si>
    <t>MC CPU core ratio per event, generation</t>
  </si>
  <si>
    <t>ratio of CPU core time required for generating a Monte Carlo event to that needed for reconstruction</t>
  </si>
  <si>
    <t>MC CPU core ratio per event, reconstruction</t>
  </si>
  <si>
    <t>ratio of CPU core time to reconstruct Monte Carlo events to that to reconstruct real data</t>
  </si>
  <si>
    <t>MC CPU core need</t>
  </si>
  <si>
    <t>analysis CPU core need</t>
  </si>
  <si>
    <t>reconstruction CPU core time per event</t>
  </si>
  <si>
    <t>MC CPU core time per event, generation</t>
  </si>
  <si>
    <t>MC CPU core time per event, reconstruction</t>
  </si>
  <si>
    <t>stream/pass-1 CPU core ratio</t>
  </si>
  <si>
    <t>ratio of CPU core time required for a skim stream to that needed for reconstruction</t>
  </si>
  <si>
    <t>analysis/pass-1 CPU core ratio</t>
  </si>
  <si>
    <t>ratio of CPU core time required for performing a physics analysis to that needed for reconstruction</t>
  </si>
  <si>
    <t>cores</t>
  </si>
  <si>
    <t>core-s/event</t>
  </si>
  <si>
    <t>fy15</t>
  </si>
  <si>
    <t>FY16</t>
  </si>
  <si>
    <t>fy17</t>
  </si>
  <si>
    <t>fy18</t>
  </si>
  <si>
    <t>fy19</t>
  </si>
  <si>
    <t>weeks running</t>
  </si>
  <si>
    <t>weeks</t>
  </si>
  <si>
    <t>amount of running in a year</t>
  </si>
  <si>
    <t>effective event rate (per year)</t>
  </si>
  <si>
    <t>events/yeae</t>
  </si>
  <si>
    <t>bytes/year</t>
  </si>
  <si>
    <t>TB/year</t>
  </si>
  <si>
    <t>PB/y</t>
  </si>
  <si>
    <t>TB/Q</t>
  </si>
  <si>
    <t>Rate of writing tape in TB per quarter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</si>
</sst>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2"/>
      <color indexed="15"/>
      <name val="Calibri"/>
    </font>
    <font>
      <sz val="12"/>
      <color rgb="FF006100"/>
      <name val="Helvetica"/>
      <family val="2"/>
      <scheme val="minor"/>
    </font>
    <font>
      <u/>
      <sz val="12"/>
      <color theme="10"/>
      <name val="Verdana"/>
    </font>
    <font>
      <u/>
      <sz val="12"/>
      <color theme="11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A8CDE3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2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0" fontId="3" fillId="0" borderId="3" xfId="0" applyFont="1" applyBorder="1" applyAlignment="1"/>
    <xf numFmtId="0" fontId="3" fillId="0" borderId="4" xfId="0" applyNumberFormat="1" applyFont="1" applyBorder="1" applyAlignment="1"/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/>
    <xf numFmtId="164" fontId="2" fillId="0" borderId="3" xfId="0" applyNumberFormat="1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6" xfId="0" applyNumberFormat="1" applyFont="1" applyBorder="1" applyAlignment="1">
      <alignment horizontal="center"/>
    </xf>
    <xf numFmtId="0" fontId="2" fillId="2" borderId="7" xfId="0" applyNumberFormat="1" applyFont="1" applyFill="1" applyBorder="1" applyAlignment="1"/>
    <xf numFmtId="2" fontId="2" fillId="0" borderId="3" xfId="0" applyNumberFormat="1" applyFont="1" applyBorder="1" applyAlignment="1"/>
    <xf numFmtId="0" fontId="2" fillId="0" borderId="9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165" fontId="2" fillId="0" borderId="2" xfId="0" applyNumberFormat="1" applyFont="1" applyBorder="1" applyAlignment="1"/>
    <xf numFmtId="11" fontId="2" fillId="0" borderId="2" xfId="0" applyNumberFormat="1" applyFont="1" applyBorder="1" applyAlignment="1"/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0" fontId="2" fillId="0" borderId="10" xfId="0" applyNumberFormat="1" applyFont="1" applyBorder="1" applyAlignment="1"/>
    <xf numFmtId="2" fontId="2" fillId="0" borderId="2" xfId="0" applyNumberFormat="1" applyFont="1" applyBorder="1" applyAlignment="1"/>
    <xf numFmtId="0" fontId="2" fillId="0" borderId="2" xfId="0" applyFont="1" applyBorder="1" applyAlignment="1"/>
    <xf numFmtId="0" fontId="2" fillId="0" borderId="0" xfId="0" applyNumberFormat="1" applyFont="1" applyAlignment="1"/>
    <xf numFmtId="165" fontId="2" fillId="0" borderId="3" xfId="0" applyNumberFormat="1" applyFont="1" applyBorder="1" applyAlignment="1"/>
    <xf numFmtId="0" fontId="5" fillId="3" borderId="2" xfId="1" applyNumberFormat="1" applyBorder="1" applyAlignment="1"/>
    <xf numFmtId="0" fontId="5" fillId="3" borderId="3" xfId="1" applyNumberFormat="1" applyBorder="1" applyAlignment="1"/>
    <xf numFmtId="0" fontId="2" fillId="5" borderId="2" xfId="0" applyNumberFormat="1" applyFont="1" applyFill="1" applyBorder="1" applyAlignment="1"/>
    <xf numFmtId="0" fontId="1" fillId="4" borderId="2" xfId="2" applyNumberFormat="1" applyBorder="1" applyAlignment="1"/>
    <xf numFmtId="164" fontId="1" fillId="4" borderId="2" xfId="2" applyNumberFormat="1" applyBorder="1" applyAlignment="1"/>
    <xf numFmtId="0" fontId="1" fillId="4" borderId="2" xfId="2" applyBorder="1" applyAlignment="1"/>
    <xf numFmtId="1" fontId="1" fillId="4" borderId="1" xfId="2" applyNumberFormat="1" applyBorder="1" applyAlignment="1"/>
    <xf numFmtId="1" fontId="1" fillId="4" borderId="2" xfId="2" applyNumberFormat="1" applyBorder="1" applyAlignment="1"/>
    <xf numFmtId="0" fontId="1" fillId="4" borderId="1" xfId="2" applyNumberFormat="1" applyBorder="1" applyAlignment="1"/>
    <xf numFmtId="2" fontId="5" fillId="3" borderId="2" xfId="1" applyNumberFormat="1" applyBorder="1" applyAlignment="1"/>
    <xf numFmtId="1" fontId="5" fillId="3" borderId="2" xfId="1" applyNumberFormat="1" applyBorder="1" applyAlignment="1"/>
    <xf numFmtId="0" fontId="5" fillId="6" borderId="2" xfId="1" applyNumberFormat="1" applyFill="1" applyBorder="1" applyAlignment="1"/>
    <xf numFmtId="0" fontId="5" fillId="6" borderId="3" xfId="1" applyNumberFormat="1" applyFill="1" applyBorder="1" applyAlignment="1"/>
  </cellXfs>
  <cellStyles count="7">
    <cellStyle name="40% - Accent1" xfId="2" builtinId="31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83CAFF"/>
      <rgbColor rgb="FFC0C0C0"/>
      <rgbColor rgb="FFFFFFCC"/>
      <rgbColor rgb="FFFF5F5D"/>
      <rgbColor rgb="FF008000"/>
      <rgbColor rgb="FFCCFFCC"/>
      <rgbColor rgb="FFFFE06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4"/>
  <sheetViews>
    <sheetView showGridLines="0" tabSelected="1" topLeftCell="A3" workbookViewId="0">
      <selection activeCell="J34" sqref="J34"/>
    </sheetView>
  </sheetViews>
  <sheetFormatPr baseColWidth="10" defaultColWidth="8.625" defaultRowHeight="12" customHeight="1" x14ac:dyDescent="0"/>
  <cols>
    <col min="1" max="1" width="6.5" style="1" customWidth="1"/>
    <col min="2" max="2" width="28.5" style="1" customWidth="1"/>
    <col min="3" max="3" width="12.875" style="1" customWidth="1"/>
    <col min="4" max="8" width="9.5" style="1" customWidth="1"/>
    <col min="9" max="9" width="7.75" style="1" customWidth="1"/>
    <col min="10" max="10" width="53.125" style="1" customWidth="1"/>
    <col min="11" max="255" width="8.625" style="1" customWidth="1"/>
  </cols>
  <sheetData>
    <row r="1" spans="1:255" ht="16" customHeight="1">
      <c r="B1" s="2" t="s">
        <v>0</v>
      </c>
      <c r="C1" s="3" t="s">
        <v>1</v>
      </c>
      <c r="D1" s="4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6" t="s">
        <v>2</v>
      </c>
      <c r="J1" s="2" t="s">
        <v>3</v>
      </c>
    </row>
    <row r="2" spans="1:255" ht="16" customHeight="1">
      <c r="B2" s="8" t="s">
        <v>123</v>
      </c>
      <c r="C2" s="7"/>
      <c r="D2" s="40">
        <v>2</v>
      </c>
      <c r="E2" s="40">
        <v>16</v>
      </c>
      <c r="F2" s="40">
        <v>25</v>
      </c>
      <c r="G2" s="40">
        <v>18</v>
      </c>
      <c r="H2" s="41">
        <v>22</v>
      </c>
      <c r="I2" s="9" t="s">
        <v>124</v>
      </c>
      <c r="J2" s="8" t="s">
        <v>125</v>
      </c>
    </row>
    <row r="3" spans="1:255" ht="16" customHeight="1">
      <c r="B3" s="8" t="s">
        <v>4</v>
      </c>
      <c r="C3" s="7"/>
      <c r="D3" s="42">
        <v>0.5</v>
      </c>
      <c r="E3" s="42">
        <v>0.5</v>
      </c>
      <c r="F3" s="42">
        <v>0.5</v>
      </c>
      <c r="G3" s="42">
        <v>0.5</v>
      </c>
      <c r="H3" s="37">
        <v>0.5</v>
      </c>
      <c r="I3" s="9"/>
      <c r="J3" s="10" t="s">
        <v>5</v>
      </c>
    </row>
    <row r="4" spans="1:255" ht="16" customHeight="1">
      <c r="A4" s="32"/>
      <c r="B4" s="8" t="s">
        <v>7</v>
      </c>
      <c r="C4" s="36"/>
      <c r="D4" s="37">
        <v>20000</v>
      </c>
      <c r="E4" s="37">
        <v>20000</v>
      </c>
      <c r="F4" s="37">
        <v>20000</v>
      </c>
      <c r="G4" s="37">
        <v>20000</v>
      </c>
      <c r="H4" s="37">
        <v>20000</v>
      </c>
      <c r="I4" s="9" t="s">
        <v>8</v>
      </c>
      <c r="J4" s="8" t="s">
        <v>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</row>
    <row r="5" spans="1:255" ht="16" customHeight="1">
      <c r="A5" s="32"/>
      <c r="B5" s="8" t="s">
        <v>10</v>
      </c>
      <c r="C5" s="36"/>
      <c r="D5" s="37">
        <v>18000</v>
      </c>
      <c r="E5" s="37">
        <v>18000</v>
      </c>
      <c r="F5" s="37">
        <v>18000</v>
      </c>
      <c r="G5" s="37">
        <v>18000</v>
      </c>
      <c r="H5" s="37">
        <v>18000</v>
      </c>
      <c r="I5" s="9" t="s">
        <v>11</v>
      </c>
      <c r="J5" s="8" t="s">
        <v>12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</row>
    <row r="6" spans="1:255" ht="16" customHeight="1">
      <c r="B6" s="7"/>
      <c r="C6" s="38"/>
      <c r="D6" s="11"/>
      <c r="E6" s="11"/>
      <c r="F6" s="11"/>
      <c r="G6" s="11"/>
      <c r="H6" s="11"/>
      <c r="I6" s="12"/>
      <c r="J6" s="13"/>
    </row>
    <row r="7" spans="1:255" ht="16" customHeight="1">
      <c r="B7" s="8" t="s">
        <v>109</v>
      </c>
      <c r="C7" s="38">
        <f>1/22</f>
        <v>4.5454545454545456E-2</v>
      </c>
      <c r="D7" s="11"/>
      <c r="E7" s="11"/>
      <c r="F7" s="11"/>
      <c r="G7" s="11"/>
      <c r="H7" s="11"/>
      <c r="I7" s="15" t="s">
        <v>117</v>
      </c>
      <c r="J7" s="16" t="s">
        <v>6</v>
      </c>
    </row>
    <row r="8" spans="1:255" ht="16" customHeight="1">
      <c r="B8" s="8" t="s">
        <v>110</v>
      </c>
      <c r="C8" s="38">
        <f>0.1589</f>
        <v>0.15890000000000001</v>
      </c>
      <c r="D8" s="17"/>
      <c r="E8" s="17"/>
      <c r="F8" s="17"/>
      <c r="G8" s="17"/>
      <c r="H8" s="17"/>
      <c r="I8" s="15" t="s">
        <v>117</v>
      </c>
      <c r="J8" s="18"/>
    </row>
    <row r="9" spans="1:255" ht="16" customHeight="1">
      <c r="B9" s="8" t="s">
        <v>111</v>
      </c>
      <c r="C9" s="38">
        <f>1/22</f>
        <v>4.5454545454545456E-2</v>
      </c>
      <c r="D9" s="17"/>
      <c r="E9" s="17"/>
      <c r="F9" s="17"/>
      <c r="G9" s="17"/>
      <c r="H9" s="17"/>
      <c r="I9" s="15" t="s">
        <v>117</v>
      </c>
      <c r="J9" s="14"/>
    </row>
    <row r="10" spans="1:255" ht="16" customHeight="1">
      <c r="B10" s="7"/>
      <c r="C10" s="39"/>
      <c r="D10" s="19"/>
      <c r="E10" s="19"/>
      <c r="F10" s="19"/>
      <c r="G10" s="19"/>
      <c r="H10" s="19"/>
      <c r="I10" s="20"/>
      <c r="J10" s="7"/>
    </row>
    <row r="11" spans="1:255" ht="16" customHeight="1">
      <c r="A11" s="32"/>
      <c r="B11" s="7"/>
      <c r="C11" s="39"/>
      <c r="D11" s="19"/>
      <c r="E11" s="19"/>
      <c r="F11" s="19"/>
      <c r="G11" s="19"/>
      <c r="H11" s="19"/>
      <c r="I11" s="20"/>
      <c r="J11" s="7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</row>
    <row r="12" spans="1:255" ht="16" customHeight="1">
      <c r="B12" s="7"/>
      <c r="C12" s="39"/>
      <c r="D12" s="19"/>
      <c r="E12" s="19"/>
      <c r="F12" s="19"/>
      <c r="G12" s="19"/>
      <c r="H12" s="19"/>
      <c r="I12" s="20"/>
      <c r="J12" s="7"/>
    </row>
    <row r="13" spans="1:255" ht="16" customHeight="1">
      <c r="B13" s="8" t="s">
        <v>13</v>
      </c>
      <c r="C13" s="37">
        <v>0.05</v>
      </c>
      <c r="D13" s="19"/>
      <c r="E13" s="19"/>
      <c r="F13" s="19"/>
      <c r="G13" s="19"/>
      <c r="H13" s="19"/>
      <c r="I13" s="9"/>
      <c r="J13" s="8" t="s">
        <v>14</v>
      </c>
    </row>
    <row r="14" spans="1:255" ht="16" customHeight="1">
      <c r="B14" s="8" t="s">
        <v>15</v>
      </c>
      <c r="C14" s="37">
        <v>2</v>
      </c>
      <c r="D14" s="19"/>
      <c r="E14" s="19"/>
      <c r="F14" s="19"/>
      <c r="G14" s="19"/>
      <c r="H14" s="19"/>
      <c r="I14" s="9"/>
      <c r="J14" s="8" t="s">
        <v>16</v>
      </c>
    </row>
    <row r="15" spans="1:255" ht="16" customHeight="1">
      <c r="B15" s="8" t="s">
        <v>17</v>
      </c>
      <c r="C15" s="37">
        <v>2</v>
      </c>
      <c r="D15" s="19"/>
      <c r="E15" s="19"/>
      <c r="F15" s="19"/>
      <c r="G15" s="19"/>
      <c r="H15" s="19"/>
      <c r="I15" s="9"/>
      <c r="J15" s="8" t="s">
        <v>18</v>
      </c>
    </row>
    <row r="16" spans="1:255" ht="16" customHeight="1">
      <c r="B16" s="7"/>
      <c r="C16" s="39"/>
      <c r="D16" s="19"/>
      <c r="E16" s="19"/>
      <c r="F16" s="19"/>
      <c r="G16" s="19"/>
      <c r="H16" s="19"/>
      <c r="I16" s="20"/>
      <c r="J16" s="7"/>
    </row>
    <row r="17" spans="2:10" ht="16" customHeight="1">
      <c r="B17" s="8" t="s">
        <v>112</v>
      </c>
      <c r="C17" s="37">
        <v>0.1</v>
      </c>
      <c r="D17" s="19"/>
      <c r="E17" s="19"/>
      <c r="F17" s="19"/>
      <c r="G17" s="19"/>
      <c r="H17" s="19"/>
      <c r="I17" s="9"/>
      <c r="J17" s="8" t="s">
        <v>113</v>
      </c>
    </row>
    <row r="18" spans="2:10" ht="16" customHeight="1">
      <c r="B18" s="8" t="s">
        <v>19</v>
      </c>
      <c r="C18" s="37">
        <v>0.1</v>
      </c>
      <c r="D18" s="19"/>
      <c r="E18" s="19"/>
      <c r="F18" s="19"/>
      <c r="G18" s="19"/>
      <c r="H18" s="19"/>
      <c r="I18" s="9"/>
      <c r="J18" s="8" t="s">
        <v>20</v>
      </c>
    </row>
    <row r="19" spans="2:10" ht="16" customHeight="1">
      <c r="B19" s="8" t="s">
        <v>21</v>
      </c>
      <c r="C19" s="37">
        <v>5</v>
      </c>
      <c r="D19" s="19"/>
      <c r="E19" s="19"/>
      <c r="F19" s="19"/>
      <c r="G19" s="19"/>
      <c r="H19" s="19"/>
      <c r="I19" s="9"/>
      <c r="J19" s="8" t="s">
        <v>22</v>
      </c>
    </row>
    <row r="20" spans="2:10" ht="16" customHeight="1">
      <c r="B20" s="8" t="s">
        <v>23</v>
      </c>
      <c r="C20" s="37">
        <v>2</v>
      </c>
      <c r="D20" s="19"/>
      <c r="E20" s="19"/>
      <c r="F20" s="19"/>
      <c r="G20" s="19"/>
      <c r="H20" s="19"/>
      <c r="I20" s="9"/>
      <c r="J20" s="8" t="s">
        <v>24</v>
      </c>
    </row>
    <row r="21" spans="2:10" ht="16" customHeight="1">
      <c r="B21" s="8" t="s">
        <v>25</v>
      </c>
      <c r="C21" s="37">
        <v>2</v>
      </c>
      <c r="D21" s="19"/>
      <c r="E21" s="19"/>
      <c r="F21" s="19"/>
      <c r="G21" s="19"/>
      <c r="H21" s="19"/>
      <c r="I21" s="9"/>
      <c r="J21" s="8" t="s">
        <v>26</v>
      </c>
    </row>
    <row r="22" spans="2:10" ht="16" customHeight="1">
      <c r="B22" s="8" t="s">
        <v>27</v>
      </c>
      <c r="C22" s="37">
        <v>2</v>
      </c>
      <c r="D22" s="19"/>
      <c r="E22" s="19"/>
      <c r="F22" s="19"/>
      <c r="G22" s="19"/>
      <c r="H22" s="19"/>
      <c r="I22" s="9"/>
      <c r="J22" s="8" t="s">
        <v>28</v>
      </c>
    </row>
    <row r="23" spans="2:10" ht="16" customHeight="1">
      <c r="B23" s="8" t="s">
        <v>114</v>
      </c>
      <c r="C23" s="37">
        <v>0.1</v>
      </c>
      <c r="D23" s="19"/>
      <c r="E23" s="19"/>
      <c r="F23" s="19"/>
      <c r="G23" s="19"/>
      <c r="H23" s="19"/>
      <c r="I23" s="9"/>
      <c r="J23" s="8" t="s">
        <v>115</v>
      </c>
    </row>
    <row r="24" spans="2:10" ht="16" customHeight="1">
      <c r="B24" s="8" t="s">
        <v>29</v>
      </c>
      <c r="C24" s="37">
        <v>10</v>
      </c>
      <c r="D24" s="19"/>
      <c r="E24" s="19"/>
      <c r="F24" s="19"/>
      <c r="G24" s="19"/>
      <c r="H24" s="19"/>
      <c r="I24" s="9"/>
      <c r="J24" s="8" t="s">
        <v>30</v>
      </c>
    </row>
    <row r="25" spans="2:10" ht="16" customHeight="1">
      <c r="B25" s="8" t="s">
        <v>31</v>
      </c>
      <c r="C25" s="37">
        <v>160</v>
      </c>
      <c r="D25" s="19"/>
      <c r="E25" s="19"/>
      <c r="F25" s="19"/>
      <c r="G25" s="19"/>
      <c r="H25" s="19"/>
      <c r="I25" s="9" t="s">
        <v>32</v>
      </c>
      <c r="J25" s="8" t="s">
        <v>33</v>
      </c>
    </row>
    <row r="26" spans="2:10" ht="16" customHeight="1">
      <c r="B26" s="8" t="s">
        <v>34</v>
      </c>
      <c r="C26" s="37">
        <v>0.2</v>
      </c>
      <c r="D26" s="19"/>
      <c r="E26" s="19"/>
      <c r="F26" s="19"/>
      <c r="G26" s="19"/>
      <c r="H26" s="19"/>
      <c r="I26" s="9"/>
      <c r="J26" s="8" t="s">
        <v>35</v>
      </c>
    </row>
    <row r="27" spans="2:10" ht="19" customHeight="1">
      <c r="B27" s="7"/>
      <c r="C27" s="21"/>
      <c r="D27" s="22"/>
      <c r="E27" s="22"/>
      <c r="F27" s="22"/>
      <c r="G27" s="22"/>
      <c r="H27" s="22"/>
      <c r="I27" s="20"/>
      <c r="J27" s="7"/>
    </row>
    <row r="28" spans="2:10" ht="19" customHeight="1">
      <c r="B28" s="8" t="s">
        <v>36</v>
      </c>
      <c r="C28" s="8"/>
      <c r="D28" s="45">
        <v>20</v>
      </c>
      <c r="E28" s="46">
        <v>20</v>
      </c>
      <c r="F28" s="46">
        <v>20</v>
      </c>
      <c r="G28" s="46">
        <v>20</v>
      </c>
      <c r="H28" s="46">
        <v>20</v>
      </c>
      <c r="I28" s="9" t="s">
        <v>37</v>
      </c>
      <c r="J28" s="8" t="s">
        <v>38</v>
      </c>
    </row>
    <row r="29" spans="2:10" ht="19" customHeight="1">
      <c r="B29" s="8" t="s">
        <v>39</v>
      </c>
      <c r="C29" s="8"/>
      <c r="D29" s="34">
        <f>D28*$C24</f>
        <v>200</v>
      </c>
      <c r="E29" s="35">
        <f>E28*$C24</f>
        <v>200</v>
      </c>
      <c r="F29" s="35">
        <f>F28*$C24</f>
        <v>200</v>
      </c>
      <c r="G29" s="35">
        <f>G28*$C24</f>
        <v>200</v>
      </c>
      <c r="H29" s="35">
        <f>H28*$C24</f>
        <v>200</v>
      </c>
      <c r="I29" s="9" t="s">
        <v>37</v>
      </c>
      <c r="J29" s="8" t="s">
        <v>40</v>
      </c>
    </row>
    <row r="30" spans="2:10" ht="19" customHeight="1">
      <c r="B30" s="7"/>
      <c r="C30" s="8"/>
      <c r="D30" s="21"/>
      <c r="E30" s="22"/>
      <c r="F30" s="22"/>
      <c r="G30" s="22"/>
      <c r="H30" s="22"/>
      <c r="I30" s="20"/>
      <c r="J30" s="7"/>
    </row>
    <row r="31" spans="2:10" ht="19" customHeight="1">
      <c r="B31" s="8" t="s">
        <v>96</v>
      </c>
      <c r="C31" s="8"/>
      <c r="D31" s="43">
        <f>(D44+D45+D47+D54+D58)/1000</f>
        <v>0.38474867774251759</v>
      </c>
      <c r="E31" s="43">
        <f t="shared" ref="E31:H31" si="0">(E44+E45+E47+E54+E58)/1000</f>
        <v>3.0779894219401407</v>
      </c>
      <c r="F31" s="43">
        <f>(F44+F45+F47+F54+F58)/1000</f>
        <v>4.8093584717814704</v>
      </c>
      <c r="G31" s="43">
        <f t="shared" si="0"/>
        <v>3.4627380996826584</v>
      </c>
      <c r="H31" s="43">
        <f t="shared" si="0"/>
        <v>4.2322354551676939</v>
      </c>
      <c r="I31" s="9" t="s">
        <v>98</v>
      </c>
      <c r="J31" s="8" t="s">
        <v>41</v>
      </c>
    </row>
    <row r="32" spans="2:10" ht="16" customHeight="1">
      <c r="B32" s="8" t="s">
        <v>97</v>
      </c>
      <c r="C32" s="8"/>
      <c r="D32" s="30">
        <f>D31-D54/1000</f>
        <v>7.1433015991537563E-2</v>
      </c>
      <c r="E32" s="17">
        <f>E31-E54/1000</f>
        <v>0.5714641279323005</v>
      </c>
      <c r="F32" s="17">
        <f>F31-F54/1000</f>
        <v>0.89291269989421984</v>
      </c>
      <c r="G32" s="17">
        <f>G31-G54/1000</f>
        <v>0.64289714392383823</v>
      </c>
      <c r="H32" s="17">
        <f>H31-H54/1000</f>
        <v>0.78576317590691369</v>
      </c>
      <c r="I32" s="9" t="s">
        <v>98</v>
      </c>
      <c r="J32" s="8" t="s">
        <v>42</v>
      </c>
    </row>
    <row r="33" spans="2:10" ht="16" customHeight="1">
      <c r="B33" s="8" t="s">
        <v>43</v>
      </c>
      <c r="C33" s="8"/>
      <c r="D33" s="44">
        <f>(D43/1000+D62+D64+D49+D57)*1000/4</f>
        <v>186.08292665297736</v>
      </c>
      <c r="E33" s="44">
        <f t="shared" ref="E33:H33" si="1">(E43/1000+E62+E64+E49+E57)*1000/4</f>
        <v>1488.6634132238189</v>
      </c>
      <c r="F33" s="44">
        <f t="shared" si="1"/>
        <v>2326.0365831622175</v>
      </c>
      <c r="G33" s="44">
        <f t="shared" si="1"/>
        <v>1674.7463398767968</v>
      </c>
      <c r="H33" s="44">
        <f t="shared" si="1"/>
        <v>2046.9121931827519</v>
      </c>
      <c r="I33" s="9" t="s">
        <v>131</v>
      </c>
      <c r="J33" s="8" t="s">
        <v>132</v>
      </c>
    </row>
    <row r="34" spans="2:10" ht="16" customHeight="1">
      <c r="B34" s="7"/>
      <c r="C34" s="7"/>
      <c r="D34" s="25"/>
      <c r="E34" s="24"/>
      <c r="F34" s="24"/>
      <c r="G34" s="24"/>
      <c r="H34" s="24"/>
      <c r="I34" s="20"/>
      <c r="J34" s="7"/>
    </row>
    <row r="35" spans="2:10" ht="16" customHeight="1">
      <c r="B35" s="7"/>
      <c r="C35" s="7"/>
      <c r="D35" s="25"/>
      <c r="E35" s="24"/>
      <c r="F35" s="24"/>
      <c r="G35" s="24"/>
      <c r="H35" s="24"/>
      <c r="I35" s="20"/>
      <c r="J35" s="7"/>
    </row>
    <row r="36" spans="2:10" ht="16" customHeight="1">
      <c r="B36" s="7"/>
      <c r="C36" s="7"/>
      <c r="D36" s="25"/>
      <c r="E36" s="24"/>
      <c r="F36" s="24"/>
      <c r="G36" s="24"/>
      <c r="H36" s="24"/>
      <c r="I36" s="20"/>
      <c r="J36" s="7"/>
    </row>
    <row r="37" spans="2:10" ht="16" customHeight="1">
      <c r="B37" s="7"/>
      <c r="C37" s="7"/>
      <c r="D37" s="25"/>
      <c r="E37" s="24"/>
      <c r="F37" s="24"/>
      <c r="G37" s="24"/>
      <c r="H37" s="24"/>
      <c r="I37" s="20"/>
      <c r="J37" s="7"/>
    </row>
    <row r="38" spans="2:10" ht="16" customHeight="1">
      <c r="B38" s="8" t="s">
        <v>44</v>
      </c>
      <c r="C38" s="8"/>
      <c r="D38" s="25">
        <f>D4*D2/(365.25/7)*D3</f>
        <v>383.29911019849419</v>
      </c>
      <c r="E38" s="25">
        <f t="shared" ref="E38:H38" si="2">E4*E2/(365.25/7)*E3</f>
        <v>3066.3928815879535</v>
      </c>
      <c r="F38" s="25">
        <f t="shared" si="2"/>
        <v>4791.238877481177</v>
      </c>
      <c r="G38" s="25">
        <f t="shared" si="2"/>
        <v>3449.6919917864475</v>
      </c>
      <c r="H38" s="25">
        <f t="shared" si="2"/>
        <v>4216.2902121834359</v>
      </c>
      <c r="I38" s="9" t="s">
        <v>8</v>
      </c>
      <c r="J38" s="8" t="s">
        <v>45</v>
      </c>
    </row>
    <row r="39" spans="2:10" ht="16" customHeight="1">
      <c r="B39" s="8" t="s">
        <v>126</v>
      </c>
      <c r="C39" s="7"/>
      <c r="D39" s="26">
        <f>D38*365*24*60*60</f>
        <v>12087720739.219711</v>
      </c>
      <c r="E39" s="26">
        <f>E38*365*24*60*60</f>
        <v>96701765913.75769</v>
      </c>
      <c r="F39" s="26">
        <f t="shared" ref="F39:H39" si="3">F38*365*24*60*60</f>
        <v>151096509240.2464</v>
      </c>
      <c r="G39" s="26">
        <f t="shared" si="3"/>
        <v>108789486652.97742</v>
      </c>
      <c r="H39" s="26">
        <f t="shared" si="3"/>
        <v>132964928131.41684</v>
      </c>
      <c r="I39" s="9" t="s">
        <v>127</v>
      </c>
      <c r="J39" s="10" t="s">
        <v>45</v>
      </c>
    </row>
    <row r="40" spans="2:10" ht="16" customHeight="1">
      <c r="B40" s="8" t="s">
        <v>99</v>
      </c>
      <c r="C40" s="7"/>
      <c r="D40" s="27">
        <f>D38*$C7</f>
        <v>17.422686827204281</v>
      </c>
      <c r="E40" s="28">
        <f>E38*$C7</f>
        <v>139.38149461763425</v>
      </c>
      <c r="F40" s="28">
        <f>F38*$C7</f>
        <v>217.78358534005352</v>
      </c>
      <c r="G40" s="28">
        <f>G38*$C7</f>
        <v>156.80418144483852</v>
      </c>
      <c r="H40" s="28">
        <f>H38*$C7</f>
        <v>191.6495550992471</v>
      </c>
      <c r="I40" s="9" t="s">
        <v>116</v>
      </c>
      <c r="J40" s="29" t="s">
        <v>46</v>
      </c>
    </row>
    <row r="41" spans="2:10" ht="16" customHeight="1">
      <c r="B41" s="8" t="s">
        <v>47</v>
      </c>
      <c r="C41" s="7"/>
      <c r="D41" s="23">
        <f>D4*D5/1000000</f>
        <v>360</v>
      </c>
      <c r="E41" s="23">
        <f t="shared" ref="E41:H41" si="4">E4*E5/1000000</f>
        <v>360</v>
      </c>
      <c r="F41" s="23">
        <f t="shared" si="4"/>
        <v>360</v>
      </c>
      <c r="G41" s="23">
        <f t="shared" si="4"/>
        <v>360</v>
      </c>
      <c r="H41" s="23">
        <f t="shared" si="4"/>
        <v>360</v>
      </c>
      <c r="I41" s="9" t="s">
        <v>32</v>
      </c>
      <c r="J41" s="8" t="s">
        <v>48</v>
      </c>
    </row>
    <row r="42" spans="2:10" ht="16" customHeight="1">
      <c r="B42" s="8" t="s">
        <v>49</v>
      </c>
      <c r="C42" s="7"/>
      <c r="D42" s="26">
        <f>D39*D5*2</f>
        <v>435157946611909.62</v>
      </c>
      <c r="E42" s="26">
        <f t="shared" ref="E42:H42" si="5">E39*E5*2</f>
        <v>3481263572895277</v>
      </c>
      <c r="F42" s="26">
        <f t="shared" si="5"/>
        <v>5439474332648870</v>
      </c>
      <c r="G42" s="26">
        <f t="shared" si="5"/>
        <v>3916421519507187</v>
      </c>
      <c r="H42" s="26">
        <f t="shared" si="5"/>
        <v>4786737412731006</v>
      </c>
      <c r="I42" s="9" t="s">
        <v>128</v>
      </c>
      <c r="J42" s="8" t="s">
        <v>50</v>
      </c>
    </row>
    <row r="43" spans="2:10" ht="16" customHeight="1">
      <c r="B43" s="8" t="s">
        <v>49</v>
      </c>
      <c r="C43" s="7"/>
      <c r="D43" s="27">
        <f>D42/1000000000000</f>
        <v>435.15794661190961</v>
      </c>
      <c r="E43" s="28">
        <f>E42/1000000000000</f>
        <v>3481.2635728952769</v>
      </c>
      <c r="F43" s="28">
        <f>F42/1000000000000</f>
        <v>5439.4743326488697</v>
      </c>
      <c r="G43" s="28">
        <f>G42/1000000000000</f>
        <v>3916.421519507187</v>
      </c>
      <c r="H43" s="28">
        <f>H42/1000000000000</f>
        <v>4786.7374127310059</v>
      </c>
      <c r="I43" s="9" t="s">
        <v>129</v>
      </c>
      <c r="J43" s="8" t="s">
        <v>50</v>
      </c>
    </row>
    <row r="44" spans="2:10" ht="16" customHeight="1">
      <c r="B44" s="8" t="s">
        <v>100</v>
      </c>
      <c r="C44" s="7"/>
      <c r="D44" s="27">
        <f>$C13*$C15*D40</f>
        <v>1.7422686827204281</v>
      </c>
      <c r="E44" s="28">
        <f>$C13*$C15*E40</f>
        <v>13.938149461763425</v>
      </c>
      <c r="F44" s="28">
        <f>$C13*$C15*F40</f>
        <v>21.778358534005353</v>
      </c>
      <c r="G44" s="28">
        <f>$C13*$C15*G40</f>
        <v>15.680418144483852</v>
      </c>
      <c r="H44" s="28">
        <f>$C13*$C15*H40</f>
        <v>19.16495550992471</v>
      </c>
      <c r="I44" s="9" t="s">
        <v>116</v>
      </c>
      <c r="J44" s="8" t="s">
        <v>51</v>
      </c>
    </row>
    <row r="45" spans="2:10" ht="16" customHeight="1">
      <c r="B45" s="8" t="s">
        <v>101</v>
      </c>
      <c r="C45" s="7"/>
      <c r="D45" s="27">
        <f>$C14*D40</f>
        <v>34.845373654408561</v>
      </c>
      <c r="E45" s="28">
        <f>$C14*E40</f>
        <v>278.76298923526849</v>
      </c>
      <c r="F45" s="28">
        <f>$C14*F40</f>
        <v>435.56717068010704</v>
      </c>
      <c r="G45" s="28">
        <f>$C14*G40</f>
        <v>313.60836288967704</v>
      </c>
      <c r="H45" s="28">
        <f>$C14*H40</f>
        <v>383.29911019849419</v>
      </c>
      <c r="I45" s="9" t="s">
        <v>116</v>
      </c>
      <c r="J45" s="8" t="s">
        <v>52</v>
      </c>
    </row>
    <row r="46" spans="2:10" ht="16" customHeight="1">
      <c r="B46" s="8" t="s">
        <v>53</v>
      </c>
      <c r="C46" s="7"/>
      <c r="D46" s="27">
        <f>$C17*D40</f>
        <v>1.7422686827204281</v>
      </c>
      <c r="E46" s="28">
        <f>$C17*E40</f>
        <v>13.938149461763425</v>
      </c>
      <c r="F46" s="28">
        <f>$C17*F40</f>
        <v>21.778358534005353</v>
      </c>
      <c r="G46" s="28">
        <f>$C17*G40</f>
        <v>15.680418144483852</v>
      </c>
      <c r="H46" s="28">
        <f>$C17*H40</f>
        <v>19.16495550992471</v>
      </c>
      <c r="I46" s="9" t="s">
        <v>116</v>
      </c>
      <c r="J46" s="8" t="s">
        <v>54</v>
      </c>
    </row>
    <row r="47" spans="2:10" ht="16" customHeight="1">
      <c r="B47" s="8" t="s">
        <v>102</v>
      </c>
      <c r="C47" s="7"/>
      <c r="D47" s="27">
        <f>$C19*D46*$C20</f>
        <v>17.422686827204281</v>
      </c>
      <c r="E47" s="28">
        <f>$C19*E46*$C20</f>
        <v>139.38149461763425</v>
      </c>
      <c r="F47" s="28">
        <f>$C19*F46*$C20</f>
        <v>217.78358534005352</v>
      </c>
      <c r="G47" s="28">
        <f>$C19*G46*$C20</f>
        <v>156.80418144483852</v>
      </c>
      <c r="H47" s="28">
        <f>$C19*H46*$C20</f>
        <v>191.6495550992471</v>
      </c>
      <c r="I47" s="9" t="s">
        <v>116</v>
      </c>
      <c r="J47" s="8" t="s">
        <v>55</v>
      </c>
    </row>
    <row r="48" spans="2:10" ht="16" customHeight="1">
      <c r="B48" s="8" t="s">
        <v>56</v>
      </c>
      <c r="C48" s="7"/>
      <c r="D48" s="30">
        <f>D61*$C18</f>
        <v>0.13798767967145792</v>
      </c>
      <c r="E48" s="17">
        <f>E61*$C18</f>
        <v>1.1039014373716634</v>
      </c>
      <c r="F48" s="17">
        <f>F61*$C18</f>
        <v>1.7248459958932238</v>
      </c>
      <c r="G48" s="17">
        <f>G61*$C18</f>
        <v>1.2418891170431212</v>
      </c>
      <c r="H48" s="17">
        <f>H61*$C18</f>
        <v>1.5178644763860369</v>
      </c>
      <c r="I48" s="9" t="s">
        <v>32</v>
      </c>
      <c r="J48" s="7"/>
    </row>
    <row r="49" spans="2:10" ht="16" customHeight="1">
      <c r="B49" s="8" t="s">
        <v>57</v>
      </c>
      <c r="C49" s="7"/>
      <c r="D49" s="30">
        <f>D48*$C19*$C20*365.25*24*60*60/1000000000</f>
        <v>4.3545599999999997E-2</v>
      </c>
      <c r="E49" s="30">
        <f t="shared" ref="E49:H49" si="6">E48*$C19*$C20*365.25*24*60*60/1000000000</f>
        <v>0.34836479999999997</v>
      </c>
      <c r="F49" s="30">
        <f t="shared" si="6"/>
        <v>0.54432000000000003</v>
      </c>
      <c r="G49" s="30">
        <f t="shared" si="6"/>
        <v>0.39191039999999999</v>
      </c>
      <c r="H49" s="30">
        <f t="shared" si="6"/>
        <v>0.47900160000000003</v>
      </c>
      <c r="I49" s="9" t="s">
        <v>130</v>
      </c>
      <c r="J49" s="7"/>
    </row>
    <row r="50" spans="2:10" ht="16" customHeight="1">
      <c r="B50" s="8" t="s">
        <v>103</v>
      </c>
      <c r="C50" s="7"/>
      <c r="D50" s="30">
        <f>$C8/$C7</f>
        <v>3.4958</v>
      </c>
      <c r="E50" s="17">
        <f>$C8/$C7</f>
        <v>3.4958</v>
      </c>
      <c r="F50" s="17">
        <f>$C8/$C7</f>
        <v>3.4958</v>
      </c>
      <c r="G50" s="17">
        <f>$C8/$C7</f>
        <v>3.4958</v>
      </c>
      <c r="H50" s="17">
        <f>$C8/$C7</f>
        <v>3.4958</v>
      </c>
      <c r="I50" s="9" t="s">
        <v>117</v>
      </c>
      <c r="J50" s="8" t="s">
        <v>104</v>
      </c>
    </row>
    <row r="51" spans="2:10" ht="16" customHeight="1">
      <c r="B51" s="8" t="s">
        <v>105</v>
      </c>
      <c r="C51" s="7"/>
      <c r="D51" s="30">
        <f>$C9/$C7</f>
        <v>1</v>
      </c>
      <c r="E51" s="17">
        <f>$C9/$C7</f>
        <v>1</v>
      </c>
      <c r="F51" s="17">
        <f>$C9/$C7</f>
        <v>1</v>
      </c>
      <c r="G51" s="17">
        <f>$C9/$C7</f>
        <v>1</v>
      </c>
      <c r="H51" s="17">
        <f>$C9/$C7</f>
        <v>1</v>
      </c>
      <c r="I51" s="9"/>
      <c r="J51" s="8" t="s">
        <v>106</v>
      </c>
    </row>
    <row r="52" spans="2:10" ht="16" customHeight="1">
      <c r="B52" s="8" t="s">
        <v>58</v>
      </c>
      <c r="C52" s="7"/>
      <c r="D52" s="23">
        <f>D5</f>
        <v>18000</v>
      </c>
      <c r="E52" s="23">
        <f t="shared" ref="E52:H52" si="7">E5</f>
        <v>18000</v>
      </c>
      <c r="F52" s="23">
        <f t="shared" si="7"/>
        <v>18000</v>
      </c>
      <c r="G52" s="23">
        <f t="shared" si="7"/>
        <v>18000</v>
      </c>
      <c r="H52" s="23">
        <f t="shared" si="7"/>
        <v>18000</v>
      </c>
      <c r="I52" s="9" t="s">
        <v>11</v>
      </c>
      <c r="J52" s="8" t="s">
        <v>59</v>
      </c>
    </row>
    <row r="53" spans="2:10" ht="16" customHeight="1">
      <c r="B53" s="8" t="s">
        <v>60</v>
      </c>
      <c r="C53" s="7"/>
      <c r="D53" s="27">
        <f>D38*$C21*$C22</f>
        <v>1533.1964407939768</v>
      </c>
      <c r="E53" s="28">
        <f>E38*$C21*$C22</f>
        <v>12265.571526351814</v>
      </c>
      <c r="F53" s="28">
        <f>F38*$C21*$C22</f>
        <v>19164.955509924708</v>
      </c>
      <c r="G53" s="28">
        <f>G38*$C21*$C22</f>
        <v>13798.76796714579</v>
      </c>
      <c r="H53" s="28">
        <f>H38*$C21*$C22</f>
        <v>16865.160848733743</v>
      </c>
      <c r="I53" s="9" t="s">
        <v>8</v>
      </c>
      <c r="J53" s="8" t="s">
        <v>61</v>
      </c>
    </row>
    <row r="54" spans="2:10" ht="16" customHeight="1">
      <c r="B54" s="8" t="s">
        <v>107</v>
      </c>
      <c r="C54" s="7"/>
      <c r="D54" s="27">
        <f>$C21*D40*(D50+D51)*$C22</f>
        <v>313.31566175098004</v>
      </c>
      <c r="E54" s="27">
        <f>$C21*E40*(E50+E51)*$C22</f>
        <v>2506.5252940078403</v>
      </c>
      <c r="F54" s="27">
        <f t="shared" ref="F54:H54" si="8">$C21*F40*(F50+F51)*$C22</f>
        <v>3916.4457718872504</v>
      </c>
      <c r="G54" s="27">
        <f t="shared" si="8"/>
        <v>2819.8409557588202</v>
      </c>
      <c r="H54" s="27">
        <f t="shared" si="8"/>
        <v>3446.4722792607804</v>
      </c>
      <c r="I54" s="9" t="s">
        <v>116</v>
      </c>
      <c r="J54" s="8" t="s">
        <v>62</v>
      </c>
    </row>
    <row r="55" spans="2:10" ht="16" customHeight="1">
      <c r="B55" s="8" t="s">
        <v>63</v>
      </c>
      <c r="C55" s="7"/>
      <c r="D55" s="23">
        <f>D52*$C26</f>
        <v>3600</v>
      </c>
      <c r="E55" s="24">
        <f>E52*$C26</f>
        <v>3600</v>
      </c>
      <c r="F55" s="24">
        <f>F52*$C26</f>
        <v>3600</v>
      </c>
      <c r="G55" s="24">
        <f>G52*$C26</f>
        <v>3600</v>
      </c>
      <c r="H55" s="24">
        <f>H52*$C26</f>
        <v>3600</v>
      </c>
      <c r="I55" s="9" t="s">
        <v>11</v>
      </c>
      <c r="J55" s="8" t="s">
        <v>64</v>
      </c>
    </row>
    <row r="56" spans="2:10" ht="16" customHeight="1">
      <c r="B56" s="8" t="s">
        <v>65</v>
      </c>
      <c r="C56" s="7"/>
      <c r="D56" s="25">
        <f>D53*D55/1000000</f>
        <v>5.5195071868583163</v>
      </c>
      <c r="E56" s="33">
        <f>E53*E55/1000000</f>
        <v>44.156057494866531</v>
      </c>
      <c r="F56" s="33">
        <f>F53*F55/1000000</f>
        <v>68.993839835728949</v>
      </c>
      <c r="G56" s="33">
        <f>G53*G55/1000000</f>
        <v>49.675564681724843</v>
      </c>
      <c r="H56" s="33">
        <f>H53*H55/1000000</f>
        <v>60.714579055441476</v>
      </c>
      <c r="I56" s="9" t="s">
        <v>32</v>
      </c>
      <c r="J56" s="7"/>
    </row>
    <row r="57" spans="2:10" ht="16" customHeight="1">
      <c r="B57" s="8" t="s">
        <v>65</v>
      </c>
      <c r="C57" s="7"/>
      <c r="D57" s="27">
        <f>D56*365.25*24*60*60/1000000000</f>
        <v>0.17418239999999999</v>
      </c>
      <c r="E57" s="27">
        <f t="shared" ref="E57:H57" si="9">E56*365.25*24*60*60/1000000000</f>
        <v>1.3934591999999999</v>
      </c>
      <c r="F57" s="27">
        <f t="shared" si="9"/>
        <v>2.1772800000000001</v>
      </c>
      <c r="G57" s="27">
        <f t="shared" si="9"/>
        <v>1.5676416</v>
      </c>
      <c r="H57" s="27">
        <f t="shared" si="9"/>
        <v>1.9160064000000001</v>
      </c>
      <c r="I57" s="9" t="s">
        <v>130</v>
      </c>
      <c r="J57" s="7"/>
    </row>
    <row r="58" spans="2:10" ht="16" customHeight="1">
      <c r="B58" s="8" t="s">
        <v>108</v>
      </c>
      <c r="C58" s="7"/>
      <c r="D58" s="27">
        <f>$C23*D40*$C24</f>
        <v>17.422686827204281</v>
      </c>
      <c r="E58" s="28">
        <f>$C23*E40*$C24</f>
        <v>139.38149461763425</v>
      </c>
      <c r="F58" s="28">
        <f>$C23*F40*$C24</f>
        <v>217.78358534005352</v>
      </c>
      <c r="G58" s="28">
        <f>$C23*G40*$C24</f>
        <v>156.80418144483852</v>
      </c>
      <c r="H58" s="28">
        <f>$C23*H40*$C24</f>
        <v>191.6495550992471</v>
      </c>
      <c r="I58" s="9" t="s">
        <v>116</v>
      </c>
      <c r="J58" s="8" t="s">
        <v>66</v>
      </c>
    </row>
    <row r="59" spans="2:10" ht="16" customHeight="1">
      <c r="B59" s="8" t="s">
        <v>67</v>
      </c>
      <c r="C59" s="7"/>
      <c r="D59" s="25">
        <f>D38*D5/$C25/1000000</f>
        <v>4.3121149897330603E-2</v>
      </c>
      <c r="E59" s="25">
        <f t="shared" ref="E59:H59" si="10">E38*E5/$C25/1000000</f>
        <v>0.34496919917864483</v>
      </c>
      <c r="F59" s="25">
        <f t="shared" si="10"/>
        <v>0.53901437371663252</v>
      </c>
      <c r="G59" s="25">
        <f t="shared" si="10"/>
        <v>0.38809034907597534</v>
      </c>
      <c r="H59" s="25">
        <f t="shared" si="10"/>
        <v>0.47433264887063653</v>
      </c>
      <c r="I59" s="9"/>
      <c r="J59" s="7"/>
    </row>
    <row r="60" spans="2:10" ht="16" customHeight="1">
      <c r="B60" s="8" t="s">
        <v>68</v>
      </c>
      <c r="C60" s="7"/>
      <c r="D60" s="25">
        <f>$C26*D5</f>
        <v>3600</v>
      </c>
      <c r="E60" s="25">
        <f t="shared" ref="E60:H60" si="11">$C26*E5</f>
        <v>3600</v>
      </c>
      <c r="F60" s="25">
        <f t="shared" si="11"/>
        <v>3600</v>
      </c>
      <c r="G60" s="25">
        <f t="shared" si="11"/>
        <v>3600</v>
      </c>
      <c r="H60" s="25">
        <f t="shared" si="11"/>
        <v>3600</v>
      </c>
      <c r="I60" s="9" t="s">
        <v>11</v>
      </c>
      <c r="J60" s="8" t="s">
        <v>69</v>
      </c>
    </row>
    <row r="61" spans="2:10" ht="16" customHeight="1">
      <c r="B61" s="8" t="s">
        <v>70</v>
      </c>
      <c r="C61" s="7"/>
      <c r="D61" s="25">
        <f>D38*D60/1000000</f>
        <v>1.3798767967145791</v>
      </c>
      <c r="E61" s="33">
        <f>E38*E60/1000000</f>
        <v>11.039014373716633</v>
      </c>
      <c r="F61" s="33">
        <f>F38*F60/1000000</f>
        <v>17.248459958932237</v>
      </c>
      <c r="G61" s="33">
        <f>G38*G60/1000000</f>
        <v>12.418891170431211</v>
      </c>
      <c r="H61" s="33">
        <f>H38*H60/1000000</f>
        <v>15.178644763860369</v>
      </c>
      <c r="I61" s="9" t="s">
        <v>32</v>
      </c>
      <c r="J61" s="8" t="s">
        <v>71</v>
      </c>
    </row>
    <row r="62" spans="2:10" ht="16" customHeight="1">
      <c r="B62" s="8" t="s">
        <v>72</v>
      </c>
      <c r="C62" s="7"/>
      <c r="D62" s="30">
        <f>$C14*D61*365.25*24*60*60/1000000000</f>
        <v>8.7091199999999994E-2</v>
      </c>
      <c r="E62" s="30">
        <f t="shared" ref="E62:H62" si="12">$C14*E61*365.25*24*60*60/1000000000</f>
        <v>0.69672959999999995</v>
      </c>
      <c r="F62" s="30">
        <f t="shared" si="12"/>
        <v>1.0886400000000001</v>
      </c>
      <c r="G62" s="30">
        <f t="shared" si="12"/>
        <v>0.78382079999999998</v>
      </c>
      <c r="H62" s="30">
        <f t="shared" si="12"/>
        <v>0.95800320000000005</v>
      </c>
      <c r="I62" s="9" t="s">
        <v>130</v>
      </c>
      <c r="J62" s="8" t="s">
        <v>73</v>
      </c>
    </row>
    <row r="63" spans="2:10" ht="16" customHeight="1">
      <c r="B63" s="8" t="s">
        <v>74</v>
      </c>
      <c r="C63" s="7"/>
      <c r="D63" s="25">
        <f>$C13*D38*$D60/1000000</f>
        <v>6.899383983572896E-2</v>
      </c>
      <c r="E63" s="33">
        <f>$C13*E38*$D60/1000000</f>
        <v>0.55195071868583168</v>
      </c>
      <c r="F63" s="33">
        <f>$C13*F38*$D60/1000000</f>
        <v>0.86242299794661192</v>
      </c>
      <c r="G63" s="33">
        <f>$C13*G38*$D60/1000000</f>
        <v>0.62094455852156061</v>
      </c>
      <c r="H63" s="33">
        <f>$C13*H38*$D60/1000000</f>
        <v>0.75893223819301847</v>
      </c>
      <c r="I63" s="9" t="s">
        <v>32</v>
      </c>
      <c r="J63" s="8" t="s">
        <v>71</v>
      </c>
    </row>
    <row r="64" spans="2:10" ht="16" customHeight="1">
      <c r="B64" s="8" t="s">
        <v>75</v>
      </c>
      <c r="C64" s="7"/>
      <c r="D64" s="30">
        <f>$C15*D63*365.25*24*60*60/1000000000</f>
        <v>4.3545600000000012E-3</v>
      </c>
      <c r="E64" s="30">
        <f t="shared" ref="E64:H64" si="13">$C15*E63*365.25*24*60*60/1000000000</f>
        <v>3.483648000000001E-2</v>
      </c>
      <c r="F64" s="30">
        <f t="shared" si="13"/>
        <v>5.4432000000000001E-2</v>
      </c>
      <c r="G64" s="30">
        <f t="shared" si="13"/>
        <v>3.919104000000001E-2</v>
      </c>
      <c r="H64" s="30">
        <f t="shared" si="13"/>
        <v>4.790015999999999E-2</v>
      </c>
      <c r="I64" s="9" t="s">
        <v>130</v>
      </c>
      <c r="J64" s="8" t="s">
        <v>76</v>
      </c>
    </row>
    <row r="65" spans="2:10" ht="16" customHeight="1">
      <c r="B65" s="8" t="s">
        <v>77</v>
      </c>
      <c r="C65" s="7"/>
      <c r="D65" s="30">
        <f>D38*(D60+D5)/($C25*1000000)</f>
        <v>5.1745379876796713E-2</v>
      </c>
      <c r="E65" s="30">
        <f t="shared" ref="E65:H65" si="14">E38*(E60+E5)/($C25*1000000)</f>
        <v>0.4139630390143737</v>
      </c>
      <c r="F65" s="30">
        <f t="shared" si="14"/>
        <v>0.64681724845995892</v>
      </c>
      <c r="G65" s="30">
        <f t="shared" si="14"/>
        <v>0.46570841889117043</v>
      </c>
      <c r="H65" s="30">
        <f t="shared" si="14"/>
        <v>0.56919917864476388</v>
      </c>
      <c r="I65" s="9" t="s">
        <v>78</v>
      </c>
      <c r="J65" s="8" t="s">
        <v>79</v>
      </c>
    </row>
    <row r="66" spans="2:10" ht="16" customHeight="1">
      <c r="B66" s="8" t="s">
        <v>80</v>
      </c>
      <c r="C66" s="7"/>
      <c r="D66" s="30">
        <f>$C14*D65</f>
        <v>0.10349075975359343</v>
      </c>
      <c r="E66" s="17">
        <f>$C14*E65</f>
        <v>0.8279260780287474</v>
      </c>
      <c r="F66" s="17">
        <f>$C14*F65</f>
        <v>1.2936344969199178</v>
      </c>
      <c r="G66" s="17">
        <f>$C14*G65</f>
        <v>0.93141683778234086</v>
      </c>
      <c r="H66" s="17">
        <f>$C14*H65</f>
        <v>1.1383983572895278</v>
      </c>
      <c r="I66" s="9" t="s">
        <v>78</v>
      </c>
      <c r="J66" s="8" t="s">
        <v>81</v>
      </c>
    </row>
    <row r="67" spans="2:10" ht="16" customHeight="1">
      <c r="B67" s="8" t="s">
        <v>82</v>
      </c>
      <c r="C67" s="7"/>
      <c r="D67" s="30">
        <f>$C13*D65</f>
        <v>2.5872689938398357E-3</v>
      </c>
      <c r="E67" s="17">
        <f>$C13*E65</f>
        <v>2.0698151950718686E-2</v>
      </c>
      <c r="F67" s="17">
        <f>$C13*F65</f>
        <v>3.2340862422997947E-2</v>
      </c>
      <c r="G67" s="17">
        <f>$C13*G65</f>
        <v>2.3285420944558523E-2</v>
      </c>
      <c r="H67" s="17">
        <f>$C13*H65</f>
        <v>2.8459958932238197E-2</v>
      </c>
      <c r="I67" s="9" t="s">
        <v>78</v>
      </c>
      <c r="J67" s="8" t="s">
        <v>83</v>
      </c>
    </row>
    <row r="68" spans="2:10" ht="16" customHeight="1">
      <c r="B68" s="8" t="s">
        <v>84</v>
      </c>
      <c r="C68" s="7"/>
      <c r="D68" s="30">
        <f>$C15*D67</f>
        <v>5.1745379876796714E-3</v>
      </c>
      <c r="E68" s="30">
        <f t="shared" ref="E68:H68" si="15">$C15*E67</f>
        <v>4.1396303901437372E-2</v>
      </c>
      <c r="F68" s="30">
        <f t="shared" si="15"/>
        <v>6.4681724845995894E-2</v>
      </c>
      <c r="G68" s="30">
        <f t="shared" si="15"/>
        <v>4.6570841889117046E-2</v>
      </c>
      <c r="H68" s="30">
        <f t="shared" si="15"/>
        <v>5.6919917864476394E-2</v>
      </c>
      <c r="I68" s="9" t="s">
        <v>78</v>
      </c>
      <c r="J68" s="8" t="s">
        <v>85</v>
      </c>
    </row>
    <row r="69" spans="2:10" ht="16" customHeight="1">
      <c r="B69" s="8" t="s">
        <v>86</v>
      </c>
      <c r="C69" s="7"/>
      <c r="D69" s="30">
        <f>D38*D60/(10*1000000)</f>
        <v>0.13798767967145789</v>
      </c>
      <c r="E69" s="17">
        <f>E38*E60/(10*1000000)</f>
        <v>1.1039014373716631</v>
      </c>
      <c r="F69" s="17">
        <f>F38*F60/(10*1000000)</f>
        <v>1.7248459958932236</v>
      </c>
      <c r="G69" s="17">
        <f>G38*G60/(10*1000000)</f>
        <v>1.2418891170431212</v>
      </c>
      <c r="H69" s="17">
        <f>H38*H60/(10*1000000)</f>
        <v>1.5178644763860369</v>
      </c>
      <c r="I69" s="9" t="s">
        <v>78</v>
      </c>
      <c r="J69" s="8" t="s">
        <v>87</v>
      </c>
    </row>
    <row r="70" spans="2:10" ht="16" customHeight="1">
      <c r="B70" s="8" t="s">
        <v>88</v>
      </c>
      <c r="C70" s="7"/>
      <c r="D70" s="30">
        <f>$C19*D69*$C17</f>
        <v>6.8993839835728946E-2</v>
      </c>
      <c r="E70" s="17">
        <f>$C19*E69*$C17</f>
        <v>0.55195071868583157</v>
      </c>
      <c r="F70" s="17">
        <f>$C19*F69*$C17</f>
        <v>0.86242299794661192</v>
      </c>
      <c r="G70" s="17">
        <f>$C19*G69*$C17</f>
        <v>0.62094455852156072</v>
      </c>
      <c r="H70" s="17">
        <f>$C19*H69*$C17</f>
        <v>0.75893223819301847</v>
      </c>
      <c r="I70" s="9" t="s">
        <v>78</v>
      </c>
      <c r="J70" s="8" t="s">
        <v>89</v>
      </c>
    </row>
    <row r="71" spans="2:10" ht="16" customHeight="1">
      <c r="B71" s="8" t="s">
        <v>90</v>
      </c>
      <c r="C71" s="7"/>
      <c r="D71" s="25">
        <f>(D69+D70)*$C20</f>
        <v>0.4139630390143737</v>
      </c>
      <c r="E71" s="33">
        <f>(E69+E70)*$C20</f>
        <v>3.3117043121149896</v>
      </c>
      <c r="F71" s="33">
        <f>(F69+F70)*$C20</f>
        <v>5.1745379876796713</v>
      </c>
      <c r="G71" s="33">
        <f>(G69+G70)*$C20</f>
        <v>3.7256673511293639</v>
      </c>
      <c r="H71" s="33">
        <f>(H69+H70)*$C20</f>
        <v>4.5535934291581111</v>
      </c>
      <c r="I71" s="9" t="s">
        <v>78</v>
      </c>
      <c r="J71" s="8" t="s">
        <v>91</v>
      </c>
    </row>
    <row r="72" spans="2:10" ht="16" customHeight="1">
      <c r="B72" s="8" t="s">
        <v>92</v>
      </c>
      <c r="C72" s="8"/>
      <c r="D72" s="25">
        <f>D56/$C25</f>
        <v>3.449691991786448E-2</v>
      </c>
      <c r="E72" s="33">
        <f>E56/$C25</f>
        <v>0.27597535934291584</v>
      </c>
      <c r="F72" s="33">
        <f>F56/$C25</f>
        <v>0.43121149897330591</v>
      </c>
      <c r="G72" s="33">
        <f>G56/$C25</f>
        <v>0.31047227926078025</v>
      </c>
      <c r="H72" s="33">
        <f>H56/$C25</f>
        <v>0.37946611909650924</v>
      </c>
      <c r="I72" s="9" t="s">
        <v>78</v>
      </c>
      <c r="J72" s="8" t="s">
        <v>93</v>
      </c>
    </row>
    <row r="73" spans="2:10" ht="16" customHeight="1">
      <c r="B73" s="8" t="s">
        <v>94</v>
      </c>
      <c r="C73" s="8"/>
      <c r="D73" s="25">
        <f>D59+D66+D68+D71+D72</f>
        <v>0.60024640657084194</v>
      </c>
      <c r="E73" s="33">
        <f>E59+E66+E68+E71+E72</f>
        <v>4.8019712525667355</v>
      </c>
      <c r="F73" s="33">
        <f>F59+F66+F68+F71+F72</f>
        <v>7.503080082135523</v>
      </c>
      <c r="G73" s="33">
        <f>G59+G66+G68+G71+G72</f>
        <v>5.4022176591375777</v>
      </c>
      <c r="H73" s="33">
        <f>H59+H66+H68+H71+H72</f>
        <v>6.6027104722792611</v>
      </c>
      <c r="I73" s="9" t="s">
        <v>78</v>
      </c>
      <c r="J73" s="8" t="s">
        <v>95</v>
      </c>
    </row>
    <row r="74" spans="2:10" ht="16" customHeight="1">
      <c r="B74" s="7"/>
      <c r="C74" s="7"/>
      <c r="D74" s="31"/>
      <c r="E74" s="19"/>
      <c r="F74" s="19"/>
      <c r="G74" s="19"/>
      <c r="H74" s="19"/>
      <c r="I74" s="20"/>
      <c r="J74" s="7"/>
    </row>
  </sheetData>
  <pageMargins left="0.75" right="0.75" top="1" bottom="1" header="0.5" footer="0.5"/>
  <pageSetup orientation="portrait"/>
  <headerFooter>
    <oddHeader>&amp;C&amp;"Times New Roman,Regular"&amp;12&amp;K000000Sheet1</oddHeader>
    <oddFooter>&amp;L&amp;"Helvetica,Regular"&amp;12&amp;K000000&amp;P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Heyes</cp:lastModifiedBy>
  <dcterms:modified xsi:type="dcterms:W3CDTF">2015-02-09T18:35:21Z</dcterms:modified>
</cp:coreProperties>
</file>