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jeffreyhaberle/School/CSIS 1200/"/>
    </mc:Choice>
  </mc:AlternateContent>
  <bookViews>
    <workbookView xWindow="0" yWindow="460" windowWidth="28800" windowHeight="17460"/>
  </bookViews>
  <sheets>
    <sheet name="Purchase" sheetId="1" r:id="rId1"/>
    <sheet name="Assumptions" sheetId="3" r:id="rId2"/>
  </sheets>
  <definedNames>
    <definedName name="Amount_to_Borrow">Purchase!$C$17:$F$17</definedName>
    <definedName name="APR">Purchase!$C$18:$F$18</definedName>
    <definedName name="Average_MPG">Purchase!$C$11:$F$11</definedName>
    <definedName name="Gas">Purchase!$C$21:$F$21</definedName>
    <definedName name="Insurance_Month">Purchase!$C$24:$F$24</definedName>
    <definedName name="Insurance_Year">Purchase!$C$15:$F$15</definedName>
    <definedName name="Loan_Payment">Purchase!$C$22:$F$22</definedName>
    <definedName name="Maintenance_Month">Purchase!$C$23:$F$23</definedName>
    <definedName name="Maintenance_Year">Purchase!$C$13:$F$13</definedName>
    <definedName name="MPG_City">Purchase!$C$9:$F$9</definedName>
    <definedName name="MPG_Highway">Purchase!$C$10:$F$10</definedName>
    <definedName name="Price">Purchase!$C$8:$F$8</definedName>
    <definedName name="Registration_Fee">Purchase!$C$14:$F$14</definedName>
    <definedName name="RegistrationFees">Assumptions!$B$11:$C$18</definedName>
    <definedName name="Total_Monthly">Purchase!$C$25:$F$25</definedName>
    <definedName name="Years">Purchase!$C$19:$F$19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  <c r="F21" i="1"/>
  <c r="F16" i="1"/>
  <c r="E16" i="1"/>
  <c r="D16" i="1"/>
  <c r="C16" i="1"/>
  <c r="F22" i="1"/>
  <c r="F25" i="1"/>
  <c r="F27" i="1"/>
  <c r="E22" i="1"/>
  <c r="E25" i="1"/>
  <c r="E27" i="1"/>
  <c r="D22" i="1"/>
  <c r="D25" i="1"/>
  <c r="D27" i="1"/>
  <c r="C22" i="1"/>
  <c r="C25" i="1"/>
  <c r="C27" i="1"/>
  <c r="E21" i="1"/>
  <c r="D21" i="1"/>
  <c r="C21" i="1"/>
  <c r="F23" i="1"/>
  <c r="F24" i="1"/>
  <c r="E23" i="1"/>
  <c r="E24" i="1"/>
  <c r="D23" i="1"/>
  <c r="D24" i="1"/>
  <c r="C23" i="1"/>
  <c r="C24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7" i="1"/>
  <c r="J17" i="1"/>
  <c r="I17" i="1"/>
  <c r="K16" i="1"/>
  <c r="J16" i="1"/>
  <c r="I16" i="1"/>
  <c r="K15" i="1"/>
  <c r="J15" i="1"/>
  <c r="I15" i="1"/>
  <c r="F14" i="1"/>
  <c r="E14" i="1"/>
  <c r="D14" i="1"/>
  <c r="C14" i="1"/>
  <c r="K12" i="1"/>
  <c r="J12" i="1"/>
  <c r="I12" i="1"/>
  <c r="K11" i="1"/>
  <c r="J11" i="1"/>
  <c r="I11" i="1"/>
  <c r="F11" i="1"/>
  <c r="E11" i="1"/>
  <c r="D11" i="1"/>
  <c r="C11" i="1"/>
  <c r="K10" i="1"/>
  <c r="J10" i="1"/>
  <c r="I10" i="1"/>
  <c r="K7" i="1"/>
  <c r="J7" i="1"/>
  <c r="I7" i="1"/>
  <c r="K6" i="1"/>
  <c r="J6" i="1"/>
  <c r="I6" i="1"/>
  <c r="K5" i="1"/>
  <c r="J5" i="1"/>
  <c r="I5" i="1"/>
  <c r="K4" i="1"/>
  <c r="J4" i="1"/>
  <c r="I4" i="1"/>
</calcChain>
</file>

<file path=xl/sharedStrings.xml><?xml version="1.0" encoding="utf-8"?>
<sst xmlns="http://schemas.openxmlformats.org/spreadsheetml/2006/main" count="85" uniqueCount="57">
  <si>
    <t>Insurance</t>
  </si>
  <si>
    <t>APR</t>
  </si>
  <si>
    <t>Years</t>
  </si>
  <si>
    <t>Gas Price Per Gallon</t>
  </si>
  <si>
    <t>Seller</t>
  </si>
  <si>
    <t>Gas</t>
  </si>
  <si>
    <t>Maintenance</t>
  </si>
  <si>
    <t>Total Monthly</t>
  </si>
  <si>
    <t xml:space="preserve"> Insurance</t>
  </si>
  <si>
    <t>Loan Payment</t>
  </si>
  <si>
    <t>Price</t>
  </si>
  <si>
    <t>Total Monthly Amount Available to Pay for Operating Vehicle</t>
  </si>
  <si>
    <t>Vehicle Purchase</t>
  </si>
  <si>
    <t>Number of Miles I Expect To Drive Each Month</t>
  </si>
  <si>
    <t>Average</t>
  </si>
  <si>
    <t>Lowest</t>
  </si>
  <si>
    <t>Highest</t>
  </si>
  <si>
    <t>Vehicle 1</t>
  </si>
  <si>
    <t>Vehicle 2</t>
  </si>
  <si>
    <t>Vehicle 3</t>
  </si>
  <si>
    <t>Vehicle 4</t>
  </si>
  <si>
    <t>Passenger</t>
  </si>
  <si>
    <t>Motor Home</t>
  </si>
  <si>
    <t>Truck</t>
  </si>
  <si>
    <t>Cargo Van</t>
  </si>
  <si>
    <t>Trailer</t>
  </si>
  <si>
    <t>Motorcycle</t>
  </si>
  <si>
    <t>Farm Vehicle</t>
  </si>
  <si>
    <t>Taxicab</t>
  </si>
  <si>
    <t>column #</t>
  </si>
  <si>
    <t>Registration Fee Lookup Table</t>
  </si>
  <si>
    <t>Vehicle Purchase Assumptions</t>
  </si>
  <si>
    <t>Total Cash Available for Vehicle Purchase</t>
  </si>
  <si>
    <t>Monthly Costs</t>
  </si>
  <si>
    <t>Loan</t>
  </si>
  <si>
    <t>Amount to Borrow</t>
  </si>
  <si>
    <t>Need Loan?</t>
  </si>
  <si>
    <t>Maintenance/Year</t>
  </si>
  <si>
    <t xml:space="preserve"> Insurance/Year</t>
  </si>
  <si>
    <t>Maintenance/Month</t>
  </si>
  <si>
    <t>Insurance/Month</t>
  </si>
  <si>
    <t>Yearly Costs</t>
  </si>
  <si>
    <t>Registration Fee</t>
  </si>
  <si>
    <t>Vehicle Type</t>
  </si>
  <si>
    <t>Analysis</t>
  </si>
  <si>
    <t>private seller</t>
  </si>
  <si>
    <t>dealer</t>
  </si>
  <si>
    <t>2012 Honda Civic LX</t>
  </si>
  <si>
    <t>MPG City</t>
  </si>
  <si>
    <t>MPG Highway</t>
  </si>
  <si>
    <t>2011 Ford Mustang GT</t>
  </si>
  <si>
    <t>Description</t>
  </si>
  <si>
    <t>2013 Ducati Superbike 848 Evo</t>
  </si>
  <si>
    <t>2012 GMC Canyon Regular Cab</t>
  </si>
  <si>
    <t>Affordable?</t>
  </si>
  <si>
    <t>Average MPG</t>
  </si>
  <si>
    <t>MPG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</si>
</sst>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name val="Verdan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637052"/>
      <name val="Calibri Light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3"/>
      <color rgb="FF637052"/>
      <name val="Calibri"/>
      <family val="2"/>
    </font>
    <font>
      <b/>
      <sz val="11"/>
      <color rgb="FF000000"/>
      <name val="Calibri"/>
    </font>
    <font>
      <b/>
      <sz val="15"/>
      <color rgb="FF637052"/>
      <name val="Calibri"/>
      <family val="2"/>
    </font>
    <font>
      <sz val="7"/>
      <color rgb="FF000000"/>
      <name val="Arial"/>
      <family val="2"/>
    </font>
    <font>
      <sz val="14"/>
      <color rgb="FF000000"/>
      <name val="Arial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3B66B"/>
        <bgColor rgb="FF000000"/>
      </patternFill>
    </fill>
    <fill>
      <patternFill patternType="solid">
        <fgColor rgb="FFF8CE9C"/>
        <bgColor rgb="FF000000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7" applyNumberFormat="0" applyFill="0" applyAlignment="0" applyProtection="0"/>
    <xf numFmtId="0" fontId="5" fillId="0" borderId="18" applyNumberFormat="0" applyFill="0" applyAlignment="0" applyProtection="0"/>
    <xf numFmtId="0" fontId="6" fillId="0" borderId="19" applyNumberFormat="0" applyFill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7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8" fillId="0" borderId="21" xfId="0" applyFont="1" applyFill="1" applyBorder="1"/>
    <xf numFmtId="0" fontId="7" fillId="0" borderId="20" xfId="2" applyFont="1" applyFill="1" applyBorder="1"/>
    <xf numFmtId="0" fontId="8" fillId="0" borderId="22" xfId="0" applyFont="1" applyFill="1" applyBorder="1"/>
    <xf numFmtId="164" fontId="8" fillId="0" borderId="0" xfId="1" applyNumberFormat="1" applyFont="1" applyFill="1" applyBorder="1" applyAlignment="1">
      <alignment horizontal="right"/>
    </xf>
    <xf numFmtId="0" fontId="8" fillId="0" borderId="23" xfId="0" applyFont="1" applyFill="1" applyBorder="1"/>
    <xf numFmtId="0" fontId="8" fillId="0" borderId="24" xfId="0" applyFont="1" applyFill="1" applyBorder="1"/>
    <xf numFmtId="0" fontId="10" fillId="0" borderId="18" xfId="4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3" applyFont="1" applyFill="1" applyBorder="1" applyAlignment="1"/>
    <xf numFmtId="0" fontId="8" fillId="0" borderId="0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right"/>
    </xf>
    <xf numFmtId="44" fontId="8" fillId="0" borderId="2" xfId="1" applyFont="1" applyFill="1" applyBorder="1"/>
    <xf numFmtId="44" fontId="8" fillId="0" borderId="28" xfId="1" applyFont="1" applyFill="1" applyBorder="1"/>
    <xf numFmtId="0" fontId="8" fillId="0" borderId="3" xfId="0" applyFont="1" applyFill="1" applyBorder="1"/>
    <xf numFmtId="0" fontId="8" fillId="0" borderId="29" xfId="0" applyFont="1" applyFill="1" applyBorder="1"/>
    <xf numFmtId="0" fontId="13" fillId="0" borderId="0" xfId="0" applyFont="1" applyFill="1" applyBorder="1"/>
    <xf numFmtId="0" fontId="9" fillId="0" borderId="0" xfId="0" applyFont="1" applyFill="1" applyBorder="1"/>
    <xf numFmtId="0" fontId="14" fillId="0" borderId="0" xfId="0" applyFont="1" applyFill="1" applyBorder="1"/>
    <xf numFmtId="0" fontId="8" fillId="0" borderId="4" xfId="0" applyFont="1" applyFill="1" applyBorder="1"/>
    <xf numFmtId="0" fontId="8" fillId="0" borderId="30" xfId="0" applyFont="1" applyFill="1" applyBorder="1"/>
    <xf numFmtId="165" fontId="8" fillId="0" borderId="0" xfId="1" applyNumberFormat="1" applyFont="1" applyFill="1" applyBorder="1"/>
    <xf numFmtId="0" fontId="11" fillId="0" borderId="23" xfId="0" applyFont="1" applyFill="1" applyBorder="1" applyAlignment="1">
      <alignment horizontal="left"/>
    </xf>
    <xf numFmtId="44" fontId="8" fillId="0" borderId="3" xfId="1" applyFont="1" applyFill="1" applyBorder="1"/>
    <xf numFmtId="44" fontId="8" fillId="0" borderId="29" xfId="1" applyFont="1" applyFill="1" applyBorder="1"/>
    <xf numFmtId="165" fontId="8" fillId="0" borderId="0" xfId="0" applyNumberFormat="1" applyFont="1" applyFill="1" applyBorder="1"/>
    <xf numFmtId="44" fontId="8" fillId="0" borderId="4" xfId="1" applyFont="1" applyFill="1" applyBorder="1"/>
    <xf numFmtId="44" fontId="8" fillId="0" borderId="30" xfId="1" applyFont="1" applyFill="1" applyBorder="1"/>
    <xf numFmtId="0" fontId="11" fillId="0" borderId="23" xfId="0" applyFont="1" applyFill="1" applyBorder="1"/>
    <xf numFmtId="9" fontId="8" fillId="0" borderId="3" xfId="7" applyFont="1" applyFill="1" applyBorder="1"/>
    <xf numFmtId="9" fontId="8" fillId="0" borderId="29" xfId="7" applyFont="1" applyFill="1" applyBorder="1"/>
    <xf numFmtId="10" fontId="8" fillId="0" borderId="0" xfId="0" applyNumberFormat="1" applyFont="1" applyFill="1" applyBorder="1"/>
    <xf numFmtId="166" fontId="8" fillId="0" borderId="4" xfId="6" applyNumberFormat="1" applyFont="1" applyFill="1" applyBorder="1"/>
    <xf numFmtId="166" fontId="8" fillId="0" borderId="30" xfId="6" applyNumberFormat="1" applyFont="1" applyFill="1" applyBorder="1"/>
    <xf numFmtId="164" fontId="8" fillId="0" borderId="0" xfId="0" applyNumberFormat="1" applyFont="1" applyFill="1" applyBorder="1"/>
    <xf numFmtId="164" fontId="8" fillId="0" borderId="0" xfId="1" applyNumberFormat="1" applyFont="1" applyFill="1" applyBorder="1"/>
    <xf numFmtId="0" fontId="11" fillId="0" borderId="19" xfId="5" applyFont="1" applyFill="1" applyAlignment="1">
      <alignment horizontal="right"/>
    </xf>
    <xf numFmtId="164" fontId="11" fillId="0" borderId="19" xfId="5" applyNumberFormat="1" applyFont="1" applyFill="1"/>
    <xf numFmtId="0" fontId="8" fillId="0" borderId="25" xfId="0" applyFont="1" applyFill="1" applyBorder="1"/>
    <xf numFmtId="0" fontId="8" fillId="0" borderId="26" xfId="0" applyFont="1" applyFill="1" applyBorder="1"/>
    <xf numFmtId="0" fontId="8" fillId="0" borderId="27" xfId="0" applyFont="1" applyFill="1" applyBorder="1"/>
    <xf numFmtId="44" fontId="8" fillId="0" borderId="0" xfId="1" applyFont="1" applyFill="1" applyBorder="1"/>
    <xf numFmtId="0" fontId="8" fillId="0" borderId="0" xfId="0" applyFont="1" applyFill="1"/>
    <xf numFmtId="0" fontId="11" fillId="0" borderId="0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7" fillId="0" borderId="0" xfId="2" applyFont="1" applyFill="1"/>
    <xf numFmtId="165" fontId="8" fillId="3" borderId="2" xfId="1" applyNumberFormat="1" applyFont="1" applyFill="1" applyBorder="1" applyAlignment="1">
      <alignment horizontal="right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0" xfId="0" applyFont="1" applyFill="1" applyBorder="1"/>
    <xf numFmtId="165" fontId="8" fillId="3" borderId="3" xfId="1" applyNumberFormat="1" applyFont="1" applyFill="1" applyBorder="1" applyAlignment="1">
      <alignment horizontal="right"/>
    </xf>
    <xf numFmtId="0" fontId="8" fillId="3" borderId="11" xfId="0" applyFont="1" applyFill="1" applyBorder="1"/>
    <xf numFmtId="0" fontId="8" fillId="3" borderId="12" xfId="0" applyFont="1" applyFill="1" applyBorder="1"/>
    <xf numFmtId="0" fontId="8" fillId="3" borderId="13" xfId="0" applyFont="1" applyFill="1" applyBorder="1"/>
    <xf numFmtId="0" fontId="8" fillId="3" borderId="3" xfId="0" applyFont="1" applyFill="1" applyBorder="1" applyAlignment="1">
      <alignment horizontal="right"/>
    </xf>
    <xf numFmtId="164" fontId="8" fillId="3" borderId="4" xfId="1" applyNumberFormat="1" applyFont="1" applyFill="1" applyBorder="1" applyAlignment="1">
      <alignment horizontal="right"/>
    </xf>
    <xf numFmtId="0" fontId="8" fillId="3" borderId="14" xfId="0" applyFont="1" applyFill="1" applyBorder="1"/>
    <xf numFmtId="0" fontId="8" fillId="3" borderId="15" xfId="0" applyFont="1" applyFill="1" applyBorder="1"/>
    <xf numFmtId="0" fontId="8" fillId="3" borderId="16" xfId="0" applyFont="1" applyFill="1" applyBorder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8" fillId="3" borderId="2" xfId="0" applyFont="1" applyFill="1" applyBorder="1"/>
    <xf numFmtId="0" fontId="8" fillId="3" borderId="5" xfId="0" applyFont="1" applyFill="1" applyBorder="1"/>
    <xf numFmtId="0" fontId="8" fillId="3" borderId="3" xfId="0" applyFont="1" applyFill="1" applyBorder="1"/>
    <xf numFmtId="0" fontId="8" fillId="3" borderId="6" xfId="0" applyFont="1" applyFill="1" applyBorder="1"/>
    <xf numFmtId="0" fontId="8" fillId="3" borderId="4" xfId="0" applyFont="1" applyFill="1" applyBorder="1"/>
    <xf numFmtId="0" fontId="8" fillId="3" borderId="7" xfId="0" applyFont="1" applyFill="1" applyBorder="1"/>
  </cellXfs>
  <cellStyles count="8">
    <cellStyle name="Comma" xfId="6" builtinId="3"/>
    <cellStyle name="Currency" xfId="1" builtinId="4"/>
    <cellStyle name="Heading 1" xfId="3" builtinId="16"/>
    <cellStyle name="Heading 2" xfId="4" builtinId="17"/>
    <cellStyle name="Normal" xfId="0" builtinId="0"/>
    <cellStyle name="Percent" xfId="7" builtinId="5"/>
    <cellStyle name="Title" xfId="2" builtinId="15"/>
    <cellStyle name="Total" xfId="5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D17" sqref="D17:F17"/>
    </sheetView>
  </sheetViews>
  <sheetFormatPr baseColWidth="10" defaultColWidth="8.83203125" defaultRowHeight="15.5" customHeight="1" x14ac:dyDescent="0.2"/>
  <cols>
    <col min="1" max="1" width="8.5" customWidth="1"/>
    <col min="2" max="2" width="16.5" bestFit="1" customWidth="1"/>
    <col min="3" max="4" width="21.5" customWidth="1"/>
    <col min="5" max="5" width="28.5" customWidth="1"/>
    <col min="6" max="6" width="29.33203125" customWidth="1"/>
    <col min="7" max="7" width="4.5" customWidth="1"/>
    <col min="8" max="8" width="17.5" customWidth="1"/>
    <col min="9" max="11" width="11.1640625" bestFit="1" customWidth="1"/>
    <col min="12" max="12" width="10.83203125" customWidth="1"/>
  </cols>
  <sheetData>
    <row r="1" spans="1:13" ht="24" x14ac:dyDescent="0.3">
      <c r="A1" s="2" t="s">
        <v>12</v>
      </c>
      <c r="B1" s="3"/>
      <c r="C1" s="3"/>
      <c r="D1" s="4"/>
      <c r="E1" s="3"/>
      <c r="F1" s="3"/>
      <c r="G1" s="5"/>
      <c r="H1" s="6" t="s">
        <v>44</v>
      </c>
      <c r="I1" s="5"/>
      <c r="J1" s="5"/>
      <c r="K1" s="5"/>
      <c r="L1" s="7"/>
    </row>
    <row r="2" spans="1:13" ht="15.5" customHeight="1" x14ac:dyDescent="0.2">
      <c r="A2" s="8"/>
      <c r="B2" s="3"/>
      <c r="C2" s="3"/>
      <c r="D2" s="3"/>
      <c r="E2" s="3"/>
      <c r="F2" s="3"/>
      <c r="G2" s="3"/>
      <c r="H2" s="9"/>
      <c r="I2" s="3"/>
      <c r="J2" s="3"/>
      <c r="K2" s="3"/>
      <c r="L2" s="10"/>
    </row>
    <row r="3" spans="1:13" ht="15.5" customHeight="1" thickBot="1" x14ac:dyDescent="0.25">
      <c r="A3" s="3"/>
      <c r="B3" s="3"/>
      <c r="C3" s="11" t="s">
        <v>17</v>
      </c>
      <c r="D3" s="11" t="s">
        <v>18</v>
      </c>
      <c r="E3" s="11" t="s">
        <v>19</v>
      </c>
      <c r="F3" s="11" t="s">
        <v>20</v>
      </c>
      <c r="G3" s="12"/>
      <c r="H3" s="9"/>
      <c r="I3" s="4" t="s">
        <v>14</v>
      </c>
      <c r="J3" s="4" t="s">
        <v>16</v>
      </c>
      <c r="K3" s="4" t="s">
        <v>15</v>
      </c>
      <c r="L3" s="10"/>
    </row>
    <row r="4" spans="1:13" ht="21" thickTop="1" x14ac:dyDescent="0.25">
      <c r="A4" s="13" t="s">
        <v>51</v>
      </c>
      <c r="B4" s="13"/>
      <c r="C4" s="14" t="s">
        <v>50</v>
      </c>
      <c r="D4" s="14" t="s">
        <v>47</v>
      </c>
      <c r="E4" s="14" t="s">
        <v>52</v>
      </c>
      <c r="F4" s="14" t="s">
        <v>53</v>
      </c>
      <c r="G4" s="14"/>
      <c r="H4" s="15" t="s">
        <v>10</v>
      </c>
      <c r="I4" s="16">
        <f>AVERAGE(Price)</f>
        <v>18739.5</v>
      </c>
      <c r="J4" s="16">
        <f>MAX(Price)</f>
        <v>25490</v>
      </c>
      <c r="K4" s="17">
        <f>MIN(Price)</f>
        <v>13995</v>
      </c>
      <c r="L4" s="10"/>
    </row>
    <row r="5" spans="1:13" ht="15.5" customHeight="1" x14ac:dyDescent="0.2">
      <c r="A5" s="14"/>
      <c r="B5" s="4" t="s">
        <v>43</v>
      </c>
      <c r="C5" s="14" t="s">
        <v>21</v>
      </c>
      <c r="D5" s="14" t="s">
        <v>21</v>
      </c>
      <c r="E5" s="14" t="s">
        <v>26</v>
      </c>
      <c r="F5" s="14" t="s">
        <v>23</v>
      </c>
      <c r="G5" s="14"/>
      <c r="H5" s="15" t="s">
        <v>48</v>
      </c>
      <c r="I5" s="18">
        <f>AVERAGE(MPG_City)</f>
        <v>27.5</v>
      </c>
      <c r="J5" s="18">
        <f>MAX(MPG_City)</f>
        <v>44</v>
      </c>
      <c r="K5" s="19">
        <f>MIN(MPG_City)</f>
        <v>18</v>
      </c>
      <c r="L5" s="10"/>
    </row>
    <row r="6" spans="1:13" ht="15.5" customHeight="1" x14ac:dyDescent="0.2">
      <c r="A6" s="3"/>
      <c r="B6" s="4"/>
      <c r="C6" s="20"/>
      <c r="D6" s="21"/>
      <c r="E6" s="22"/>
      <c r="F6" s="3"/>
      <c r="G6" s="3"/>
      <c r="H6" s="15" t="s">
        <v>49</v>
      </c>
      <c r="I6" s="18">
        <f>AVERAGE(MPG_Highway)</f>
        <v>35.25</v>
      </c>
      <c r="J6" s="18">
        <f>MAX(MPG_Highway)</f>
        <v>44</v>
      </c>
      <c r="K6" s="19">
        <f>MIN(MPG_Highway)</f>
        <v>25</v>
      </c>
      <c r="L6" s="10"/>
    </row>
    <row r="7" spans="1:13" ht="15.5" customHeight="1" thickBot="1" x14ac:dyDescent="0.25">
      <c r="A7" s="3"/>
      <c r="B7" s="4" t="s">
        <v>4</v>
      </c>
      <c r="C7" s="4" t="s">
        <v>45</v>
      </c>
      <c r="D7" s="4" t="s">
        <v>46</v>
      </c>
      <c r="E7" s="4" t="s">
        <v>45</v>
      </c>
      <c r="F7" s="4" t="s">
        <v>46</v>
      </c>
      <c r="G7" s="4"/>
      <c r="H7" s="15" t="s">
        <v>56</v>
      </c>
      <c r="I7" s="23">
        <f>AVERAGE(Average_MPG)</f>
        <v>31.375</v>
      </c>
      <c r="J7" s="23">
        <f>MAX(Average_MPG)</f>
        <v>44</v>
      </c>
      <c r="K7" s="24">
        <f>MIN(Average_MPG)</f>
        <v>21.5</v>
      </c>
      <c r="L7" s="10"/>
    </row>
    <row r="8" spans="1:13" ht="15.5" customHeight="1" x14ac:dyDescent="0.2">
      <c r="A8" s="3"/>
      <c r="B8" s="4" t="s">
        <v>10</v>
      </c>
      <c r="C8" s="25">
        <v>25490</v>
      </c>
      <c r="D8" s="25">
        <v>17998</v>
      </c>
      <c r="E8" s="25">
        <v>13995</v>
      </c>
      <c r="F8" s="25">
        <v>17475</v>
      </c>
      <c r="G8" s="3"/>
      <c r="H8" s="9"/>
      <c r="I8" s="3"/>
      <c r="J8" s="3"/>
      <c r="K8" s="3"/>
      <c r="L8" s="10"/>
    </row>
    <row r="9" spans="1:13" ht="15.5" customHeight="1" thickBot="1" x14ac:dyDescent="0.25">
      <c r="A9" s="3"/>
      <c r="B9" s="4" t="s">
        <v>48</v>
      </c>
      <c r="C9" s="3">
        <v>19</v>
      </c>
      <c r="D9" s="3">
        <v>29</v>
      </c>
      <c r="E9" s="3">
        <v>44</v>
      </c>
      <c r="F9" s="3">
        <v>18</v>
      </c>
      <c r="G9" s="3"/>
      <c r="H9" s="26" t="s">
        <v>41</v>
      </c>
      <c r="I9" s="4" t="s">
        <v>14</v>
      </c>
      <c r="J9" s="4" t="s">
        <v>16</v>
      </c>
      <c r="K9" s="4" t="s">
        <v>15</v>
      </c>
      <c r="L9" s="10"/>
      <c r="M9" s="1"/>
    </row>
    <row r="10" spans="1:13" s="1" customFormat="1" ht="15.5" customHeight="1" x14ac:dyDescent="0.2">
      <c r="A10" s="3"/>
      <c r="B10" s="4" t="s">
        <v>49</v>
      </c>
      <c r="C10" s="3">
        <v>31</v>
      </c>
      <c r="D10" s="3">
        <v>41</v>
      </c>
      <c r="E10" s="3">
        <v>44</v>
      </c>
      <c r="F10" s="3">
        <v>25</v>
      </c>
      <c r="G10" s="3"/>
      <c r="H10" s="15" t="s">
        <v>6</v>
      </c>
      <c r="I10" s="16">
        <f>AVERAGE(Maintenance_Year)</f>
        <v>475</v>
      </c>
      <c r="J10" s="16">
        <f>MAX(Maintenance_Year)</f>
        <v>600</v>
      </c>
      <c r="K10" s="17">
        <f>MIN(Maintenance_Year)</f>
        <v>300</v>
      </c>
      <c r="L10" s="10"/>
      <c r="M10"/>
    </row>
    <row r="11" spans="1:13" ht="15" x14ac:dyDescent="0.2">
      <c r="A11" s="3"/>
      <c r="B11" s="4" t="s">
        <v>55</v>
      </c>
      <c r="C11" s="3">
        <f>AVERAGE(C9:C10)</f>
        <v>25</v>
      </c>
      <c r="D11" s="3">
        <f>AVERAGE(D9:D10)</f>
        <v>35</v>
      </c>
      <c r="E11" s="3">
        <f>AVERAGE(E9:E10)</f>
        <v>44</v>
      </c>
      <c r="F11" s="3">
        <f>AVERAGE(F9:F10)</f>
        <v>21.5</v>
      </c>
      <c r="G11" s="3"/>
      <c r="H11" s="15" t="s">
        <v>42</v>
      </c>
      <c r="I11" s="27">
        <f>AVERAGE(Registration_Fee)</f>
        <v>90</v>
      </c>
      <c r="J11" s="27">
        <f>MAX(Registration_Fee)</f>
        <v>100</v>
      </c>
      <c r="K11" s="28">
        <f>MIN(Registration_Fee)</f>
        <v>60</v>
      </c>
      <c r="L11" s="10"/>
    </row>
    <row r="12" spans="1:13" ht="21" thickBot="1" x14ac:dyDescent="0.3">
      <c r="A12" s="13" t="s">
        <v>41</v>
      </c>
      <c r="B12" s="13"/>
      <c r="C12" s="3"/>
      <c r="D12" s="3"/>
      <c r="E12" s="3"/>
      <c r="F12" s="3"/>
      <c r="G12" s="29"/>
      <c r="H12" s="15" t="s">
        <v>8</v>
      </c>
      <c r="I12" s="30">
        <f>AVERAGE(Insurance_Year)</f>
        <v>950</v>
      </c>
      <c r="J12" s="30">
        <f>MAX(Insurance_Year)</f>
        <v>1500</v>
      </c>
      <c r="K12" s="31">
        <f>MIN(Insurance_Year)</f>
        <v>600</v>
      </c>
      <c r="L12" s="10"/>
    </row>
    <row r="13" spans="1:13" ht="15" x14ac:dyDescent="0.2">
      <c r="A13" s="3"/>
      <c r="B13" s="4" t="s">
        <v>37</v>
      </c>
      <c r="C13" s="29">
        <v>600</v>
      </c>
      <c r="D13" s="29">
        <v>300</v>
      </c>
      <c r="E13" s="29">
        <v>500</v>
      </c>
      <c r="F13" s="29">
        <v>500</v>
      </c>
      <c r="G13" s="29"/>
      <c r="H13" s="9"/>
      <c r="I13" s="3"/>
      <c r="J13" s="3"/>
      <c r="K13" s="3"/>
      <c r="L13" s="10"/>
    </row>
    <row r="14" spans="1:13" ht="16" thickBot="1" x14ac:dyDescent="0.25">
      <c r="A14" s="3"/>
      <c r="B14" s="4" t="s">
        <v>42</v>
      </c>
      <c r="C14" s="3">
        <f>VLOOKUP(C5,RegistrationFees,2,TRUE)</f>
        <v>100</v>
      </c>
      <c r="D14" s="3">
        <f>VLOOKUP(D5,RegistrationFees,2,TRUE)</f>
        <v>100</v>
      </c>
      <c r="E14" s="3">
        <f>VLOOKUP(E5,RegistrationFees,2,TRUE)</f>
        <v>60</v>
      </c>
      <c r="F14" s="3">
        <f>VLOOKUP(F5,RegistrationFees,2,TRUE)</f>
        <v>100</v>
      </c>
      <c r="G14" s="29"/>
      <c r="H14" s="32" t="s">
        <v>34</v>
      </c>
      <c r="I14" s="4" t="s">
        <v>14</v>
      </c>
      <c r="J14" s="4" t="s">
        <v>16</v>
      </c>
      <c r="K14" s="4" t="s">
        <v>15</v>
      </c>
      <c r="L14" s="10"/>
    </row>
    <row r="15" spans="1:13" ht="15" x14ac:dyDescent="0.2">
      <c r="A15" s="3"/>
      <c r="B15" s="4" t="s">
        <v>38</v>
      </c>
      <c r="C15" s="29">
        <v>1000</v>
      </c>
      <c r="D15" s="29">
        <v>700</v>
      </c>
      <c r="E15" s="29">
        <v>1500</v>
      </c>
      <c r="F15" s="29">
        <v>600</v>
      </c>
      <c r="G15" s="3"/>
      <c r="H15" s="15" t="s">
        <v>35</v>
      </c>
      <c r="I15" s="16">
        <f>AVERAGE(Amount_to_Borrow)</f>
        <v>13739.5</v>
      </c>
      <c r="J15" s="16">
        <f>MAX(Amount_to_Borrow)</f>
        <v>20490</v>
      </c>
      <c r="K15" s="17">
        <f>MIN(Amount_to_Borrow)</f>
        <v>8995</v>
      </c>
      <c r="L15" s="10"/>
    </row>
    <row r="16" spans="1:13" ht="20" x14ac:dyDescent="0.25">
      <c r="A16" s="13" t="s">
        <v>36</v>
      </c>
      <c r="B16" s="13"/>
      <c r="C16" s="4" t="str">
        <f>IF(C8&lt;=Assumptions!$A$3,"no","yes")</f>
        <v>yes</v>
      </c>
      <c r="D16" s="4" t="str">
        <f>IF(D8&lt;=Assumptions!$A$3,"no","yes")</f>
        <v>yes</v>
      </c>
      <c r="E16" s="4" t="str">
        <f>IF(E8&lt;=Assumptions!$A$3,"no","yes")</f>
        <v>yes</v>
      </c>
      <c r="F16" s="4" t="str">
        <f>IF(F8&lt;=Assumptions!$A$3,"no","yes")</f>
        <v>yes</v>
      </c>
      <c r="G16" s="25"/>
      <c r="H16" s="15" t="s">
        <v>1</v>
      </c>
      <c r="I16" s="33">
        <f>AVERAGE(APR)</f>
        <v>4.6500000000000007E-2</v>
      </c>
      <c r="J16" s="33">
        <f>MAX(APR)</f>
        <v>7.9000000000000001E-2</v>
      </c>
      <c r="K16" s="34">
        <f>MIN(APR)</f>
        <v>1.9E-2</v>
      </c>
      <c r="L16" s="10"/>
    </row>
    <row r="17" spans="1:12" ht="15.5" customHeight="1" thickBot="1" x14ac:dyDescent="0.25">
      <c r="A17" s="3"/>
      <c r="B17" s="4" t="s">
        <v>35</v>
      </c>
      <c r="C17" s="29">
        <f>SUM(C8-Assumptions!$A$3)</f>
        <v>20490</v>
      </c>
      <c r="D17" s="29">
        <f>SUM(D8-Assumptions!$A$3)</f>
        <v>12998</v>
      </c>
      <c r="E17" s="29">
        <f>SUM(E8-Assumptions!$A$3)</f>
        <v>8995</v>
      </c>
      <c r="F17" s="29">
        <f>SUM(F8-Assumptions!$A$3)</f>
        <v>12475</v>
      </c>
      <c r="G17" s="35"/>
      <c r="H17" s="15" t="s">
        <v>2</v>
      </c>
      <c r="I17" s="36">
        <f>AVERAGE(Years)</f>
        <v>3.5</v>
      </c>
      <c r="J17" s="36">
        <f>MAX(Years)</f>
        <v>5</v>
      </c>
      <c r="K17" s="37">
        <f>MIN(Years)</f>
        <v>2</v>
      </c>
      <c r="L17" s="10"/>
    </row>
    <row r="18" spans="1:12" ht="15.5" customHeight="1" x14ac:dyDescent="0.2">
      <c r="A18" s="3"/>
      <c r="B18" s="4" t="s">
        <v>1</v>
      </c>
      <c r="C18" s="35">
        <v>4.9000000000000002E-2</v>
      </c>
      <c r="D18" s="35">
        <v>1.9E-2</v>
      </c>
      <c r="E18" s="35">
        <v>7.9000000000000001E-2</v>
      </c>
      <c r="F18" s="35">
        <v>3.9E-2</v>
      </c>
      <c r="G18" s="3"/>
      <c r="H18" s="9"/>
      <c r="I18" s="3"/>
      <c r="J18" s="3"/>
      <c r="K18" s="3"/>
      <c r="L18" s="10"/>
    </row>
    <row r="19" spans="1:12" ht="16" thickBot="1" x14ac:dyDescent="0.25">
      <c r="A19" s="3"/>
      <c r="B19" s="4" t="s">
        <v>2</v>
      </c>
      <c r="C19" s="3">
        <v>5</v>
      </c>
      <c r="D19" s="3">
        <v>4</v>
      </c>
      <c r="E19" s="3">
        <v>2</v>
      </c>
      <c r="F19" s="3">
        <v>3</v>
      </c>
      <c r="G19" s="3"/>
      <c r="H19" s="32" t="s">
        <v>33</v>
      </c>
      <c r="I19" s="4" t="s">
        <v>14</v>
      </c>
      <c r="J19" s="4" t="s">
        <v>16</v>
      </c>
      <c r="K19" s="4" t="s">
        <v>15</v>
      </c>
      <c r="L19" s="10"/>
    </row>
    <row r="20" spans="1:12" ht="20" x14ac:dyDescent="0.25">
      <c r="A20" s="13" t="s">
        <v>33</v>
      </c>
      <c r="B20" s="13"/>
      <c r="C20" s="3"/>
      <c r="D20" s="3"/>
      <c r="E20" s="3"/>
      <c r="F20" s="3"/>
      <c r="G20" s="38"/>
      <c r="H20" s="15" t="s">
        <v>5</v>
      </c>
      <c r="I20" s="16">
        <f>AVERAGE(Gas)</f>
        <v>66.648051948051958</v>
      </c>
      <c r="J20" s="16">
        <f>MAX(Gas)</f>
        <v>87.6</v>
      </c>
      <c r="K20" s="17">
        <f>MIN(Gas)</f>
        <v>49.772727272727273</v>
      </c>
      <c r="L20" s="10"/>
    </row>
    <row r="21" spans="1:12" ht="15.5" customHeight="1" x14ac:dyDescent="0.2">
      <c r="A21" s="3"/>
      <c r="B21" s="4" t="s">
        <v>5</v>
      </c>
      <c r="C21" s="38">
        <f>(Assumptions!$A$5/Purchase!C11)*Assumptions!$A$6</f>
        <v>87.6</v>
      </c>
      <c r="D21" s="38">
        <f>(Assumptions!$A$5/Purchase!D11)*Assumptions!$A$6</f>
        <v>62.571428571428569</v>
      </c>
      <c r="E21" s="38">
        <f>(Assumptions!$A$5/Purchase!E11)*Assumptions!$A$6</f>
        <v>49.772727272727273</v>
      </c>
      <c r="F21" s="4" t="str">
        <f>IF(F13&lt;=Assumptions!$A$3,"no","yes")</f>
        <v>no</v>
      </c>
      <c r="G21" s="38"/>
      <c r="H21" s="15" t="s">
        <v>9</v>
      </c>
      <c r="I21" s="27">
        <f>AVERAGE(Loan_Payment)</f>
        <v>360.33155723872596</v>
      </c>
      <c r="J21" s="27">
        <f>MAX(Loan_Payment)</f>
        <v>406.40936366141739</v>
      </c>
      <c r="K21" s="28">
        <f>MIN(Loan_Payment)</f>
        <v>281.42629567085504</v>
      </c>
      <c r="L21" s="10"/>
    </row>
    <row r="22" spans="1:12" ht="15.5" customHeight="1" x14ac:dyDescent="0.2">
      <c r="A22" s="3"/>
      <c r="B22" s="4" t="s">
        <v>9</v>
      </c>
      <c r="C22" s="39">
        <f>-PMT(C18/12,C19*12,C17)</f>
        <v>385.73354286299877</v>
      </c>
      <c r="D22" s="38">
        <f t="shared" ref="D22:F22" si="0">-PMT(D18/12,D19*12,D17)</f>
        <v>281.42629567085504</v>
      </c>
      <c r="E22" s="38">
        <f t="shared" si="0"/>
        <v>406.40936366141739</v>
      </c>
      <c r="F22" s="38">
        <f t="shared" si="0"/>
        <v>367.75702675963259</v>
      </c>
      <c r="G22" s="38"/>
      <c r="H22" s="15" t="s">
        <v>6</v>
      </c>
      <c r="I22" s="27">
        <f>AVERAGE(Maintenance_Month)</f>
        <v>39.583333333333329</v>
      </c>
      <c r="J22" s="27">
        <f>MAX(Maintenance_Month)</f>
        <v>50</v>
      </c>
      <c r="K22" s="28">
        <f>MIN(Maintenance_Month)</f>
        <v>25</v>
      </c>
      <c r="L22" s="10"/>
    </row>
    <row r="23" spans="1:12" ht="15.5" customHeight="1" x14ac:dyDescent="0.2">
      <c r="A23" s="3"/>
      <c r="B23" s="4" t="s">
        <v>39</v>
      </c>
      <c r="C23" s="39">
        <f>C13/12</f>
        <v>50</v>
      </c>
      <c r="D23" s="38">
        <f t="shared" ref="D23:F23" si="1">D13/12</f>
        <v>25</v>
      </c>
      <c r="E23" s="38">
        <f t="shared" si="1"/>
        <v>41.666666666666664</v>
      </c>
      <c r="F23" s="38">
        <f t="shared" si="1"/>
        <v>41.666666666666664</v>
      </c>
      <c r="G23" s="38"/>
      <c r="H23" s="15" t="s">
        <v>0</v>
      </c>
      <c r="I23" s="27">
        <f>AVERAGE(Insurance_Month)</f>
        <v>79.166666666666657</v>
      </c>
      <c r="J23" s="27">
        <f>MAX(Insurance_Month)</f>
        <v>125</v>
      </c>
      <c r="K23" s="28">
        <f>MIN(Insurance_Month)</f>
        <v>50</v>
      </c>
      <c r="L23" s="10"/>
    </row>
    <row r="24" spans="1:12" ht="15.5" customHeight="1" thickBot="1" x14ac:dyDescent="0.25">
      <c r="A24" s="3"/>
      <c r="B24" s="4" t="s">
        <v>40</v>
      </c>
      <c r="C24" s="39">
        <f>C15/12</f>
        <v>83.333333333333329</v>
      </c>
      <c r="D24" s="38">
        <f t="shared" ref="D24:F24" si="2">D15/12</f>
        <v>58.333333333333336</v>
      </c>
      <c r="E24" s="38">
        <f t="shared" si="2"/>
        <v>125</v>
      </c>
      <c r="F24" s="38">
        <f t="shared" si="2"/>
        <v>50</v>
      </c>
      <c r="G24" s="38"/>
      <c r="H24" s="15" t="s">
        <v>7</v>
      </c>
      <c r="I24" s="30">
        <f>AVERAGE(Total_Monthly)</f>
        <v>529.06759619976492</v>
      </c>
      <c r="J24" s="30">
        <f>MAX(Total_Monthly)</f>
        <v>622.84875760081127</v>
      </c>
      <c r="K24" s="31">
        <f>MIN(Total_Monthly)</f>
        <v>427.33105757561691</v>
      </c>
      <c r="L24" s="10"/>
    </row>
    <row r="25" spans="1:12" ht="15.5" customHeight="1" thickBot="1" x14ac:dyDescent="0.25">
      <c r="A25" s="3"/>
      <c r="B25" s="40" t="s">
        <v>7</v>
      </c>
      <c r="C25" s="41">
        <f>SUM(C21:C24)</f>
        <v>606.66687619633217</v>
      </c>
      <c r="D25" s="41">
        <f t="shared" ref="D25:F25" si="3">SUM(D21:D24)</f>
        <v>427.33105757561691</v>
      </c>
      <c r="E25" s="41">
        <f t="shared" si="3"/>
        <v>622.84875760081127</v>
      </c>
      <c r="F25" s="41">
        <f t="shared" si="3"/>
        <v>459.42369342629928</v>
      </c>
      <c r="G25" s="3"/>
      <c r="H25" s="42"/>
      <c r="I25" s="43"/>
      <c r="J25" s="43"/>
      <c r="K25" s="43"/>
      <c r="L25" s="44"/>
    </row>
    <row r="26" spans="1:12" ht="15.5" customHeight="1" thickTop="1" x14ac:dyDescent="0.2">
      <c r="A26" s="3"/>
      <c r="B26" s="4"/>
      <c r="C26" s="45"/>
      <c r="D26" s="3"/>
      <c r="E26" s="3"/>
      <c r="F26" s="3"/>
      <c r="G26" s="4"/>
      <c r="H26" s="46"/>
      <c r="I26" s="46"/>
      <c r="J26" s="46"/>
      <c r="K26" s="46"/>
      <c r="L26" s="46"/>
    </row>
    <row r="27" spans="1:12" ht="15.5" customHeight="1" x14ac:dyDescent="0.2">
      <c r="A27" s="3"/>
      <c r="B27" s="47" t="s">
        <v>54</v>
      </c>
      <c r="C27" s="48" t="str">
        <f>IF(C25&lt;=Assumptions!$A$4,"yes","no")</f>
        <v>no</v>
      </c>
      <c r="D27" s="48" t="str">
        <f>IF(D25&lt;=Assumptions!$A$4,"yes","no")</f>
        <v>yes</v>
      </c>
      <c r="E27" s="48" t="str">
        <f>IF(E25&lt;=Assumptions!$A$4,"yes","no")</f>
        <v>no</v>
      </c>
      <c r="F27" s="48" t="str">
        <f>IF(F25&lt;=Assumptions!$A$4,"yes","no")</f>
        <v>yes</v>
      </c>
      <c r="G27" s="46"/>
      <c r="H27" s="46"/>
      <c r="I27" s="46"/>
      <c r="J27" s="46"/>
      <c r="K27" s="46"/>
      <c r="L27" s="46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Formulas="1" workbookViewId="0">
      <selection activeCell="B11" sqref="B11:C18"/>
    </sheetView>
  </sheetViews>
  <sheetFormatPr baseColWidth="10" defaultColWidth="8.83203125" defaultRowHeight="15" x14ac:dyDescent="0.2"/>
  <cols>
    <col min="2" max="2" width="18.5" customWidth="1"/>
  </cols>
  <sheetData>
    <row r="1" spans="1:7" ht="24" x14ac:dyDescent="0.3">
      <c r="A1" s="49" t="s">
        <v>31</v>
      </c>
      <c r="B1" s="46"/>
      <c r="C1" s="46"/>
      <c r="D1" s="46"/>
      <c r="E1" s="46"/>
      <c r="F1" s="46"/>
      <c r="G1" s="46"/>
    </row>
    <row r="2" spans="1:7" ht="16" thickBot="1" x14ac:dyDescent="0.25">
      <c r="A2" s="46"/>
      <c r="B2" s="46"/>
      <c r="C2" s="46"/>
      <c r="D2" s="46"/>
      <c r="E2" s="46"/>
      <c r="F2" s="46"/>
      <c r="G2" s="46"/>
    </row>
    <row r="3" spans="1:7" x14ac:dyDescent="0.2">
      <c r="A3" s="50">
        <v>5000</v>
      </c>
      <c r="B3" s="51" t="s">
        <v>32</v>
      </c>
      <c r="C3" s="52"/>
      <c r="D3" s="52"/>
      <c r="E3" s="52"/>
      <c r="F3" s="52"/>
      <c r="G3" s="53"/>
    </row>
    <row r="4" spans="1:7" x14ac:dyDescent="0.2">
      <c r="A4" s="54">
        <v>600</v>
      </c>
      <c r="B4" s="55" t="s">
        <v>11</v>
      </c>
      <c r="C4" s="56"/>
      <c r="D4" s="56"/>
      <c r="E4" s="56"/>
      <c r="F4" s="56"/>
      <c r="G4" s="57"/>
    </row>
    <row r="5" spans="1:7" x14ac:dyDescent="0.2">
      <c r="A5" s="58">
        <v>600</v>
      </c>
      <c r="B5" s="55" t="s">
        <v>13</v>
      </c>
      <c r="C5" s="56"/>
      <c r="D5" s="56"/>
      <c r="E5" s="56"/>
      <c r="F5" s="56"/>
      <c r="G5" s="57"/>
    </row>
    <row r="6" spans="1:7" ht="16" thickBot="1" x14ac:dyDescent="0.25">
      <c r="A6" s="59">
        <v>3.65</v>
      </c>
      <c r="B6" s="60" t="s">
        <v>3</v>
      </c>
      <c r="C6" s="61"/>
      <c r="D6" s="61"/>
      <c r="E6" s="61"/>
      <c r="F6" s="61"/>
      <c r="G6" s="62"/>
    </row>
    <row r="7" spans="1:7" x14ac:dyDescent="0.2">
      <c r="A7" s="46"/>
      <c r="B7" s="46"/>
      <c r="C7" s="46"/>
      <c r="D7" s="46"/>
      <c r="E7" s="46"/>
      <c r="F7" s="46"/>
      <c r="G7" s="46"/>
    </row>
    <row r="8" spans="1:7" x14ac:dyDescent="0.2">
      <c r="A8" s="46"/>
      <c r="B8" s="46"/>
      <c r="C8" s="46"/>
      <c r="D8" s="46"/>
      <c r="E8" s="46"/>
      <c r="F8" s="46"/>
      <c r="G8" s="46"/>
    </row>
    <row r="9" spans="1:7" ht="24" x14ac:dyDescent="0.3">
      <c r="A9" s="49" t="s">
        <v>30</v>
      </c>
      <c r="B9" s="46"/>
      <c r="C9" s="46"/>
      <c r="D9" s="46"/>
      <c r="E9" s="46"/>
      <c r="F9" s="46"/>
      <c r="G9" s="46"/>
    </row>
    <row r="10" spans="1:7" ht="16" thickBot="1" x14ac:dyDescent="0.25">
      <c r="A10" s="63" t="s">
        <v>29</v>
      </c>
      <c r="B10" s="64">
        <v>1</v>
      </c>
      <c r="C10" s="64">
        <v>2</v>
      </c>
      <c r="D10" s="46"/>
      <c r="E10" s="46"/>
      <c r="F10" s="46"/>
      <c r="G10" s="46"/>
    </row>
    <row r="11" spans="1:7" x14ac:dyDescent="0.2">
      <c r="A11" s="46"/>
      <c r="B11" s="65" t="s">
        <v>24</v>
      </c>
      <c r="C11" s="66">
        <v>100</v>
      </c>
      <c r="D11" s="46"/>
      <c r="E11" s="46"/>
      <c r="F11" s="46"/>
      <c r="G11" s="46"/>
    </row>
    <row r="12" spans="1:7" x14ac:dyDescent="0.2">
      <c r="A12" s="46"/>
      <c r="B12" s="67" t="s">
        <v>27</v>
      </c>
      <c r="C12" s="68">
        <v>68</v>
      </c>
      <c r="D12" s="46"/>
      <c r="E12" s="46"/>
      <c r="F12" s="46"/>
      <c r="G12" s="46"/>
    </row>
    <row r="13" spans="1:7" x14ac:dyDescent="0.2">
      <c r="A13" s="46"/>
      <c r="B13" s="67" t="s">
        <v>22</v>
      </c>
      <c r="C13" s="68">
        <v>100</v>
      </c>
      <c r="D13" s="46"/>
      <c r="E13" s="46"/>
      <c r="F13" s="46"/>
      <c r="G13" s="46"/>
    </row>
    <row r="14" spans="1:7" x14ac:dyDescent="0.2">
      <c r="A14" s="46"/>
      <c r="B14" s="67" t="s">
        <v>26</v>
      </c>
      <c r="C14" s="68">
        <v>60</v>
      </c>
      <c r="D14" s="46"/>
      <c r="E14" s="46"/>
      <c r="F14" s="46"/>
      <c r="G14" s="46"/>
    </row>
    <row r="15" spans="1:7" x14ac:dyDescent="0.2">
      <c r="A15" s="46"/>
      <c r="B15" s="67" t="s">
        <v>21</v>
      </c>
      <c r="C15" s="68">
        <v>100</v>
      </c>
      <c r="D15" s="46"/>
      <c r="E15" s="46"/>
      <c r="F15" s="46"/>
      <c r="G15" s="46"/>
    </row>
    <row r="16" spans="1:7" x14ac:dyDescent="0.2">
      <c r="A16" s="46"/>
      <c r="B16" s="67" t="s">
        <v>28</v>
      </c>
      <c r="C16" s="68">
        <v>160</v>
      </c>
      <c r="D16" s="46"/>
      <c r="E16" s="46"/>
      <c r="F16" s="46"/>
      <c r="G16" s="46"/>
    </row>
    <row r="17" spans="1:7" x14ac:dyDescent="0.2">
      <c r="A17" s="46"/>
      <c r="B17" s="67" t="s">
        <v>25</v>
      </c>
      <c r="C17" s="68">
        <v>30</v>
      </c>
      <c r="D17" s="46"/>
      <c r="E17" s="46"/>
      <c r="F17" s="46"/>
      <c r="G17" s="46"/>
    </row>
    <row r="18" spans="1:7" ht="16" thickBot="1" x14ac:dyDescent="0.25">
      <c r="A18" s="46"/>
      <c r="B18" s="69" t="s">
        <v>23</v>
      </c>
      <c r="C18" s="70">
        <v>100</v>
      </c>
      <c r="D18" s="46"/>
      <c r="E18" s="46"/>
      <c r="F18" s="46"/>
      <c r="G18" s="4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+RDpWRl59QFMCdwia7VRiHnJ+1JGSus6</kers>
  <massa>3/28/2016 5:27:01 PM</massa>
  <hamilton>true</hamilton>
</senna>
</file>

<file path=customXml/itemProps1.xml><?xml version="1.0" encoding="utf-8"?>
<ds:datastoreItem xmlns:ds="http://schemas.openxmlformats.org/officeDocument/2006/customXml" ds:itemID="{D7358824-9FAC-4020-AB6E-997124C55346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</vt:lpstr>
      <vt:lpstr>Assumptions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2013-06-06T22:47:45Z</dcterms:created>
  <dcterms:modified xsi:type="dcterms:W3CDTF">2016-03-28T22:44:39Z</dcterms:modified>
</cp:coreProperties>
</file>