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ffs\Desktop\Analysis Projects\Crowdfunding Analysis\"/>
    </mc:Choice>
  </mc:AlternateContent>
  <xr:revisionPtr revIDLastSave="0" documentId="13_ncr:1_{D3AB7940-7F54-41FD-A4A4-CC603001F26A}" xr6:coauthVersionLast="47" xr6:coauthVersionMax="47" xr10:uidLastSave="{00000000-0000-0000-0000-000000000000}"/>
  <bookViews>
    <workbookView xWindow="11196" yWindow="36" windowWidth="11784" windowHeight="12360" firstSheet="6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Descriptive Statistics" sheetId="12" r:id="rId6"/>
    <sheet name="Theater Outcomes By Launch Date" sheetId="17" r:id="rId7"/>
    <sheet name="Outcomes Based on Goals" sheetId="1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8" l="1"/>
  <c r="E2" i="18" s="1"/>
  <c r="E3" i="18"/>
  <c r="F3" i="18" s="1"/>
  <c r="E4" i="18"/>
  <c r="F4" i="18" s="1"/>
  <c r="E5" i="18"/>
  <c r="E6" i="18"/>
  <c r="E7" i="18"/>
  <c r="H7" i="18" s="1"/>
  <c r="E8" i="18"/>
  <c r="F8" i="18" s="1"/>
  <c r="E9" i="18"/>
  <c r="F9" i="18" s="1"/>
  <c r="E10" i="18"/>
  <c r="E11" i="18"/>
  <c r="F11" i="18" s="1"/>
  <c r="E12" i="18"/>
  <c r="F12" i="18" s="1"/>
  <c r="E13" i="18"/>
  <c r="H3" i="18"/>
  <c r="H5" i="18"/>
  <c r="H6" i="18"/>
  <c r="H8" i="18"/>
  <c r="H10" i="18"/>
  <c r="H11" i="18"/>
  <c r="H13" i="18"/>
  <c r="G4" i="18"/>
  <c r="G5" i="18"/>
  <c r="G6" i="18"/>
  <c r="G8" i="18"/>
  <c r="G10" i="18"/>
  <c r="G12" i="18"/>
  <c r="G13" i="18"/>
  <c r="F5" i="18"/>
  <c r="F6" i="18"/>
  <c r="F7" i="18"/>
  <c r="F10" i="18"/>
  <c r="F13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C13" i="12"/>
  <c r="C12" i="12"/>
  <c r="C14" i="12" s="1"/>
  <c r="C11" i="12"/>
  <c r="B13" i="12"/>
  <c r="B12" i="12"/>
  <c r="B14" i="12" s="1"/>
  <c r="B11" i="12"/>
  <c r="C6" i="12"/>
  <c r="C5" i="12"/>
  <c r="C7" i="12" s="1"/>
  <c r="C4" i="12"/>
  <c r="B6" i="12"/>
  <c r="B5" i="12"/>
  <c r="B4" i="12"/>
  <c r="C10" i="12"/>
  <c r="C9" i="12"/>
  <c r="B10" i="12"/>
  <c r="B3" i="12"/>
  <c r="B9" i="12"/>
  <c r="B2" i="12"/>
  <c r="C3" i="12"/>
  <c r="C2" i="12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2" l="1"/>
  <c r="F2" i="18"/>
  <c r="G2" i="18"/>
  <c r="H2" i="18"/>
  <c r="G11" i="18"/>
  <c r="G3" i="18"/>
  <c r="G9" i="18"/>
  <c r="H12" i="18"/>
  <c r="H4" i="18"/>
  <c r="G7" i="18"/>
  <c r="H9" i="18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<sst xmlns="http://schemas.openxmlformats.org/spreadsheetml/2006/main" count="33050" uniqueCount="8418">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</sst>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0" fillId="2" borderId="0" xfId="0" applyFill="1"/>
    <xf numFmtId="10" fontId="0" fillId="2" borderId="0" xfId="0" applyNumberFormat="1" applyFill="1"/>
    <xf numFmtId="0" fontId="2" fillId="3" borderId="0" xfId="0" applyFont="1" applyFill="1"/>
    <xf numFmtId="0" fontId="0" fillId="3" borderId="0" xfId="0" applyFill="1"/>
    <xf numFmtId="10" fontId="0" fillId="3" borderId="0" xfId="0" applyNumberFormat="1" applyFill="1"/>
    <xf numFmtId="0" fontId="2" fillId="4" borderId="0" xfId="0" applyFont="1" applyFill="1"/>
    <xf numFmtId="0" fontId="0" fillId="4" borderId="0" xfId="0" applyFill="1"/>
    <xf numFmtId="10" fontId="0" fillId="4" borderId="0" xfId="0" applyNumberFormat="1" applyFill="1"/>
    <xf numFmtId="0" fontId="2" fillId="5" borderId="0" xfId="0" applyFont="1" applyFill="1"/>
    <xf numFmtId="0" fontId="0" fillId="5" borderId="0" xfId="0" applyFill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7-4C53-8F8F-808EFB0FE7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7-4C53-8F8F-808EFB0FE7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7-4C53-8F8F-808EFB0FE7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27-4C53-8F8F-808EFB0FE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4443248"/>
        <c:axId val="1634443664"/>
      </c:barChart>
      <c:catAx>
        <c:axId val="163444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43664"/>
        <c:crosses val="autoZero"/>
        <c:auto val="1"/>
        <c:lblAlgn val="ctr"/>
        <c:lblOffset val="100"/>
        <c:noMultiLvlLbl val="0"/>
      </c:catAx>
      <c:valAx>
        <c:axId val="16344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5-4FDE-B4D4-B198E88FF7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5-4FDE-B4D4-B198E88FF7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5-4FDE-B4D4-B198E88F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6332848"/>
        <c:axId val="1706334928"/>
      </c:barChart>
      <c:catAx>
        <c:axId val="170633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34928"/>
        <c:crosses val="autoZero"/>
        <c:auto val="1"/>
        <c:lblAlgn val="ctr"/>
        <c:lblOffset val="100"/>
        <c:noMultiLvlLbl val="0"/>
      </c:catAx>
      <c:valAx>
        <c:axId val="17063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3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Outcomes</a:t>
            </a:r>
          </a:p>
        </c:rich>
      </c:tx>
      <c:layout>
        <c:manualLayout>
          <c:xMode val="edge"/>
          <c:yMode val="edge"/>
          <c:x val="0.33766741777856546"/>
          <c:y val="3.9192545441165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44624486247906E-2"/>
          <c:y val="0.14797507788161993"/>
          <c:w val="0.69868892996092535"/>
          <c:h val="0.761688988642774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A-4B83-9258-FC1A4D4085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A-4B83-9258-FC1A4D4085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9A-4B83-9258-FC1A4D4085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9A-4B83-9258-FC1A4D408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120848"/>
        <c:axId val="1308121264"/>
      </c:lineChart>
      <c:catAx>
        <c:axId val="13081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21264"/>
        <c:crosses val="autoZero"/>
        <c:auto val="1"/>
        <c:lblAlgn val="ctr"/>
        <c:lblOffset val="100"/>
        <c:noMultiLvlLbl val="0"/>
      </c:catAx>
      <c:valAx>
        <c:axId val="13081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1488748906386701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D-4FE2-AB2B-6283515DCF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D-4FE2-AB2B-6283515DCF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D-4FE2-AB2B-6283515DC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004175"/>
        <c:axId val="1775002927"/>
      </c:lineChart>
      <c:catAx>
        <c:axId val="1775004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02927"/>
        <c:crosses val="autoZero"/>
        <c:auto val="1"/>
        <c:lblAlgn val="ctr"/>
        <c:lblOffset val="100"/>
        <c:noMultiLvlLbl val="0"/>
      </c:catAx>
      <c:valAx>
        <c:axId val="17750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0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9-420B-B754-6381FF6886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9-420B-B754-6381FF6886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9-420B-B754-6381FF68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5245247"/>
        <c:axId val="1715246079"/>
      </c:lineChart>
      <c:catAx>
        <c:axId val="171524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246079"/>
        <c:crosses val="autoZero"/>
        <c:auto val="1"/>
        <c:lblAlgn val="ctr"/>
        <c:lblOffset val="100"/>
        <c:noMultiLvlLbl val="0"/>
      </c:catAx>
      <c:valAx>
        <c:axId val="1715246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24524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</xdr:rowOff>
    </xdr:from>
    <xdr:to>
      <xdr:col>6</xdr:col>
      <xdr:colOff>274320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9BEA-D6E6-4D11-B247-68175B23B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48</xdr:row>
      <xdr:rowOff>15240</xdr:rowOff>
    </xdr:from>
    <xdr:to>
      <xdr:col>6</xdr:col>
      <xdr:colOff>449580</xdr:colOff>
      <xdr:row>63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41C47-C1B7-4555-B7D2-C4803B17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53340</xdr:rowOff>
    </xdr:from>
    <xdr:to>
      <xdr:col>6</xdr:col>
      <xdr:colOff>441960</xdr:colOff>
      <xdr:row>38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36537-7EA1-448C-A016-A5C7C6531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</xdr:rowOff>
    </xdr:from>
    <xdr:to>
      <xdr:col>5</xdr:col>
      <xdr:colOff>609600</xdr:colOff>
      <xdr:row>34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0A836-D609-4D70-BAFD-36D140F61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3810</xdr:rowOff>
    </xdr:from>
    <xdr:to>
      <xdr:col>6</xdr:col>
      <xdr:colOff>7620</xdr:colOff>
      <xdr:row>29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0A47F4-E3B5-4EBF-B877-6BC6EB7C7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trauch" refreshedDate="44536.574546064818" createdVersion="7" refreshedVersion="7" minRefreshableVersion="3" recordCount="4114" xr:uid="{212A7FBE-6FB6-40D6-AD7B-BF3AD361A9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trauch" refreshedDate="44536.600673379631" createdVersion="7" refreshedVersion="7" minRefreshableVersion="3" recordCount="4114" xr:uid="{0A6FDC19-69CB-4469-95CD-41D5BA99D0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trauch" refreshedDate="44548.576206018515" createdVersion="7" refreshedVersion="7" minRefreshableVersion="3" recordCount="4114" xr:uid="{A4D07EB2-BDDE-471F-B5C5-B4B9DEDE614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1F6A7-AA22-43F1-855E-F0710762189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76390-0EDE-4E9B-A9A5-DA300C28EC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44F04-5219-4A3B-A0DF-38478CBF2EC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36F7B-59DA-4249-B80C-37F6C1CE1445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O19" activePane="bottomRight" state="frozen"/>
      <selection pane="topRight" activeCell="D1" sqref="D1"/>
      <selection pane="bottomLeft" activeCell="A2" sqref="A2"/>
      <selection pane="bottomRight" activeCell="H31" sqref="H3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"live"</formula>
    </cfRule>
    <cfRule type="cellIs" dxfId="3" priority="6" operator="equal">
      <formula>"live"</formula>
    </cfRule>
    <cfRule type="cellIs" dxfId="2" priority="7" operator="equal">
      <formula>"unsuccessful"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90825-D084-4BD6-86ED-3F004DD621D5}">
  <dimension ref="A1:F6"/>
  <sheetViews>
    <sheetView topLeftCell="B10" workbookViewId="0">
      <selection activeCell="G16" sqref="G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EA7D-F308-4E8A-A62C-11087BF2FD8D}">
  <dimension ref="A1:E7"/>
  <sheetViews>
    <sheetView topLeftCell="A4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DCC1-28AB-4342-A62F-3A2B6CF5A0B2}">
  <dimension ref="A1:F18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D562-DB6A-47D8-8E21-4032B550A1FE}">
  <dimension ref="A1:F6"/>
  <sheetViews>
    <sheetView topLeftCell="B1" workbookViewId="0">
      <selection activeCell="H7" sqref="H7"/>
    </sheetView>
  </sheetViews>
  <sheetFormatPr defaultRowHeight="14.4" x14ac:dyDescent="0.3"/>
  <cols>
    <col min="1" max="1" width="30.5546875" bestFit="1" customWidth="1"/>
    <col min="2" max="2" width="26.77734375" customWidth="1"/>
    <col min="5" max="5" width="16.21875" bestFit="1" customWidth="1"/>
    <col min="6" max="6" width="17.21875" bestFit="1" customWidth="1"/>
  </cols>
  <sheetData>
    <row r="1" spans="1:6" x14ac:dyDescent="0.3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8307</v>
      </c>
      <c r="F1" s="9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1425-81B4-46FF-8A55-4EC4646BBBDF}">
  <dimension ref="A1:C14"/>
  <sheetViews>
    <sheetView workbookViewId="0">
      <selection activeCell="I22" sqref="I22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x14ac:dyDescent="0.3">
      <c r="B1" s="9" t="s">
        <v>8388</v>
      </c>
      <c r="C1" s="9" t="s">
        <v>8389</v>
      </c>
    </row>
    <row r="2" spans="1:3" x14ac:dyDescent="0.3">
      <c r="A2" s="9" t="s">
        <v>8384</v>
      </c>
      <c r="B2" s="6" t="e">
        <f>AVERAGE(#REF!)</f>
        <v>#REF!</v>
      </c>
      <c r="C2" s="6" t="e">
        <f>AVERAGE(#REF!)</f>
        <v>#REF!</v>
      </c>
    </row>
    <row r="3" spans="1:3" x14ac:dyDescent="0.3">
      <c r="A3" s="9" t="s">
        <v>8385</v>
      </c>
      <c r="B3" s="6" t="e">
        <f>MEDIAN(#REF!)</f>
        <v>#REF!</v>
      </c>
      <c r="C3" s="6" t="e">
        <f>MEDIAN(#REF!)</f>
        <v>#REF!</v>
      </c>
    </row>
    <row r="4" spans="1:3" x14ac:dyDescent="0.3">
      <c r="A4" s="9" t="s">
        <v>8390</v>
      </c>
      <c r="B4" s="6" t="e">
        <f>_xlfn.STDEV.P(#REF!)</f>
        <v>#REF!</v>
      </c>
      <c r="C4" s="6" t="e">
        <f>_xlfn.STDEV.P(#REF!)</f>
        <v>#REF!</v>
      </c>
    </row>
    <row r="5" spans="1:3" x14ac:dyDescent="0.3">
      <c r="A5" s="9" t="s">
        <v>8391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3">
      <c r="A6" s="9" t="s">
        <v>8392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3">
      <c r="A7" s="9" t="s">
        <v>8393</v>
      </c>
      <c r="B7" s="6" t="e">
        <f>B5-B6</f>
        <v>#REF!</v>
      </c>
      <c r="C7" s="6" t="e">
        <f>C5-C6</f>
        <v>#REF!</v>
      </c>
    </row>
    <row r="9" spans="1:3" x14ac:dyDescent="0.3">
      <c r="A9" s="9" t="s">
        <v>8386</v>
      </c>
      <c r="B9" s="6" t="e">
        <f>AVERAGE(#REF!)</f>
        <v>#REF!</v>
      </c>
      <c r="C9" s="6" t="e">
        <f>AVERAGE(#REF!)</f>
        <v>#REF!</v>
      </c>
    </row>
    <row r="10" spans="1:3" x14ac:dyDescent="0.3">
      <c r="A10" s="9" t="s">
        <v>8387</v>
      </c>
      <c r="B10" s="6" t="e">
        <f>MEDIAN(#REF!)</f>
        <v>#REF!</v>
      </c>
      <c r="C10" s="6" t="e">
        <f>MEDIAN(#REF!)</f>
        <v>#REF!</v>
      </c>
    </row>
    <row r="11" spans="1:3" x14ac:dyDescent="0.3">
      <c r="A11" s="9" t="s">
        <v>8394</v>
      </c>
      <c r="B11" s="6" t="e">
        <f>_xlfn.STDEV.P(#REF!)</f>
        <v>#REF!</v>
      </c>
      <c r="C11" s="6" t="e">
        <f>_xlfn.STDEV.P(#REF!)</f>
        <v>#REF!</v>
      </c>
    </row>
    <row r="12" spans="1:3" x14ac:dyDescent="0.3">
      <c r="A12" s="9" t="s">
        <v>8395</v>
      </c>
      <c r="B12" s="6" t="e">
        <f>_xlfn.QUARTILE.EXC(#REF!,3)</f>
        <v>#REF!</v>
      </c>
      <c r="C12" s="6" t="e">
        <f>_xlfn.QUARTILE.EXC(#REF!, 3)</f>
        <v>#REF!</v>
      </c>
    </row>
    <row r="13" spans="1:3" x14ac:dyDescent="0.3">
      <c r="A13" s="9" t="s">
        <v>8396</v>
      </c>
      <c r="B13" s="6" t="e">
        <f>_xlfn.QUARTILE.EXC(#REF!, 1)</f>
        <v>#REF!</v>
      </c>
      <c r="C13" s="6" t="e">
        <f>QUARTILE(#REF!, 1)</f>
        <v>#REF!</v>
      </c>
    </row>
    <row r="14" spans="1:3" x14ac:dyDescent="0.3">
      <c r="A14" s="18" t="s">
        <v>8397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165CD-8A37-4C5A-ACC8-4FCBFFC1F625}">
  <dimension ref="A1:E18"/>
  <sheetViews>
    <sheetView tabSelected="1" topLeftCell="A7" workbookViewId="0">
      <selection activeCell="A35" sqref="A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C3D64-83AD-47D1-814D-4ED672A69076}">
  <dimension ref="A1:H13"/>
  <sheetViews>
    <sheetView workbookViewId="0">
      <selection activeCell="G22" sqref="G22"/>
    </sheetView>
  </sheetViews>
  <sheetFormatPr defaultRowHeight="14.4" x14ac:dyDescent="0.3"/>
  <cols>
    <col min="1" max="1" width="17.218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1.5546875" bestFit="1" customWidth="1"/>
    <col min="7" max="7" width="17.6640625" bestFit="1" customWidth="1"/>
    <col min="8" max="8" width="20.5546875" bestFit="1" customWidth="1"/>
  </cols>
  <sheetData>
    <row r="1" spans="1:8" ht="15.6" x14ac:dyDescent="0.3">
      <c r="A1" s="19" t="s">
        <v>8398</v>
      </c>
      <c r="B1" s="21" t="s">
        <v>8399</v>
      </c>
      <c r="C1" s="24" t="s">
        <v>8400</v>
      </c>
      <c r="D1" s="27" t="s">
        <v>8401</v>
      </c>
      <c r="E1" s="30" t="s">
        <v>8402</v>
      </c>
      <c r="F1" s="21" t="s">
        <v>8403</v>
      </c>
      <c r="G1" s="24" t="s">
        <v>8404</v>
      </c>
      <c r="H1" s="27" t="s">
        <v>8417</v>
      </c>
    </row>
    <row r="2" spans="1:8" x14ac:dyDescent="0.3">
      <c r="A2" s="20" t="s">
        <v>8416</v>
      </c>
      <c r="B2" s="22">
        <f>COUNTIFS(Kickstarter!$D:$D, "&lt;1000",Kickstarter!$F:$F, "successful",Kickstarter!$R:$R, "plays")</f>
        <v>141</v>
      </c>
      <c r="C2" s="25">
        <f>COUNTIFS(Kickstarter!$D:$D, "&lt;1000",Kickstarter!$F:$F, "failed",Kickstarter!$R:$R, "plays")</f>
        <v>45</v>
      </c>
      <c r="D2" s="28">
        <f>COUNTIFS(Kickstarter!$D:$D, "&lt;1000",Kickstarter!$F:$F, "canceled",Kickstarter!$R:$R, "plays")</f>
        <v>0</v>
      </c>
      <c r="E2" s="31">
        <f>SUM(B2:D2)</f>
        <v>186</v>
      </c>
      <c r="F2" s="23">
        <f>B2/E2</f>
        <v>0.75806451612903225</v>
      </c>
      <c r="G2" s="26">
        <f>C2/E2</f>
        <v>0.24193548387096775</v>
      </c>
      <c r="H2" s="29">
        <f>D2/E2</f>
        <v>0</v>
      </c>
    </row>
    <row r="3" spans="1:8" x14ac:dyDescent="0.3">
      <c r="A3" s="20" t="s">
        <v>8405</v>
      </c>
      <c r="B3" s="22">
        <f>COUNTIFS(Kickstarter!$D:$D, "&gt;=1000",Kickstarter!$D:$D, "&lt;=4999",Kickstarter!$F:$F, "successful",Kickstarter!$R:$R, "plays")</f>
        <v>388</v>
      </c>
      <c r="C3" s="25">
        <f>COUNTIFS(Kickstarter!$D:$D, "&gt;=1000",Kickstarter!$D:$D, "&lt;=4999",Kickstarter!$F:$F, "Failed",Kickstarter!$R:$R, "plays")</f>
        <v>146</v>
      </c>
      <c r="D3" s="28">
        <f>COUNTIFS(Kickstarter!$D:$D, "&gt;=1000",Kickstarter!$D:$D, "&lt;=4999",Kickstarter!$F:$F, "canceled",Kickstarter!$R:$R, "plays")</f>
        <v>0</v>
      </c>
      <c r="E3" s="31">
        <f t="shared" ref="E3:E13" si="0">SUM(B3:D3)</f>
        <v>534</v>
      </c>
      <c r="F3" s="23">
        <f t="shared" ref="F3:F13" si="1">B3/E3</f>
        <v>0.72659176029962547</v>
      </c>
      <c r="G3" s="26">
        <f t="shared" ref="G3:G13" si="2">C3/E3</f>
        <v>0.27340823970037453</v>
      </c>
      <c r="H3" s="29">
        <f t="shared" ref="H3:H13" si="3">D3/E3</f>
        <v>0</v>
      </c>
    </row>
    <row r="4" spans="1:8" x14ac:dyDescent="0.3">
      <c r="A4" s="20" t="s">
        <v>8406</v>
      </c>
      <c r="B4" s="22">
        <f>COUNTIFS(Kickstarter!$D:$D, "&gt;=5000",Kickstarter!$D:$D, "&lt;=9999",Kickstarter!$F:$F, "successful",Kickstarter!$R:$R, "plays")</f>
        <v>93</v>
      </c>
      <c r="C4" s="25">
        <f>COUNTIFS(Kickstarter!$D:$D, "&gt;=5000",Kickstarter!$D:$D, "&lt;=9999",Kickstarter!$F:$F, "failed",Kickstarter!$R:$R, "plays")</f>
        <v>76</v>
      </c>
      <c r="D4" s="28">
        <f>COUNTIFS(Kickstarter!$D:$D, "&gt;=5000",Kickstarter!$D:$D, "&lt;=9999",Kickstarter!$F:$F, "canceled",Kickstarter!$R:$R, "plays")</f>
        <v>0</v>
      </c>
      <c r="E4" s="31">
        <f t="shared" si="0"/>
        <v>169</v>
      </c>
      <c r="F4" s="23">
        <f t="shared" si="1"/>
        <v>0.55029585798816572</v>
      </c>
      <c r="G4" s="26">
        <f t="shared" si="2"/>
        <v>0.44970414201183434</v>
      </c>
      <c r="H4" s="29">
        <f t="shared" si="3"/>
        <v>0</v>
      </c>
    </row>
    <row r="5" spans="1:8" x14ac:dyDescent="0.3">
      <c r="A5" s="20" t="s">
        <v>8407</v>
      </c>
      <c r="B5" s="22">
        <f>COUNTIFS(Kickstarter!$D:$D, "&gt;=10000",Kickstarter!$D:$D, "&lt;=14999",Kickstarter!$F:$F, "successful",Kickstarter!$R:$R, "plays")</f>
        <v>39</v>
      </c>
      <c r="C5" s="25">
        <f>COUNTIFS(Kickstarter!$D:$D, "&gt;=10000",Kickstarter!$D:$D, "&lt;=14999",Kickstarter!$F:$F, "failed",Kickstarter!$R:$R, "plays")</f>
        <v>33</v>
      </c>
      <c r="D5" s="28">
        <f>COUNTIFS(Kickstarter!$D:$D, "&gt;=10000",Kickstarter!$D:$D, "&lt;=14999",Kickstarter!$F:$F, "canceled",Kickstarter!$R:$R, "plays")</f>
        <v>0</v>
      </c>
      <c r="E5" s="31">
        <f t="shared" si="0"/>
        <v>72</v>
      </c>
      <c r="F5" s="23">
        <f t="shared" si="1"/>
        <v>0.54166666666666663</v>
      </c>
      <c r="G5" s="26">
        <f t="shared" si="2"/>
        <v>0.45833333333333331</v>
      </c>
      <c r="H5" s="29">
        <f t="shared" si="3"/>
        <v>0</v>
      </c>
    </row>
    <row r="6" spans="1:8" x14ac:dyDescent="0.3">
      <c r="A6" s="20" t="s">
        <v>8408</v>
      </c>
      <c r="B6" s="22">
        <f>COUNTIFS(Kickstarter!$D:$D, "&gt;=15000",Kickstarter!$D:$D, "&lt;=19999",Kickstarter!$F:$F, "successful",Kickstarter!$R:$R, "plays")</f>
        <v>12</v>
      </c>
      <c r="C6" s="25">
        <f>COUNTIFS(Kickstarter!$D:$D, "&gt;=15000",Kickstarter!$D:$D, "&lt;=19999",Kickstarter!$F:$F, "failed",Kickstarter!$R:$R, "plays")</f>
        <v>12</v>
      </c>
      <c r="D6" s="28">
        <f>COUNTIFS(Kickstarter!$D:$D, "&gt;=15000",Kickstarter!$D:$D, "&lt;=19999",Kickstarter!$F:$F, "canceled",Kickstarter!$R:$R, "plays")</f>
        <v>0</v>
      </c>
      <c r="E6" s="31">
        <f t="shared" si="0"/>
        <v>24</v>
      </c>
      <c r="F6" s="23">
        <f t="shared" si="1"/>
        <v>0.5</v>
      </c>
      <c r="G6" s="26">
        <f t="shared" si="2"/>
        <v>0.5</v>
      </c>
      <c r="H6" s="29">
        <f t="shared" si="3"/>
        <v>0</v>
      </c>
    </row>
    <row r="7" spans="1:8" x14ac:dyDescent="0.3">
      <c r="A7" s="20" t="s">
        <v>8409</v>
      </c>
      <c r="B7" s="22">
        <f>COUNTIFS(Kickstarter!$D:$D, "&gt;=20000",Kickstarter!$D:$D, "&lt;=24999",Kickstarter!$F:$F, "successful",Kickstarter!$R:$R, "plays")</f>
        <v>9</v>
      </c>
      <c r="C7" s="25">
        <f>COUNTIFS(Kickstarter!$D:$D, "&gt;=20000",Kickstarter!$D:$D, "&lt;=24999",Kickstarter!$F:$F, "failed",Kickstarter!$R:$R, "plays")</f>
        <v>11</v>
      </c>
      <c r="D7" s="28">
        <f>COUNTIFS(Kickstarter!$D:$D, "&gt;=20000",Kickstarter!$D:$D, "&lt;=24999",Kickstarter!$F:$F, "canceled",Kickstarter!$R:$R, "plays")</f>
        <v>0</v>
      </c>
      <c r="E7" s="31">
        <f t="shared" si="0"/>
        <v>20</v>
      </c>
      <c r="F7" s="23">
        <f t="shared" si="1"/>
        <v>0.45</v>
      </c>
      <c r="G7" s="26">
        <f t="shared" si="2"/>
        <v>0.55000000000000004</v>
      </c>
      <c r="H7" s="29">
        <f t="shared" si="3"/>
        <v>0</v>
      </c>
    </row>
    <row r="8" spans="1:8" x14ac:dyDescent="0.3">
      <c r="A8" s="20" t="s">
        <v>8410</v>
      </c>
      <c r="B8" s="22">
        <f>COUNTIFS(Kickstarter!$D:$D, "&gt;=25000",Kickstarter!$D:$D, "&lt;=29999",Kickstarter!$F:$F, "successful",Kickstarter!$R:$R, "plays")</f>
        <v>1</v>
      </c>
      <c r="C8" s="25">
        <f>COUNTIFS(Kickstarter!$D:$D, "&gt;=25000",Kickstarter!$D:$D, "&lt;=29999",Kickstarter!$F:$F, "failed",Kickstarter!$R:$R, "plays")</f>
        <v>4</v>
      </c>
      <c r="D8" s="28">
        <f>COUNTIFS(Kickstarter!$D:$D, "&gt;=25000",Kickstarter!$D:$D, "&lt;=29999",Kickstarter!$F:$F, "canceled",Kickstarter!$R:$R, "plays")</f>
        <v>0</v>
      </c>
      <c r="E8" s="31">
        <f t="shared" si="0"/>
        <v>5</v>
      </c>
      <c r="F8" s="23">
        <f t="shared" si="1"/>
        <v>0.2</v>
      </c>
      <c r="G8" s="26">
        <f t="shared" si="2"/>
        <v>0.8</v>
      </c>
      <c r="H8" s="29">
        <f t="shared" si="3"/>
        <v>0</v>
      </c>
    </row>
    <row r="9" spans="1:8" x14ac:dyDescent="0.3">
      <c r="A9" s="20" t="s">
        <v>8411</v>
      </c>
      <c r="B9" s="22">
        <f>COUNTIFS(Kickstarter!$D:$D, "&gt;=30000",Kickstarter!$D:$D, "&lt;=34999",Kickstarter!$F:$F, "successful",Kickstarter!$R:$R, "plays")</f>
        <v>3</v>
      </c>
      <c r="C9" s="25">
        <f>COUNTIFS(Kickstarter!$D:$D, "&gt;=30000",Kickstarter!$D:$D, "&lt;=34999",Kickstarter!$F:$F, "failed",Kickstarter!$R:$R, "plays")</f>
        <v>8</v>
      </c>
      <c r="D9" s="28">
        <f>COUNTIFS(Kickstarter!$D:$D, "&gt;=30000",Kickstarter!$D:$D, "&lt;=34999",Kickstarter!$F:$F, "canceled",Kickstarter!$R:$R, "plays")</f>
        <v>0</v>
      </c>
      <c r="E9" s="31">
        <f t="shared" si="0"/>
        <v>11</v>
      </c>
      <c r="F9" s="23">
        <f t="shared" si="1"/>
        <v>0.27272727272727271</v>
      </c>
      <c r="G9" s="26">
        <f t="shared" si="2"/>
        <v>0.72727272727272729</v>
      </c>
      <c r="H9" s="29">
        <f t="shared" si="3"/>
        <v>0</v>
      </c>
    </row>
    <row r="10" spans="1:8" x14ac:dyDescent="0.3">
      <c r="A10" s="20" t="s">
        <v>8412</v>
      </c>
      <c r="B10" s="22">
        <f>COUNTIFS(Kickstarter!$D:$D, "&gt;=35000",Kickstarter!$D:$D, "&lt;=39999",Kickstarter!$F:$F, "successful",Kickstarter!$R:$R, "plays")</f>
        <v>4</v>
      </c>
      <c r="C10" s="25">
        <f>COUNTIFS(Kickstarter!$D:$D, "&gt;=35000",Kickstarter!$D:$D, "&lt;=39999",Kickstarter!$F:$F, "failed",Kickstarter!$R:$R, "plays")</f>
        <v>2</v>
      </c>
      <c r="D10" s="28">
        <f>COUNTIFS(Kickstarter!$D:$D, "&gt;=35000",Kickstarter!$D:$D, "&lt;=39999",Kickstarter!$F:$F, "canceled",Kickstarter!$R:$R, "plays")</f>
        <v>0</v>
      </c>
      <c r="E10" s="31">
        <f t="shared" si="0"/>
        <v>6</v>
      </c>
      <c r="F10" s="23">
        <f t="shared" si="1"/>
        <v>0.66666666666666663</v>
      </c>
      <c r="G10" s="26">
        <f t="shared" si="2"/>
        <v>0.33333333333333331</v>
      </c>
      <c r="H10" s="29">
        <f t="shared" si="3"/>
        <v>0</v>
      </c>
    </row>
    <row r="11" spans="1:8" x14ac:dyDescent="0.3">
      <c r="A11" s="20" t="s">
        <v>8413</v>
      </c>
      <c r="B11" s="22">
        <f>COUNTIFS(Kickstarter!$D:$D, "&gt;=40000",Kickstarter!$D:$D, "&lt;=44999",Kickstarter!$F:$F, "successful",Kickstarter!$R:$R, "plays")</f>
        <v>2</v>
      </c>
      <c r="C11" s="25">
        <f>COUNTIFS(Kickstarter!$D:$D, "&gt;=40000",Kickstarter!$D:$D, "&lt;=44999",Kickstarter!$F:$F, "failed",Kickstarter!$R:$R, "plays")</f>
        <v>1</v>
      </c>
      <c r="D11" s="28">
        <f>COUNTIFS(Kickstarter!$D:$D, "&gt;=40000",Kickstarter!$D:$D, "&lt;=44999",Kickstarter!$F:$F, "canceled",Kickstarter!$R:$R, "plays")</f>
        <v>0</v>
      </c>
      <c r="E11" s="31">
        <f t="shared" si="0"/>
        <v>3</v>
      </c>
      <c r="F11" s="23">
        <f t="shared" si="1"/>
        <v>0.66666666666666663</v>
      </c>
      <c r="G11" s="26">
        <f t="shared" si="2"/>
        <v>0.33333333333333331</v>
      </c>
      <c r="H11" s="29">
        <f t="shared" si="3"/>
        <v>0</v>
      </c>
    </row>
    <row r="12" spans="1:8" x14ac:dyDescent="0.3">
      <c r="A12" s="20" t="s">
        <v>8414</v>
      </c>
      <c r="B12" s="22">
        <f>COUNTIFS(Kickstarter!$D:$D, "&gt;=45000",Kickstarter!$D:$D, "&lt;=49999",Kickstarter!$F:$F, "successful",Kickstarter!$R:$R, "plays")</f>
        <v>0</v>
      </c>
      <c r="C12" s="25">
        <f>COUNTIFS(Kickstarter!$D:$D, "&gt;=45000",Kickstarter!$D:$D, "&lt;=49999",Kickstarter!$F:$F, "failed",Kickstarter!$R:$R, "plays")</f>
        <v>1</v>
      </c>
      <c r="D12" s="28">
        <f>COUNTIFS(Kickstarter!$D:$D, "&gt;=45000",Kickstarter!$D:$D, "&lt;=49999",Kickstarter!$F:$F, "canceled",Kickstarter!$R:$R, "plays")</f>
        <v>0</v>
      </c>
      <c r="E12" s="31">
        <f t="shared" si="0"/>
        <v>1</v>
      </c>
      <c r="F12" s="23">
        <f t="shared" si="1"/>
        <v>0</v>
      </c>
      <c r="G12" s="26">
        <f t="shared" si="2"/>
        <v>1</v>
      </c>
      <c r="H12" s="29">
        <f t="shared" si="3"/>
        <v>0</v>
      </c>
    </row>
    <row r="13" spans="1:8" x14ac:dyDescent="0.3">
      <c r="A13" s="20" t="s">
        <v>8415</v>
      </c>
      <c r="B13" s="22">
        <f>COUNTIFS(Kickstarter!$D:$D, "&gt;50000",Kickstarter!$F:$F, "successful",Kickstarter!$R:$R, "plays")</f>
        <v>2</v>
      </c>
      <c r="C13" s="25">
        <f>COUNTIFS(Kickstarter!$D:$D, "&gt;50000",Kickstarter!$F:$F, "failed",Kickstarter!$R:$R, "plays")</f>
        <v>10</v>
      </c>
      <c r="D13" s="28">
        <f>COUNTIFS(Kickstarter!$D:$D, "&gt;50000",Kickstarter!$F:$F, "canceled",Kickstarter!$R:$R, "plays")</f>
        <v>0</v>
      </c>
      <c r="E13" s="31">
        <f t="shared" si="0"/>
        <v>12</v>
      </c>
      <c r="F13" s="23">
        <f t="shared" si="1"/>
        <v>0.16666666666666666</v>
      </c>
      <c r="G13" s="26">
        <f t="shared" si="2"/>
        <v>0.83333333333333337</v>
      </c>
      <c r="H13" s="2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Strauch</cp:lastModifiedBy>
  <dcterms:created xsi:type="dcterms:W3CDTF">2017-04-20T15:17:24Z</dcterms:created>
  <dcterms:modified xsi:type="dcterms:W3CDTF">2021-12-19T21:48:12Z</dcterms:modified>
</cp:coreProperties>
</file>