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mh\OneDrive\Documents\Programming\PycharmProjects\NfDataAnalysis\"/>
    </mc:Choice>
  </mc:AlternateContent>
  <xr:revisionPtr revIDLastSave="0" documentId="8_{470A0554-DAF0-4EFE-8FA5-D99B37A640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D60" i="1"/>
  <c r="G11" i="1"/>
  <c r="G10" i="1"/>
  <c r="G9" i="1"/>
  <c r="G8" i="1"/>
  <c r="G7" i="1"/>
  <c r="G6" i="1"/>
  <c r="C60" i="1"/>
  <c r="G5" i="1"/>
  <c r="G4" i="1"/>
  <c r="J4" i="1" s="1"/>
  <c r="D11" i="1"/>
  <c r="J11" i="1" s="1"/>
  <c r="D10" i="1"/>
  <c r="D8" i="1"/>
  <c r="D9" i="1"/>
  <c r="D7" i="1"/>
  <c r="D6" i="1"/>
  <c r="D5" i="1"/>
  <c r="D4" i="1"/>
  <c r="C59" i="1"/>
  <c r="D52" i="1"/>
  <c r="D53" i="1" s="1"/>
  <c r="D61" i="1"/>
  <c r="D51" i="1"/>
  <c r="C51" i="1"/>
  <c r="C52" i="1"/>
  <c r="D50" i="1"/>
  <c r="C50" i="1"/>
  <c r="F10" i="1"/>
  <c r="F9" i="1"/>
  <c r="F8" i="1"/>
  <c r="F7" i="1"/>
  <c r="F6" i="1"/>
  <c r="F5" i="1"/>
  <c r="K5" i="1" s="1"/>
  <c r="F4" i="1"/>
  <c r="K4" i="1" s="1"/>
  <c r="E10" i="1"/>
  <c r="E9" i="1"/>
  <c r="K9" i="1" s="1"/>
  <c r="E8" i="1"/>
  <c r="E7" i="1"/>
  <c r="E6" i="1"/>
  <c r="E5" i="1"/>
  <c r="E4" i="1"/>
  <c r="C22" i="1"/>
  <c r="D44" i="1"/>
  <c r="C44" i="1"/>
  <c r="D43" i="1"/>
  <c r="C43" i="1"/>
  <c r="D42" i="1"/>
  <c r="C42" i="1"/>
  <c r="C41" i="1"/>
  <c r="D23" i="1"/>
  <c r="C23" i="1"/>
  <c r="C34" i="1"/>
  <c r="C10" i="1"/>
  <c r="D34" i="1"/>
  <c r="C8" i="1"/>
  <c r="D33" i="1"/>
  <c r="C33" i="1"/>
  <c r="D32" i="1"/>
  <c r="C32" i="1"/>
  <c r="C31" i="1"/>
  <c r="K11" i="1"/>
  <c r="D62" i="1" l="1"/>
  <c r="J8" i="1"/>
  <c r="C62" i="1"/>
  <c r="K6" i="1"/>
  <c r="C53" i="1"/>
  <c r="K7" i="1"/>
  <c r="J6" i="1"/>
  <c r="J5" i="1"/>
  <c r="J9" i="1"/>
  <c r="J7" i="1"/>
  <c r="K8" i="1"/>
  <c r="K10" i="1"/>
  <c r="J10" i="1"/>
</calcChain>
</file>

<file path=xl/sharedStrings.xml><?xml version="1.0" encoding="utf-8"?>
<sst xmlns="http://schemas.openxmlformats.org/spreadsheetml/2006/main" count="71" uniqueCount="42">
  <si>
    <t>Source -&gt;</t>
  </si>
  <si>
    <t>M. Kathiresan</t>
  </si>
  <si>
    <t>Source 3</t>
  </si>
  <si>
    <t>Source 4</t>
  </si>
  <si>
    <t>Source 6</t>
  </si>
  <si>
    <t>Final Data:</t>
  </si>
  <si>
    <t>URL -&gt;</t>
  </si>
  <si>
    <t>https://www.researchgate.net/publication/259368776_Kathiresan_M_Manisekar_K_And_Manikandan_V_Performance_analysis_of_fiber_metal_laminated_thin_conical_frusta_under_axial_compression_Composite_Structures_94_2012_3510-3519</t>
  </si>
  <si>
    <t>URL6</t>
  </si>
  <si>
    <t>-</t>
  </si>
  <si>
    <t>Avg</t>
  </si>
  <si>
    <t>Std</t>
  </si>
  <si>
    <t>Fibre Volume [%]</t>
  </si>
  <si>
    <t>Density [kg/m^3]</t>
  </si>
  <si>
    <t>Stiffness [GPa]</t>
  </si>
  <si>
    <t>T Strength [MPa]</t>
  </si>
  <si>
    <r>
      <t>T Toughness [MJ/m^</t>
    </r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</si>
  <si>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C Strength  [MPa]</t>
  </si>
  <si>
    <t>C Toughness [MJ/m^2]</t>
  </si>
  <si>
    <t>Shear Stress [MPa]</t>
  </si>
  <si>
    <t>https://doi.org/10.1023/B:JMSC.0000017779.08041.49</t>
  </si>
  <si>
    <t>H.L. Bos</t>
  </si>
  <si>
    <t>Source 2: H.L. Bos</t>
  </si>
  <si>
    <t>Tension</t>
  </si>
  <si>
    <t>Fiber Volume[%]</t>
  </si>
  <si>
    <t>Strength [MPa]</t>
  </si>
  <si>
    <t>Compression</t>
  </si>
  <si>
    <t>Toughness [MJ/m^2]</t>
  </si>
  <si>
    <t>*This image is from another excel that I added to the Teams with the name: VolumeFracCalc</t>
  </si>
  <si>
    <t>Optidat UPWIND (see teams)</t>
  </si>
  <si>
    <t>Tension (27)</t>
  </si>
  <si>
    <t>Compression (27)</t>
  </si>
  <si>
    <t>Tension (30, sample number)</t>
  </si>
  <si>
    <t>Compression (85, sample number)</t>
  </si>
  <si>
    <t>Sage Journals</t>
  </si>
  <si>
    <t>https://journals.sagepub.com/doi/epub/10.1177/1528083719874479</t>
  </si>
  <si>
    <t>Source 5: Sage Journals</t>
  </si>
  <si>
    <t>Source 4: Optidat (see teams), 4 layer composite</t>
  </si>
  <si>
    <t>Source 3: Optidat (see teams), 4 layer composite</t>
  </si>
  <si>
    <t>Source 6: Optidat (see teams), 7 layer composite</t>
  </si>
  <si>
    <t>Tension (104)</t>
  </si>
  <si>
    <t>Compression (104)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</si>
</sst>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0" fillId="0" borderId="21" xfId="0" applyBorder="1"/>
    <xf numFmtId="0" fontId="0" fillId="0" borderId="23" xfId="0" applyBorder="1"/>
    <xf numFmtId="0" fontId="0" fillId="0" borderId="11" xfId="0" applyBorder="1"/>
    <xf numFmtId="0" fontId="3" fillId="0" borderId="0" xfId="1"/>
    <xf numFmtId="0" fontId="1" fillId="0" borderId="0" xfId="0" applyFont="1"/>
    <xf numFmtId="0" fontId="0" fillId="2" borderId="0" xfId="0" applyFill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472440</xdr:colOff>
      <xdr:row>15</xdr:row>
      <xdr:rowOff>45720</xdr:rowOff>
    </xdr:from>
    <xdr:to>
      <xdr:col>19</xdr:col>
      <xdr:colOff>374017</xdr:colOff>
      <xdr:row>30</xdr:row>
      <xdr:rowOff>167905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6EAC7E-E1BF-8BD2-21A9-59B9BB7E2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1140" y="2788920"/>
          <a:ext cx="7346317" cy="30558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ournals.sagepub.com/doi/epub/10.1177/1528083719874479" TargetMode="External"/><Relationship Id="rId1" Type="http://schemas.openxmlformats.org/officeDocument/2006/relationships/hyperlink" Target="https://doi.org/10.1023/B:JMSC.0000017779.08041.4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3"/>
  <sheetViews>
    <sheetView tabSelected="1" zoomScale="96" workbookViewId="0">
      <selection activeCell="D10" sqref="D10"/>
    </sheetView>
  </sheetViews>
  <sheetFormatPr defaultRowHeight="15" x14ac:dyDescent="0.25"/>
  <cols>
    <col min="2" max="2" width="25.28515625" customWidth="1"/>
    <col min="3" max="3" width="14.5703125" customWidth="1"/>
    <col min="4" max="4" width="24" customWidth="1"/>
    <col min="8" max="8" width="9.140625" customWidth="1"/>
    <col min="9" max="9" width="1.7109375" bestFit="1" customWidth="1"/>
  </cols>
  <sheetData>
    <row r="2" spans="2:11" x14ac:dyDescent="0.25">
      <c r="B2" s="1" t="s">
        <v>0</v>
      </c>
      <c r="C2" s="11" t="s">
        <v>1</v>
      </c>
      <c r="D2" s="2" t="s">
        <v>21</v>
      </c>
      <c r="E2" s="2" t="s">
        <v>2</v>
      </c>
      <c r="F2" s="2" t="s">
        <v>3</v>
      </c>
      <c r="G2" s="2" t="s">
        <v>34</v>
      </c>
      <c r="H2" s="15" t="s">
        <v>4</v>
      </c>
      <c r="I2" s="19"/>
      <c r="J2" s="28" t="s">
        <v>5</v>
      </c>
      <c r="K2" s="29"/>
    </row>
    <row r="3" spans="2:11" x14ac:dyDescent="0.25">
      <c r="B3" s="3" t="s">
        <v>6</v>
      </c>
      <c r="C3" s="12" t="s">
        <v>7</v>
      </c>
      <c r="D3" s="25" t="s">
        <v>20</v>
      </c>
      <c r="E3" t="s">
        <v>29</v>
      </c>
      <c r="G3" s="25" t="s">
        <v>35</v>
      </c>
      <c r="H3" s="16" t="s">
        <v>8</v>
      </c>
      <c r="I3" s="20" t="s">
        <v>9</v>
      </c>
      <c r="J3" t="s">
        <v>10</v>
      </c>
      <c r="K3" s="5" t="s">
        <v>11</v>
      </c>
    </row>
    <row r="4" spans="2:11" x14ac:dyDescent="0.25">
      <c r="B4" s="9" t="s">
        <v>12</v>
      </c>
      <c r="C4" s="13">
        <v>60</v>
      </c>
      <c r="D4" s="10">
        <f>(C19+D19)/2</f>
        <v>40</v>
      </c>
      <c r="E4" s="10">
        <f>(C30+D30)/2</f>
        <v>49.64</v>
      </c>
      <c r="F4" s="10">
        <f>C40</f>
        <v>50.66</v>
      </c>
      <c r="G4" s="10">
        <f>C49</f>
        <v>35</v>
      </c>
      <c r="H4" s="17"/>
      <c r="I4" s="21"/>
      <c r="J4" s="10">
        <f t="shared" ref="J4:J11" si="0">AVERAGE(C4:H4)</f>
        <v>47.059999999999995</v>
      </c>
      <c r="K4" s="24">
        <f t="shared" ref="K4:K11" si="1">_xlfn.STDEV.P(C4:H4)</f>
        <v>8.7446806688409424</v>
      </c>
    </row>
    <row r="5" spans="2:11" x14ac:dyDescent="0.25">
      <c r="B5" s="4" t="s">
        <v>13</v>
      </c>
      <c r="C5" s="12">
        <v>1800</v>
      </c>
      <c r="D5">
        <f>C20</f>
        <v>2560</v>
      </c>
      <c r="E5">
        <f>(C31+D31)/2</f>
        <v>1800</v>
      </c>
      <c r="F5">
        <f>C41</f>
        <v>1830</v>
      </c>
      <c r="G5">
        <f>C50</f>
        <v>1643</v>
      </c>
      <c r="H5" s="16"/>
      <c r="I5" s="22"/>
      <c r="J5">
        <f t="shared" si="0"/>
        <v>1926.6</v>
      </c>
      <c r="K5" s="5">
        <f t="shared" si="1"/>
        <v>323.42269555490384</v>
      </c>
    </row>
    <row r="6" spans="2:11" x14ac:dyDescent="0.25">
      <c r="B6" s="4" t="s">
        <v>14</v>
      </c>
      <c r="C6" s="12">
        <v>30.9</v>
      </c>
      <c r="D6">
        <f>(C21+D21)/2</f>
        <v>54.5</v>
      </c>
      <c r="E6">
        <f>(C32+D32)/2</f>
        <v>39.064999999999998</v>
      </c>
      <c r="F6">
        <f>(C42+D42)/2</f>
        <v>37.972499999999997</v>
      </c>
      <c r="G6">
        <f>C51</f>
        <v>27.969999999999995</v>
      </c>
      <c r="H6" s="16"/>
      <c r="I6" s="22"/>
      <c r="J6">
        <f t="shared" si="0"/>
        <v>38.081499999999998</v>
      </c>
      <c r="K6" s="5">
        <f t="shared" si="1"/>
        <v>9.2126290492996397</v>
      </c>
    </row>
    <row r="7" spans="2:11" x14ac:dyDescent="0.25">
      <c r="B7" s="4" t="s">
        <v>15</v>
      </c>
      <c r="C7" s="12">
        <v>798</v>
      </c>
      <c r="D7">
        <f>C22</f>
        <v>1950</v>
      </c>
      <c r="E7">
        <f>C33</f>
        <v>765.53</v>
      </c>
      <c r="F7">
        <f>C43</f>
        <v>830.08500000000004</v>
      </c>
      <c r="G7">
        <f>C52</f>
        <v>1261.5</v>
      </c>
      <c r="H7" s="16"/>
      <c r="I7" s="22"/>
      <c r="J7">
        <f t="shared" si="0"/>
        <v>1121.0229999999999</v>
      </c>
      <c r="K7" s="5">
        <f t="shared" si="1"/>
        <v>452.17268946277585</v>
      </c>
    </row>
    <row r="8" spans="2:11" x14ac:dyDescent="0.25">
      <c r="B8" s="4" t="s">
        <v>16</v>
      </c>
      <c r="C8" s="12">
        <f>(C7/(C6*1000)*C7)/2</f>
        <v>10.304271844660194</v>
      </c>
      <c r="D8">
        <f>C23</f>
        <v>25.016447368421051</v>
      </c>
      <c r="E8">
        <f>C34</f>
        <v>7.530662823181701</v>
      </c>
      <c r="F8">
        <f>C44</f>
        <v>9.2700270042378587</v>
      </c>
      <c r="G8">
        <f>C53</f>
        <v>28.448020200214518</v>
      </c>
      <c r="H8" s="16"/>
      <c r="I8" s="22"/>
      <c r="J8">
        <f t="shared" si="0"/>
        <v>16.113885848143063</v>
      </c>
      <c r="K8" s="5">
        <f t="shared" si="1"/>
        <v>8.7823482973322573</v>
      </c>
    </row>
    <row r="9" spans="2:11" x14ac:dyDescent="0.25">
      <c r="B9" s="4" t="s">
        <v>17</v>
      </c>
      <c r="C9" s="12">
        <v>480</v>
      </c>
      <c r="D9">
        <f>D22</f>
        <v>595</v>
      </c>
      <c r="E9">
        <f>D33</f>
        <v>510.255</v>
      </c>
      <c r="F9">
        <f>D43</f>
        <v>452.63</v>
      </c>
      <c r="G9">
        <f>D52</f>
        <v>740.3</v>
      </c>
      <c r="H9" s="16"/>
      <c r="I9" s="22"/>
      <c r="J9">
        <f t="shared" si="0"/>
        <v>555.63700000000006</v>
      </c>
      <c r="K9" s="5">
        <f t="shared" si="1"/>
        <v>103.96229420323452</v>
      </c>
    </row>
    <row r="10" spans="2:11" x14ac:dyDescent="0.25">
      <c r="B10" s="4" t="s">
        <v>18</v>
      </c>
      <c r="C10" s="12">
        <f>(C9/(C6*1000)*C9)/2</f>
        <v>3.7281553398058249</v>
      </c>
      <c r="D10">
        <f>D23</f>
        <v>5.3640151515151517</v>
      </c>
      <c r="E10">
        <f>D34</f>
        <v>3.3192269890999491</v>
      </c>
      <c r="F10">
        <f>D44</f>
        <v>2.6414893875709127</v>
      </c>
      <c r="G10">
        <f>D53</f>
        <v>9.7969983911333571</v>
      </c>
      <c r="H10" s="16"/>
      <c r="I10" s="22"/>
      <c r="J10">
        <f t="shared" si="0"/>
        <v>4.9699770518250386</v>
      </c>
      <c r="K10" s="5">
        <f t="shared" si="1"/>
        <v>2.5746593083652112</v>
      </c>
    </row>
    <row r="11" spans="2:11" x14ac:dyDescent="0.25">
      <c r="B11" s="6" t="s">
        <v>19</v>
      </c>
      <c r="C11" s="14">
        <v>70</v>
      </c>
      <c r="D11" s="7">
        <f>C24</f>
        <v>65.400000000000006</v>
      </c>
      <c r="E11" s="7"/>
      <c r="F11" s="7"/>
      <c r="G11" s="7">
        <f>C54</f>
        <v>148</v>
      </c>
      <c r="H11" s="18"/>
      <c r="I11" s="23"/>
      <c r="J11" s="7">
        <f t="shared" si="0"/>
        <v>94.466666666666654</v>
      </c>
      <c r="K11" s="8">
        <f t="shared" si="1"/>
        <v>37.900337143032871</v>
      </c>
    </row>
    <row r="18" spans="2:4" x14ac:dyDescent="0.25">
      <c r="B18" s="27" t="s">
        <v>22</v>
      </c>
      <c r="C18" s="26" t="s">
        <v>23</v>
      </c>
      <c r="D18" s="26" t="s">
        <v>26</v>
      </c>
    </row>
    <row r="19" spans="2:4" x14ac:dyDescent="0.25">
      <c r="B19" s="26" t="s">
        <v>24</v>
      </c>
      <c r="C19">
        <v>30</v>
      </c>
      <c r="D19">
        <v>50</v>
      </c>
    </row>
    <row r="20" spans="2:4" x14ac:dyDescent="0.25">
      <c r="B20" s="4" t="s">
        <v>13</v>
      </c>
      <c r="C20">
        <v>2560</v>
      </c>
      <c r="D20">
        <v>2560</v>
      </c>
    </row>
    <row r="21" spans="2:4" x14ac:dyDescent="0.25">
      <c r="B21" s="4" t="s">
        <v>14</v>
      </c>
      <c r="C21">
        <v>76</v>
      </c>
      <c r="D21">
        <v>33</v>
      </c>
    </row>
    <row r="22" spans="2:4" x14ac:dyDescent="0.25">
      <c r="B22" s="4" t="s">
        <v>25</v>
      </c>
      <c r="C22">
        <f>(1400+2500)/2</f>
        <v>1950</v>
      </c>
      <c r="D22">
        <v>595</v>
      </c>
    </row>
    <row r="23" spans="2:4" x14ac:dyDescent="0.25">
      <c r="B23" s="4" t="s">
        <v>27</v>
      </c>
      <c r="C23">
        <f>(C22/(C21*1000)*C22)/2</f>
        <v>25.016447368421051</v>
      </c>
      <c r="D23">
        <f>(D22/(D21*1000)*D22)/2</f>
        <v>5.3640151515151517</v>
      </c>
    </row>
    <row r="24" spans="2:4" ht="15.75" thickBot="1" x14ac:dyDescent="0.3">
      <c r="B24" s="6" t="s">
        <v>19</v>
      </c>
      <c r="C24">
        <v>65.400000000000006</v>
      </c>
      <c r="D24">
        <v>65.400000000000006</v>
      </c>
    </row>
    <row r="29" spans="2:4" ht="30" x14ac:dyDescent="0.25">
      <c r="B29" s="32" t="s">
        <v>38</v>
      </c>
      <c r="C29" s="31" t="s">
        <v>32</v>
      </c>
      <c r="D29" s="30" t="s">
        <v>33</v>
      </c>
    </row>
    <row r="30" spans="2:4" x14ac:dyDescent="0.25">
      <c r="B30" s="26" t="s">
        <v>24</v>
      </c>
      <c r="C30">
        <v>49.49</v>
      </c>
      <c r="D30">
        <v>49.79</v>
      </c>
    </row>
    <row r="31" spans="2:4" x14ac:dyDescent="0.25">
      <c r="B31" s="4" t="s">
        <v>13</v>
      </c>
      <c r="C31">
        <f>1.79*1000</f>
        <v>1790</v>
      </c>
      <c r="D31">
        <v>1810</v>
      </c>
    </row>
    <row r="32" spans="2:4" x14ac:dyDescent="0.25">
      <c r="B32" s="4" t="s">
        <v>14</v>
      </c>
      <c r="C32">
        <f>(37.74+40.08)/2</f>
        <v>38.909999999999997</v>
      </c>
      <c r="D32">
        <f>(38.34+40.1)/2</f>
        <v>39.22</v>
      </c>
    </row>
    <row r="33" spans="2:10" x14ac:dyDescent="0.25">
      <c r="B33" s="4" t="s">
        <v>25</v>
      </c>
      <c r="C33">
        <f>(695.03+836.03)/2</f>
        <v>765.53</v>
      </c>
      <c r="D33">
        <f>(480.82+539.69)/2</f>
        <v>510.255</v>
      </c>
      <c r="J33" s="27" t="s">
        <v>28</v>
      </c>
    </row>
    <row r="34" spans="2:10" x14ac:dyDescent="0.25">
      <c r="B34" s="4" t="s">
        <v>27</v>
      </c>
      <c r="C34">
        <f>(C33/(C32*1000)*C33)/2</f>
        <v>7.530662823181701</v>
      </c>
      <c r="D34">
        <f>(D33/(D32*1000)*D33)/2</f>
        <v>3.3192269890999491</v>
      </c>
    </row>
    <row r="35" spans="2:10" ht="15.75" thickBot="1" x14ac:dyDescent="0.3">
      <c r="B35" s="6" t="s">
        <v>19</v>
      </c>
    </row>
    <row r="39" spans="2:10" ht="30" x14ac:dyDescent="0.25">
      <c r="B39" s="32" t="s">
        <v>37</v>
      </c>
      <c r="C39" s="26" t="s">
        <v>30</v>
      </c>
      <c r="D39" s="26" t="s">
        <v>31</v>
      </c>
    </row>
    <row r="40" spans="2:10" x14ac:dyDescent="0.25">
      <c r="B40" s="26" t="s">
        <v>24</v>
      </c>
      <c r="C40">
        <v>50.66</v>
      </c>
      <c r="D40">
        <v>50.66</v>
      </c>
    </row>
    <row r="41" spans="2:10" x14ac:dyDescent="0.25">
      <c r="B41" s="4" t="s">
        <v>13</v>
      </c>
      <c r="C41">
        <f>1.83*1000</f>
        <v>1830</v>
      </c>
      <c r="D41">
        <v>1830</v>
      </c>
    </row>
    <row r="42" spans="2:10" x14ac:dyDescent="0.25">
      <c r="B42" s="4" t="s">
        <v>14</v>
      </c>
      <c r="C42">
        <f>(36.3+38.03)/2</f>
        <v>37.164999999999999</v>
      </c>
      <c r="D42">
        <f>(38.6+38.96)/2</f>
        <v>38.78</v>
      </c>
    </row>
    <row r="43" spans="2:10" x14ac:dyDescent="0.25">
      <c r="B43" s="4" t="s">
        <v>25</v>
      </c>
      <c r="C43">
        <f>(792.76+867.41)/2</f>
        <v>830.08500000000004</v>
      </c>
      <c r="D43">
        <f>(450.76+454.5)/2</f>
        <v>452.63</v>
      </c>
    </row>
    <row r="44" spans="2:10" x14ac:dyDescent="0.25">
      <c r="B44" s="4" t="s">
        <v>27</v>
      </c>
      <c r="C44">
        <f>(C43/(C42*1000)*C43)/2</f>
        <v>9.2700270042378587</v>
      </c>
      <c r="D44">
        <f>(D43/(D42*1000)*D43)/2</f>
        <v>2.6414893875709127</v>
      </c>
    </row>
    <row r="45" spans="2:10" ht="15.75" thickBot="1" x14ac:dyDescent="0.3">
      <c r="B45" s="6" t="s">
        <v>19</v>
      </c>
    </row>
    <row r="48" spans="2:10" x14ac:dyDescent="0.25">
      <c r="B48" s="27" t="s">
        <v>36</v>
      </c>
      <c r="C48" s="26" t="s">
        <v>23</v>
      </c>
      <c r="D48" s="26" t="s">
        <v>26</v>
      </c>
    </row>
    <row r="49" spans="2:4" x14ac:dyDescent="0.25">
      <c r="B49" s="26" t="s">
        <v>24</v>
      </c>
      <c r="C49">
        <v>35</v>
      </c>
      <c r="D49">
        <v>35</v>
      </c>
    </row>
    <row r="50" spans="2:4" x14ac:dyDescent="0.25">
      <c r="B50" s="4" t="s">
        <v>13</v>
      </c>
      <c r="C50">
        <f>(1160*((100-C49)/100))+(2540*(C49/100))</f>
        <v>1643</v>
      </c>
      <c r="D50">
        <f>(1160*((100-C49)/100))+(2540*(C49/100))</f>
        <v>1643</v>
      </c>
    </row>
    <row r="51" spans="2:4" x14ac:dyDescent="0.25">
      <c r="B51" s="4" t="s">
        <v>14</v>
      </c>
      <c r="C51">
        <f>(4.1*0.65)+(72.3*0.35)</f>
        <v>27.969999999999995</v>
      </c>
      <c r="D51">
        <f>(4.1*0.65)+(72.3*0.35)</f>
        <v>27.969999999999995</v>
      </c>
    </row>
    <row r="52" spans="2:4" x14ac:dyDescent="0.25">
      <c r="B52" s="4" t="s">
        <v>25</v>
      </c>
      <c r="C52">
        <f xml:space="preserve"> (110*(0.65))+(3400*0.35)</f>
        <v>1261.5</v>
      </c>
      <c r="D52">
        <f>(62*0.65)+(2000*0.35)</f>
        <v>740.3</v>
      </c>
    </row>
    <row r="53" spans="2:4" x14ac:dyDescent="0.25">
      <c r="B53" s="4" t="s">
        <v>27</v>
      </c>
      <c r="C53">
        <f>(C52/(C51*1000)*C52)/2</f>
        <v>28.448020200214518</v>
      </c>
      <c r="D53">
        <f>(D52/(D51*1000)*D52)/2</f>
        <v>9.7969983911333571</v>
      </c>
    </row>
    <row r="54" spans="2:4" ht="15.75" thickBot="1" x14ac:dyDescent="0.3">
      <c r="B54" s="6" t="s">
        <v>19</v>
      </c>
      <c r="C54">
        <v>148</v>
      </c>
      <c r="D54">
        <v>148</v>
      </c>
    </row>
    <row r="57" spans="2:4" ht="30" x14ac:dyDescent="0.25">
      <c r="B57" s="32" t="s">
        <v>39</v>
      </c>
      <c r="C57" s="26" t="s">
        <v>40</v>
      </c>
      <c r="D57" s="26" t="s">
        <v>41</v>
      </c>
    </row>
    <row r="58" spans="2:4" x14ac:dyDescent="0.25">
      <c r="B58" s="26" t="s">
        <v>24</v>
      </c>
      <c r="C58">
        <v>53.73</v>
      </c>
      <c r="D58">
        <v>53.73</v>
      </c>
    </row>
    <row r="59" spans="2:4" x14ac:dyDescent="0.25">
      <c r="B59" s="4" t="s">
        <v>13</v>
      </c>
      <c r="C59">
        <f>1.92*1000</f>
        <v>1920</v>
      </c>
      <c r="D59">
        <v>1920</v>
      </c>
    </row>
    <row r="60" spans="2:4" x14ac:dyDescent="0.25">
      <c r="B60" s="4" t="s">
        <v>14</v>
      </c>
      <c r="C60">
        <f>(13.54+16.2)/2</f>
        <v>14.87</v>
      </c>
      <c r="D60">
        <f>(14.7+16.84)/2</f>
        <v>15.77</v>
      </c>
    </row>
    <row r="61" spans="2:4" x14ac:dyDescent="0.25">
      <c r="B61" s="4" t="s">
        <v>25</v>
      </c>
      <c r="C61">
        <f>(49.58+250.19)/2</f>
        <v>149.88499999999999</v>
      </c>
      <c r="D61">
        <f>(450.76+454.5)/2</f>
        <v>452.63</v>
      </c>
    </row>
    <row r="62" spans="2:4" x14ac:dyDescent="0.25">
      <c r="B62" s="4" t="s">
        <v>27</v>
      </c>
      <c r="C62">
        <f>(C61/(C60*1000)*C61)/2</f>
        <v>0.75539721671149951</v>
      </c>
      <c r="D62">
        <f>(D61/(D60*1000)*D61)/2</f>
        <v>6.4956853804692454</v>
      </c>
    </row>
    <row r="63" spans="2:4" ht="15.75" thickBot="1" x14ac:dyDescent="0.3">
      <c r="B63" s="6" t="s">
        <v>19</v>
      </c>
    </row>
  </sheetData>
  <mergeCells count="1">
    <mergeCell ref="J2:K2"/>
  </mergeCells>
  <phoneticPr fontId="2" type="noConversion"/>
  <hyperlinks>
    <hyperlink ref="D3" r:id="rId1" xr:uid="{120CD66C-39EC-437B-8FE9-083AD059ED01}"/>
    <hyperlink ref="G3" r:id="rId2" xr:uid="{111B93FE-2849-45C3-B062-7A2F129A0A6C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85487A22E8344ACBB6BCCC8EB7307" ma:contentTypeVersion="4" ma:contentTypeDescription="Een nieuw document maken." ma:contentTypeScope="" ma:versionID="17b05767882d818734170de68b51a6a2">
  <xsd:schema xmlns:xsd="http://www.w3.org/2001/XMLSchema" xmlns:xs="http://www.w3.org/2001/XMLSchema" xmlns:p="http://schemas.microsoft.com/office/2006/metadata/properties" xmlns:ns2="1c0a96b1-0f0d-4d41-9c7c-d5f7d15f73b1" targetNamespace="http://schemas.microsoft.com/office/2006/metadata/properties" ma:root="true" ma:fieldsID="39541b7b8bf15f9afea04a2d2e6d5ce7" ns2:_="">
    <xsd:import namespace="1c0a96b1-0f0d-4d41-9c7c-d5f7d15f73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a96b1-0f0d-4d41-9c7c-d5f7d15f73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AB1F1C-9528-4E9F-9E10-7E7654301B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a96b1-0f0d-4d41-9c7c-d5f7d15f73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8D0AD4-44EF-4558-9CAA-CFFA5C98DC5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1c0a96b1-0f0d-4d41-9c7c-d5f7d15f73b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689D0E4-66FF-4ADC-A512-E9CC6C2863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Noam Hendriks</dc:creator>
  <cp:keywords/>
  <dc:description/>
  <cp:lastModifiedBy>Noam Hendriks</cp:lastModifiedBy>
  <cp:revision/>
  <dcterms:created xsi:type="dcterms:W3CDTF">2024-03-11T08:02:53Z</dcterms:created>
  <dcterms:modified xsi:type="dcterms:W3CDTF">2024-03-14T09:28:31Z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0x010100EB485487A22E8344ACBB6BCCC8EB7307</vt:lpwstr>
  </property>
</Properties>
</file>