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theme+xml" PartName="/xl/theme/theme1.xml"/>
  <Override ContentType="application/vnd.openxmlformats-officedocument.spreadsheetml.connections+xml" PartName="/xl/connections.xml"/>
  <Override ContentType="application/vnd.openxmlformats-officedocument.spreadsheetml.styles+xml" PartName="/xl/style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steria.sharepoint.com/sites/CD13-POLE.NET/Shared Documents/General/Suivi des Sprints/2023/"/>
    </mc:Choice>
  </mc:AlternateContent>
  <xr:revisionPtr revIDLastSave="46" documentId="120_{7666C6D9-A0EE-4B22-8991-0F9B0439D801}" xr6:coauthVersionLast="47" xr6:coauthVersionMax="47" xr10:uidLastSave="{778E03C1-1E99-4817-AAB3-06C123BC32D8}"/>
  <bookViews>
    <workbookView xWindow="-120" yWindow="-120" windowWidth="29040" windowHeight="17640" xr2:uid="{00000000-000D-0000-FFFF-FFFF00000000}"/>
  </bookViews>
  <sheets>
    <sheet name="PI2023.08-1 Suivi Sprint-Init" sheetId="22" r:id="rId1"/>
    <sheet name="Contenu Sprint" sheetId="17" r:id="rId2"/>
    <sheet name="US de Reference" sheetId="4" r:id="rId3"/>
    <sheet name="Param" sheetId="18" r:id="rId4"/>
    <sheet name="Tickets" sheetId="5" r:id="rId5"/>
    <sheet name="SSG - Features" sheetId="21" r:id="rId6"/>
    <sheet name="Feuil1" sheetId="23" r:id="rId7"/>
  </sheets>
  <externalReferences>
    <externalReference r:id="rId8"/>
    <externalReference r:id="rId9"/>
  </externalReferences>
  <definedNames>
    <definedName name="HEURES">'Param'!$A$19</definedName>
    <definedName name="Liste_Projet">'Param'!$A$6:$A$7</definedName>
    <definedName name="Liste_Techno">'Param'!$A$11:$A$12</definedName>
    <definedName name="Liste_valeur">'Param'!$A$2:$A$3</definedName>
    <definedName name="Total_jour_presence">#REF!</definedName>
    <definedName name="Type_Ticket">'Param'!$A$15:$A$16</definedName>
    <definedName name="heures_BA" localSheetId="0">'PI2023.08-1 Suivi Sprint-Init'!$E$31</definedName>
    <definedName name="HEURES_INIT" localSheetId="0">'PI2023.08-1 Suivi Sprint-Init'!$AT$45</definedName>
    <definedName name="jour_tot_autre_init" localSheetId="0">'PI2023.08-1 Suivi Sprint-Init'!$J$37</definedName>
    <definedName name="jour_tot_net_init" localSheetId="0">'PI2023.08-1 Suivi Sprint-Init'!$J$36</definedName>
    <definedName name="Total_jour_presence" localSheetId="0">'PI2023.08-1 Suivi Sprint-Init'!$J$41</definedName>
    <definedName name="DonnéesExternes_1" localSheetId="5" hidden="1">'SSG - Features'!$A$1:$H$458</definedName>
  </definedName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BA463-80AA-4F8D-9D93-EAB18FF8304E}" keepAlive="1" name="Requête - SSG - Features" description="Connexion à la requête « SSG - Features » dans le classeur." type="5" refreshedVersion="8" background="1" saveData="1">
    <dbPr connection="Provider=Microsoft.Mashup.OleDb.1;Data Source=$Workbook$;Location=&quot;SSG - Features&quot;;Extended Properties=&quot;&quot;" command="SELECT * FROM [SSG - Featur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<sst xmlns="http://schemas.openxmlformats.org/spreadsheetml/2006/main" count="846" uniqueCount="846">
  <si>
    <t>Nb Heures / Jour</t>
  </si>
  <si>
    <t>CHARGES</t>
  </si>
  <si>
    <t>Mis à jour le 09/08/2023</t>
  </si>
  <si>
    <t>Reste à Faire</t>
  </si>
  <si>
    <t>Ressources Equipes</t>
  </si>
  <si>
    <t>--&gt; H.Dev</t>
  </si>
  <si>
    <t>L</t>
  </si>
  <si>
    <t xml:space="preserve">M </t>
  </si>
  <si>
    <t>M</t>
  </si>
  <si>
    <t>J</t>
  </si>
  <si>
    <t>V</t>
  </si>
  <si>
    <t>Jours Vacances dans fichier absences</t>
  </si>
  <si>
    <t>Nb Jours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</si>
  <si>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</si>
  <si>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</si>
  <si>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</si>
  <si>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</si>
  <si>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</si>
  <si>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</si>
  <si>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</si>
  <si>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</si>
  <si>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</si>
  <si>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Affect</t>
  </si>
  <si>
    <t>Techno</t>
  </si>
  <si>
    <t>Appli.</t>
  </si>
  <si>
    <t>Code</t>
  </si>
  <si>
    <t>N° feature</t>
  </si>
  <si>
    <t>Nom feature</t>
  </si>
  <si>
    <t>Version</t>
  </si>
  <si>
    <t>Prioritaire</t>
  </si>
  <si>
    <t>Détail</t>
  </si>
  <si>
    <t>SP</t>
  </si>
  <si>
    <t>Dev</t>
  </si>
  <si>
    <t>TC / MR</t>
  </si>
  <si>
    <t>H. Dev</t>
  </si>
  <si>
    <t xml:space="preserve">Heure tot DEV
 Consommé</t>
  </si>
  <si>
    <t>H. Qualif</t>
  </si>
  <si>
    <t>Init</t>
  </si>
  <si>
    <t>J1</t>
  </si>
  <si>
    <t>Présence</t>
  </si>
  <si>
    <t>Autre</t>
  </si>
  <si>
    <t>Specs</t>
  </si>
  <si>
    <t>Qual</t>
  </si>
  <si>
    <t>TMA</t>
  </si>
  <si>
    <t>.Net</t>
  </si>
  <si>
    <t>AM</t>
  </si>
  <si>
    <t>PM</t>
  </si>
  <si>
    <t>Designer</t>
  </si>
  <si>
    <t>SAP</t>
  </si>
  <si>
    <t>2.30.0</t>
  </si>
  <si>
    <t>[Designer] S221018_040 Affichage des 9 caractères des numéros de série distribué en largeur d'affichage</t>
  </si>
  <si>
    <t>Chayma HAMROUNI</t>
  </si>
  <si>
    <t>d</t>
  </si>
  <si>
    <t>[Designer] S221018_040 Suppression des lignes de chèques sans fermer l'écran / contrôle sur la fermeture de l'écran "SAP0130F- Gestion des mouvements de sous-régie"</t>
  </si>
  <si>
    <t>o</t>
  </si>
  <si>
    <t>SAG</t>
  </si>
  <si>
    <t>1.3.0</t>
  </si>
  <si>
    <t>[Designer] S221209_131 Réorganiser le bloc 'Adresse' dans l'écran 'SAG0510F-Organisme'</t>
  </si>
  <si>
    <t>Corinne Rampon</t>
  </si>
  <si>
    <t>t</t>
  </si>
  <si>
    <t>T</t>
  </si>
  <si>
    <t>[Designer] S221209_131 Mettre à jour la récupération des codes postaux dans l'écran SAG0210F onglet Dossier/ Org accompagnateur et Organisme</t>
  </si>
  <si>
    <t>Damien PORTE</t>
  </si>
  <si>
    <t>TS</t>
  </si>
  <si>
    <t>[Designer] S221209_131 Modifier publipostage dans export Notification/Lettres d'envoi/Convention (SAG0110F)</t>
  </si>
  <si>
    <t>Fabien HAINAUT</t>
  </si>
  <si>
    <t>2.31.0</t>
  </si>
  <si>
    <t xml:space="preserve">[DESIGNER]  Ajout d'un champ "Date de Réception SAS" pour les "Secours Adulte" et type de paiement "Virement" dans l'écran "SAP0120F - Détail d'une demande" (§15 A-B)</t>
  </si>
  <si>
    <t>[DESIGNER] Recherche bénéficiaire - Mise à jour de l'écran SAP0140F - Liste des bénéficiaires (§9 et §10)</t>
  </si>
  <si>
    <t>Grégory THARREAU</t>
  </si>
  <si>
    <t>s</t>
  </si>
  <si>
    <t>q</t>
  </si>
  <si>
    <t>SRS</t>
  </si>
  <si>
    <t>4.8.0</t>
  </si>
  <si>
    <t>[DESIGNER] I230630_179 Modifier la requete pour la re-impression du courrier allocataire</t>
  </si>
  <si>
    <t xml:space="preserve"> KO : 8</t>
  </si>
  <si>
    <t>Jérôme BRUGAL </t>
  </si>
  <si>
    <t xml:space="preserve">[Designer] S221209_131 Ajouter de la colonne "Lieu de distribution" dans la pop-up "Liste des codes postaux"  SAG0510F-Organismes</t>
  </si>
  <si>
    <t>[Designer] S221209_131 Mettre à jour la récupération des codes postaux dans les éditions des écrans SAG0140F, SAG0150F</t>
  </si>
  <si>
    <t>Jihene MATHYS</t>
  </si>
  <si>
    <t>ABD</t>
  </si>
  <si>
    <t>.NET</t>
  </si>
  <si>
    <t>HTB</t>
  </si>
  <si>
    <t>1.7.0</t>
  </si>
  <si>
    <t>a</t>
  </si>
  <si>
    <t xml:space="preserve">[TS] S20221107-Controle effectifs-Onglet Tableau du payeur-Etude pour rajouter les sous-totaux dans tableau de résultat </t>
  </si>
  <si>
    <t>Mathis FABRE</t>
  </si>
  <si>
    <t>A</t>
  </si>
  <si>
    <t>ABD / RBA</t>
  </si>
  <si>
    <t>ZAE</t>
  </si>
  <si>
    <t>1.6.0</t>
  </si>
  <si>
    <t>Trier par date de début les contrats des adhérents dans l'écran Adhérent (détail d'un adhérent)</t>
  </si>
  <si>
    <t>Emie DELEPINE</t>
  </si>
  <si>
    <t>FHT</t>
  </si>
  <si>
    <t>INF</t>
  </si>
  <si>
    <t>1.11.0</t>
  </si>
  <si>
    <t>b</t>
  </si>
  <si>
    <t xml:space="preserve">[TS] Etudier les performances de récupération de la liste des utilisateurs
=&gt; KEYCLOAK</t>
  </si>
  <si>
    <t>Pascale DE CACQUERAY</t>
  </si>
  <si>
    <t>GED</t>
  </si>
  <si>
    <t>FHT / ARI / ABD</t>
  </si>
  <si>
    <t>c</t>
  </si>
  <si>
    <t>S20221107-Feedback-Controle effectifs-Faire apparaitre l'UO de réserve dans menu déroulant Service des critères de recherche</t>
  </si>
  <si>
    <t>Samah HAMZE</t>
  </si>
  <si>
    <t>CHI / RBA</t>
  </si>
  <si>
    <t>RDS</t>
  </si>
  <si>
    <t xml:space="preserve">Rechercher sur nom court, responsable site, description, code AS-TECH et code DSIUN + adapter filtre IDs dans champ recherche </t>
  </si>
  <si>
    <t>ARI / ABD</t>
  </si>
  <si>
    <t>e</t>
  </si>
  <si>
    <t>Mise à jour des résultats de recherche dans tableau des sites</t>
  </si>
  <si>
    <t>François DEGRELLE</t>
  </si>
  <si>
    <t>ARI/ABD/FHT</t>
  </si>
  <si>
    <t>f</t>
  </si>
  <si>
    <t xml:space="preserve">S20221107-Controle effectifs-Onglet Tableau du payeur-Rajouter les sous-totaux dans tableau de résultat </t>
  </si>
  <si>
    <t>Adrien BONNARD</t>
  </si>
  <si>
    <t>ARI/JBL/ABD</t>
  </si>
  <si>
    <t>g</t>
  </si>
  <si>
    <t>S20221107-Controle effectifs-Onglet Tableau du payeur-Exporter le résultat</t>
  </si>
  <si>
    <t xml:space="preserve">Riadh BENAMARA </t>
  </si>
  <si>
    <t>CHI/ARI</t>
  </si>
  <si>
    <t>h</t>
  </si>
  <si>
    <t>Afficher les nouveaux champs dans le détail d'un site</t>
  </si>
  <si>
    <t>Ali REGRAGUI</t>
  </si>
  <si>
    <t>ABD/FHT/RBA</t>
  </si>
  <si>
    <t>HEP</t>
  </si>
  <si>
    <t>4.5.1</t>
  </si>
  <si>
    <t>i</t>
  </si>
  <si>
    <t xml:space="preserve">[I230720_058]  Erreur génération automatique du bulletin de situation de l’agent </t>
  </si>
  <si>
    <t>ne pas utiliser</t>
  </si>
  <si>
    <t>O</t>
  </si>
  <si>
    <t>j</t>
  </si>
  <si>
    <t>[I230720_058] Erreur de la génération automatique du compte-rendu et de la fiche de situation de l'agent</t>
  </si>
  <si>
    <t>Total Dev</t>
  </si>
  <si>
    <t>RBA</t>
  </si>
  <si>
    <t>Exporter les sites au format CSV</t>
  </si>
  <si>
    <t>Total Dev Autre</t>
  </si>
  <si>
    <t>DPE</t>
  </si>
  <si>
    <t>MTB</t>
  </si>
  <si>
    <t xml:space="preserve">[I230718_143] Problème de création du client Keycloak  lors du déploiement via la pipeline</t>
  </si>
  <si>
    <t>Total Dev .NET</t>
  </si>
  <si>
    <t>MFE</t>
  </si>
  <si>
    <t>Java</t>
  </si>
  <si>
    <t>HFD</t>
  </si>
  <si>
    <t>2.29.0</t>
  </si>
  <si>
    <t>[Java] Problème sur les listes des OMP</t>
  </si>
  <si>
    <t>Total Qualif</t>
  </si>
  <si>
    <t>Total Spec</t>
  </si>
  <si>
    <t>JBL</t>
  </si>
  <si>
    <t>#42</t>
  </si>
  <si>
    <t>Retour Recette</t>
  </si>
  <si>
    <t>Centrer le spinner lors de la génération de l'export sur l'écran actif et non sur la totalité de la page</t>
  </si>
  <si>
    <t>Total BA</t>
  </si>
  <si>
    <t>#2</t>
  </si>
  <si>
    <t>Mise à jour du Gitlab CI</t>
  </si>
  <si>
    <t>Total Présence projet</t>
  </si>
  <si>
    <t>SourceDeployer</t>
  </si>
  <si>
    <t>#24</t>
  </si>
  <si>
    <t>Deployer ZAE</t>
  </si>
  <si>
    <t>Total Jours équipe</t>
  </si>
  <si>
    <t>#6</t>
  </si>
  <si>
    <t>Mise à jour version</t>
  </si>
  <si>
    <t>J. Dispo</t>
  </si>
  <si>
    <t>H. Dispo</t>
  </si>
  <si>
    <t>H. Planif</t>
  </si>
  <si>
    <t>Tx Planif</t>
  </si>
  <si>
    <t>Ratio</t>
  </si>
  <si>
    <t>Temps Qualif : 40% heure de dev</t>
  </si>
  <si>
    <r xmlns="http://schemas.openxmlformats.org/spreadsheetml/2006/main">
      <rPr>
        <b/>
        <sz val="11"/>
        <color theme="0"/>
        <rFont val="Calibri"/>
        <family val="2"/>
        <scheme val="minor"/>
      </rPr>
      <t>S</t>
    </r>
    <r xmlns="http://schemas.openxmlformats.org/spreadsheetml/2006/main">
      <rPr>
        <sz val="11"/>
        <color theme="1"/>
        <rFont val="Calibri"/>
        <family val="2"/>
        <scheme val="minor"/>
      </rPr>
      <t>péc</t>
    </r>
  </si>
  <si>
    <t>-</t>
  </si>
  <si>
    <t>#15</t>
  </si>
  <si>
    <t xml:space="preserve"> </t>
  </si>
  <si>
    <r xmlns="http://schemas.openxmlformats.org/spreadsheetml/2006/main">
      <rPr>
        <b/>
        <sz val="11"/>
        <color theme="0"/>
        <rFont val="Calibri"/>
        <family val="2"/>
        <scheme val="minor"/>
      </rPr>
      <t>D</t>
    </r>
    <r xmlns="http://schemas.openxmlformats.org/spreadsheetml/2006/main">
      <rPr>
        <sz val="11"/>
        <color theme="1"/>
        <rFont val="Calibri"/>
        <family val="2"/>
        <scheme val="minor"/>
      </rPr>
      <t>év . .NET</t>
    </r>
  </si>
  <si>
    <r xmlns="http://schemas.openxmlformats.org/spreadsheetml/2006/main">
      <rPr>
        <b/>
        <sz val="11"/>
        <color theme="0"/>
        <rFont val="Calibri"/>
        <family val="2"/>
        <scheme val="minor"/>
      </rPr>
      <t>T</t>
    </r>
    <r xmlns="http://schemas.openxmlformats.org/spreadsheetml/2006/main">
      <rPr>
        <sz val="11"/>
        <color theme="1"/>
        <rFont val="Calibri"/>
        <family val="2"/>
        <scheme val="minor"/>
      </rPr>
      <t>=Dév . Autre</t>
    </r>
  </si>
  <si>
    <t>#9</t>
  </si>
  <si>
    <t>Problème liste idPatrimoine</t>
  </si>
  <si>
    <r xmlns="http://schemas.openxmlformats.org/spreadsheetml/2006/main">
      <rPr>
        <b/>
        <sz val="11"/>
        <color theme="0"/>
        <rFont val="Calibri"/>
        <family val="2"/>
        <scheme val="minor"/>
      </rPr>
      <t>Q</t>
    </r>
    <r xmlns="http://schemas.openxmlformats.org/spreadsheetml/2006/main">
      <rPr>
        <sz val="11"/>
        <color theme="1"/>
        <rFont val="Calibri"/>
        <family val="2"/>
        <scheme val="minor"/>
      </rPr>
      <t>ualif</t>
    </r>
  </si>
  <si>
    <t>#10</t>
  </si>
  <si>
    <t>Problème méthode Update</t>
  </si>
  <si>
    <r xmlns="http://schemas.openxmlformats.org/spreadsheetml/2006/main">
      <rPr>
        <b/>
        <sz val="11"/>
        <color theme="0"/>
        <rFont val="Calibri"/>
        <family val="2"/>
        <scheme val="minor"/>
      </rPr>
      <t>O</t>
    </r>
    <r xmlns="http://schemas.openxmlformats.org/spreadsheetml/2006/main">
      <rPr>
        <sz val="11"/>
        <color theme="1"/>
        <rFont val="Calibri"/>
        <family val="2"/>
        <scheme val="minor"/>
      </rPr>
      <t>ff</t>
    </r>
  </si>
  <si>
    <t>Maj script insertions utilisateurs IQR</t>
  </si>
  <si>
    <t>Autre/Formation/Ecole</t>
  </si>
  <si>
    <t>Total Jour</t>
  </si>
  <si>
    <t>Planning OK :</t>
  </si>
  <si>
    <t>RESERVE</t>
  </si>
  <si>
    <t xml:space="preserve">Reserve </t>
  </si>
  <si>
    <t/>
  </si>
  <si>
    <t>Total</t>
  </si>
  <si>
    <t>Total .NET</t>
  </si>
  <si>
    <t>Total Autre</t>
  </si>
  <si>
    <t xml:space="preserve">CAF INITIALE à 80% : </t>
  </si>
  <si>
    <t>Légende</t>
  </si>
  <si>
    <t>CAF .NET</t>
  </si>
  <si>
    <t>En cours de dév</t>
  </si>
  <si>
    <t>J Presence</t>
  </si>
  <si>
    <t>l</t>
  </si>
  <si>
    <t>CAF Autre</t>
  </si>
  <si>
    <t>Dév / qualif bloqué</t>
  </si>
  <si>
    <t>J Presence Autre</t>
  </si>
  <si>
    <t xml:space="preserve">Capacité TFS : </t>
  </si>
  <si>
    <t>Reste</t>
  </si>
  <si>
    <t>En MR + tests croisés</t>
  </si>
  <si>
    <t>J Presence .NET</t>
  </si>
  <si>
    <t xml:space="preserve">nb jours : </t>
  </si>
  <si>
    <t xml:space="preserve">CAF INITIALE à 100% : </t>
  </si>
  <si>
    <t>En stand-by</t>
  </si>
  <si>
    <t>Heures Présence</t>
  </si>
  <si>
    <t xml:space="preserve">Developpement : </t>
  </si>
  <si>
    <t>Heures Présence Autre</t>
  </si>
  <si>
    <t xml:space="preserve">Requirement : </t>
  </si>
  <si>
    <t>En qualification interne</t>
  </si>
  <si>
    <t>Heures Présence .NET</t>
  </si>
  <si>
    <t>En qualification client</t>
  </si>
  <si>
    <t>Raf H. Présence</t>
  </si>
  <si>
    <t xml:space="preserve">Heures DEV INIT. 80% : </t>
  </si>
  <si>
    <t>Raf H. Présence Autre</t>
  </si>
  <si>
    <t xml:space="preserve">Heures SPEC QUALIF init : </t>
  </si>
  <si>
    <t>Qualifié. Validée par BA</t>
  </si>
  <si>
    <t>Raf H. Présence .NET</t>
  </si>
  <si>
    <t xml:space="preserve">Heures DEV Prévues 100% : </t>
  </si>
  <si>
    <t xml:space="preserve"> Livré client</t>
  </si>
  <si>
    <t>Prévisionnel de Production</t>
  </si>
  <si>
    <t xml:space="preserve">Heures QUALIF Init : </t>
  </si>
  <si>
    <t>Prévisionnel de Prod Autre</t>
  </si>
  <si>
    <t>US arrivées en cours de sprint</t>
  </si>
  <si>
    <t>Prévisionnel de Prod .NET</t>
  </si>
  <si>
    <t>US reportées du sprint précédent</t>
  </si>
  <si>
    <t>RàF CIBLE</t>
  </si>
  <si>
    <t>RàF CIBLE Autre</t>
  </si>
  <si>
    <t>US sortie du sprint dépriorisée</t>
  </si>
  <si>
    <t>RàF CIBLE .NET</t>
  </si>
  <si>
    <t>RàF REEL</t>
  </si>
  <si>
    <t>RàF REEL Autre</t>
  </si>
  <si>
    <t>RàF REEL .NET</t>
  </si>
  <si>
    <t>INITIAL</t>
  </si>
  <si>
    <t>Appli</t>
  </si>
  <si>
    <t>US</t>
  </si>
  <si>
    <t>Feature</t>
  </si>
  <si>
    <t>Priorité</t>
  </si>
  <si>
    <t xml:space="preserve">Dev </t>
  </si>
  <si>
    <t>DEV TC + MR</t>
  </si>
  <si>
    <t>Heures de dev totales</t>
  </si>
  <si>
    <t>Heure dev consommé</t>
  </si>
  <si>
    <t>Type</t>
  </si>
  <si>
    <t>Livré</t>
  </si>
  <si>
    <t>SP Livré</t>
  </si>
  <si>
    <t>Jour de dev</t>
  </si>
  <si>
    <t>[Designer] S221018_040 Demande d'évolution distribution CAP-Utilisation d'une scannette</t>
  </si>
  <si>
    <t>[DESIGNER] S221209_131 - Usage du ROC pour les codes postaux en lieu et place du référentiel obsolète de SRS</t>
  </si>
  <si>
    <t>[DESIGNER] Diverses évolutions N°2 du 16/06/2023</t>
  </si>
  <si>
    <t>[Designer] S221209_131 Mettre à jour la récupération des codes postaux dans les éditions des écrans SAG0140F, SAG150F</t>
  </si>
  <si>
    <t xml:space="preserve">[Designer] S221209_131 Suppression des éléments RMA du menu de l'application SAG ainsi que les écrans correspondants </t>
  </si>
  <si>
    <t>S20221107 Tableau des effectifs - Lot 1</t>
  </si>
  <si>
    <t>S230109_256 : Lot 1 - Ecran statistiques + Enrichir l'écran de détail de l'adhérent</t>
  </si>
  <si>
    <t>Trié par date de début les contrats des adhérents dans l'écran Adhérent (détail d'un adhérent)</t>
  </si>
  <si>
    <t>[WEB] GÉRER LES UTILISATEURS</t>
  </si>
  <si>
    <t>N</t>
  </si>
  <si>
    <t xml:space="preserve">Ajout de champs pour un site physique-  Synchronisation de données à partir de AS-TECH</t>
  </si>
  <si>
    <t>Bug</t>
  </si>
  <si>
    <t>INITIAL V2</t>
  </si>
  <si>
    <t>Total jour dev bug</t>
  </si>
  <si>
    <t>Total jour dev US</t>
  </si>
  <si>
    <t>Vélocité</t>
  </si>
  <si>
    <t>[DESIGNER] I230630_179 Impossibilité de rééditer une partie des courriers allocataires concernant les décisions de sanction</t>
  </si>
  <si>
    <t>Features résolues</t>
  </si>
  <si>
    <t>En retard : Non livré</t>
  </si>
  <si>
    <t>Description</t>
  </si>
  <si>
    <t>Conception du Modèle de données</t>
  </si>
  <si>
    <t>Ecran moyen</t>
  </si>
  <si>
    <t>Liste valeur</t>
  </si>
  <si>
    <t>Projet</t>
  </si>
  <si>
    <t>CDS</t>
  </si>
  <si>
    <t>Apex</t>
  </si>
  <si>
    <t>Heure de dev</t>
  </si>
  <si>
    <t>Nom du sprint</t>
  </si>
  <si>
    <t>Année</t>
  </si>
  <si>
    <t>Numéro de semaine</t>
  </si>
  <si>
    <t>Premier lundi</t>
  </si>
  <si>
    <t xml:space="preserve">Mise  jour du fichier le 07/17/2023 13:23:05</t>
  </si>
  <si>
    <t>Application</t>
  </si>
  <si>
    <t>ID</t>
  </si>
  <si>
    <t>Sprint/version</t>
  </si>
  <si>
    <t>Statut</t>
  </si>
  <si>
    <t>date ouverture</t>
  </si>
  <si>
    <t>Commentaire</t>
  </si>
  <si>
    <t>RDS-v1.0.0</t>
  </si>
  <si>
    <t>Adresse &gt; proposer la liste des voies disponibles pour un code postal</t>
  </si>
  <si>
    <t>Sélectionner un type de site &gt; faire apparaitre la liste</t>
  </si>
  <si>
    <t>Area Path</t>
  </si>
  <si>
    <t>Work Item Type</t>
  </si>
  <si>
    <t>Title 1</t>
  </si>
  <si>
    <t>Title 2</t>
  </si>
  <si>
    <t>Assigned To</t>
  </si>
  <si>
    <t>State</t>
  </si>
  <si>
    <t>Tags</t>
  </si>
  <si>
    <t>GSD</t>
  </si>
  <si>
    <t>IHM - Liste des dossiers</t>
  </si>
  <si>
    <t>DAUMERGUE Frederic &lt;NOVEA\FDAUMERGUE&gt;</t>
  </si>
  <si>
    <t>Closed</t>
  </si>
  <si>
    <t>IHM - Ajout d'un dossier</t>
  </si>
  <si>
    <t>IHM - Fiche détaillée d'un dossier</t>
  </si>
  <si>
    <t>IHM - Echeances Actions d'un dossier</t>
  </si>
  <si>
    <t>IHM - Ajout d'un élément</t>
  </si>
  <si>
    <t>ROLE - Administrateur</t>
  </si>
  <si>
    <t>Active</t>
  </si>
  <si>
    <t>gerer_utilisateurs</t>
  </si>
  <si>
    <t>ROLE - Chargé de Mission</t>
  </si>
  <si>
    <t>acceder_contacts_dossier; acceder_echeances_dossier; acceder_faitsmarquants_dossier; acceder_fiche_dossier; creer_dossier; creer_element_dossier; enregistrer_dossier; gerer_indicateurs_dossier; gerer_risques_dossier; imprimer_dossier; modifier_dossier; modifier_element_dossier; modifier_nom_dossier; rechercher_dossier; supprimer_dossier; supprimer_element_dossier</t>
  </si>
  <si>
    <t>ROLE - Directeur Général</t>
  </si>
  <si>
    <t>acceder_contacts_dossier; acceder_echeances_dossier; acceder_faitsmarquants_dossier; acceder_fiche_dossier; imprimer_dossier; rechercher_dossier</t>
  </si>
  <si>
    <t>IHM - Faits marquants d'un dossier</t>
  </si>
  <si>
    <t>acceder_faitsmarquants_dossier</t>
  </si>
  <si>
    <t>IHM - Contacts</t>
  </si>
  <si>
    <t>acceder_contacts_dossier</t>
  </si>
  <si>
    <t>IHM - Ajout acteur interne</t>
  </si>
  <si>
    <t>CONCEPTION - Modèle de données</t>
  </si>
  <si>
    <t>DOUZON Gregory &lt;NOVEA\GDOUZON&gt;</t>
  </si>
  <si>
    <t>CONCEPTION - Maquettes écrans</t>
  </si>
  <si>
    <t>CONCEPTION - Spécifications fonctionnelles</t>
  </si>
  <si>
    <t>GPX</t>
  </si>
  <si>
    <t>Gérer les modèles de matériels</t>
  </si>
  <si>
    <t>Gérer les familles de matériels</t>
  </si>
  <si>
    <t>Gérer les usages</t>
  </si>
  <si>
    <t>Gérer les modules BIOS</t>
  </si>
  <si>
    <t>Gérer les familles de bad drivers</t>
  </si>
  <si>
    <t>Gérer les bad drivers</t>
  </si>
  <si>
    <t>Gérer les BIOS passwords</t>
  </si>
  <si>
    <t>DSS</t>
  </si>
  <si>
    <t>Feature : Administrer les activités</t>
  </si>
  <si>
    <t>DAVOINE - Externe Christel &lt;NOVEA\CDAVOINEEXT&gt;</t>
  </si>
  <si>
    <t>Resolved</t>
  </si>
  <si>
    <t>Feature : Gérer les inscriptions aux activités</t>
  </si>
  <si>
    <t>THARREAU - Externe Gregory &lt;NOVEA\GTHARREAUEXT&gt;</t>
  </si>
  <si>
    <t>Feature : Gérer les fiches collégiens</t>
  </si>
  <si>
    <t>Feature : Administrer les séjours</t>
  </si>
  <si>
    <t>MAYINDA ZOBELA - Externe Anthony &lt;NOVEA\AMAYINDAZOBELAEXT&gt;</t>
  </si>
  <si>
    <t>Feature : Administrer les thèmes</t>
  </si>
  <si>
    <t>Feature : Gérer le catalogue des activités</t>
  </si>
  <si>
    <t>Administrer les activités</t>
  </si>
  <si>
    <t>Administrer les collèges</t>
  </si>
  <si>
    <t>Feature: Administrer une activité</t>
  </si>
  <si>
    <t>Feature: Administrer les activités</t>
  </si>
  <si>
    <t>Feature: Administrer les années scolaires</t>
  </si>
  <si>
    <t>Feature: Administrer les prestataires</t>
  </si>
  <si>
    <t>Feature : Gérer les sites</t>
  </si>
  <si>
    <t>BRUGAL - Externe Jerome &lt;NOVEA\JBRUGALEXT&gt;</t>
  </si>
  <si>
    <t>Feature : Gérer les types de sites</t>
  </si>
  <si>
    <t>Gérer la validation des affectations</t>
  </si>
  <si>
    <t>ENTEZAM - Externe Samuel &lt;NOVEA\SENTEZAMEXT&gt;</t>
  </si>
  <si>
    <t>Administrer les lieux de rendez-vous</t>
  </si>
  <si>
    <t>Administrer les marchés</t>
  </si>
  <si>
    <t>Feature : Gérer l'affectation automatique</t>
  </si>
  <si>
    <t>DGC</t>
  </si>
  <si>
    <t>SPPAS : Chèques-Resto-Collège</t>
  </si>
  <si>
    <t>New</t>
  </si>
  <si>
    <t>IWT</t>
  </si>
  <si>
    <t>Feature 1 : Chèques-Resto-Collège</t>
  </si>
  <si>
    <t>GAN</t>
  </si>
  <si>
    <t>MODIFIER LES INFORMATIONS PERSONNELLES</t>
  </si>
  <si>
    <t>Validé CD13</t>
  </si>
  <si>
    <t>MODIFIER LE MOT DE PASSE</t>
  </si>
  <si>
    <t>REINITIALISER LE MOT DE PASSE</t>
  </si>
  <si>
    <t>IGA</t>
  </si>
  <si>
    <t>CONSOLIDER LES INFORMATIONS DES MARCHES</t>
  </si>
  <si>
    <t>VERIFIER LES DONNEES A DOUBLE SAISIES CORIOLIS / EXCEL</t>
  </si>
  <si>
    <t>A valider CD13</t>
  </si>
  <si>
    <t>[JeromeADB] Lors d'un désistement : Ajout d'un message de confirmation</t>
  </si>
  <si>
    <t>KESSAS - Externe Laura &lt;NOVEA\LKESSASEXT&gt;</t>
  </si>
  <si>
    <t>INITIALISATION ET CONFIGURATION</t>
  </si>
  <si>
    <t>JeromeADB] Fiche collégien : Un référent ne doit pas pouvoir supprimer les choix d’un collégien affecté à un séjour</t>
  </si>
  <si>
    <t>Removed</t>
  </si>
  <si>
    <t>[JeromeADB] Gestion des dates de blocages pour les inscriptions (voeux)</t>
  </si>
  <si>
    <t>AFFICHAGE DES LISTES DES DEMANDES D'ACHATS</t>
  </si>
  <si>
    <t>INITIALISATION D'UNE DEMANDE D'ACHAT</t>
  </si>
  <si>
    <t>GESTION DES ARTICLES</t>
  </si>
  <si>
    <t>GESTION DU STATUT DES DEMANDES</t>
  </si>
  <si>
    <t>IXT</t>
  </si>
  <si>
    <t>/api/platform/{platform_id}/beneficiaire/{beneficiaire_id}/ : Ajouter un objet "plateforme" dans l'objet "beneficiaire"</t>
  </si>
  <si>
    <t>GIF FINO Nicolas &lt;NOVEA\NGIF&gt;</t>
  </si>
  <si>
    <t>/api/platform/{platform_id}/beneficiaire/{beneficiaire_id}/affectation/{affectation_id}/ : les champs vides dans la requète doivent vider les valeurs en base</t>
  </si>
  <si>
    <t>WS liste et détail affectation ne controle pas la plateforme</t>
  </si>
  <si>
    <t>GESTION DU REFERENTIEL DES MARCHES</t>
  </si>
  <si>
    <t>GESTION DU REFERENTIEL DES CODES ANALYTIQUES</t>
  </si>
  <si>
    <t>Modification du tri des référents sur /api/platform/{platform_id}/referent/</t>
  </si>
  <si>
    <t>REFONTE DES DEMANDES D'ACHATS</t>
  </si>
  <si>
    <t>IPU</t>
  </si>
  <si>
    <t>GESTION DES MODELES DE PUBLIPOSTAGE</t>
  </si>
  <si>
    <t>GENERATION D'UN FICHIER A PARTIR D'UN MODELE</t>
  </si>
  <si>
    <t>/api/platform/{platform_id}/beneficiaire/{beneficiaire_id}/affectation/ : ajouter le champ prescripteur et filtrer sur erreur</t>
  </si>
  <si>
    <t>/api/platform/{platform_id}/referent/ - GET : Ajouter champ text = Nom + Prénom</t>
  </si>
  <si>
    <t>/api/platform/{platform_id}/beneficiaire/{beneficiaire_id}/affectation/{affectation_id}/ - PUT : Spécifier/modifier le référent associé à une affectation</t>
  </si>
  <si>
    <t>/api/platform/{platform_id}/beneficiaire/ GET : ajouter le champ affectation</t>
  </si>
  <si>
    <t>[RSA] Ne mettre à jour des données de consultation des brsa que pour les externes.</t>
  </si>
  <si>
    <t>GESTION DES DOMAINES</t>
  </si>
  <si>
    <t>[JeromeADB] Fiche Collégien : Vérification à l'enregistrement de la disponibilité pour les voeux effectués</t>
  </si>
  <si>
    <t>[JeromeADB] Fiche Activités : ajout champ "Disponibilités"</t>
  </si>
  <si>
    <t>GFS</t>
  </si>
  <si>
    <t>GENERATION D'UNE FICHE SIGNALETIQUE POUR UN BUREAU</t>
  </si>
  <si>
    <t>[SXR] Vue beneficiaires x query</t>
  </si>
  <si>
    <t>[SXR] Compter et paginer les files actives dans SOA plutot qu'en SQL</t>
  </si>
  <si>
    <t>[SXR] Utiliser la table INDICATEUR pour accélérer les requètes</t>
  </si>
  <si>
    <t>[SXR] Ajouter à la liste des référents un champ qui indique le nombre de brsa qu'il suit</t>
  </si>
  <si>
    <t>[SXR] Optimisation des filtres sur les listings de bénéficiaires</t>
  </si>
  <si>
    <t>APM</t>
  </si>
  <si>
    <t>Refonte des menus d'Accueil</t>
  </si>
  <si>
    <t>Gestion par virement bancaire</t>
  </si>
  <si>
    <t>RAP</t>
  </si>
  <si>
    <t>MISE EN PLACE D'UN SERVICE API</t>
  </si>
  <si>
    <t>RPJ</t>
  </si>
  <si>
    <t>[SXR] Utiliser 1 requète par critère de recherche</t>
  </si>
  <si>
    <t>OAC</t>
  </si>
  <si>
    <t xml:space="preserve">Gestion de l’Erreur http 403 Accès interdit </t>
  </si>
  <si>
    <t>DE CACQUERAY - Externe Pascale &lt;NOVEA\PDECACQUERAYEXT&gt;</t>
  </si>
  <si>
    <t>XIN</t>
  </si>
  <si>
    <t>INITALISATION ET CONFIGURATION</t>
  </si>
  <si>
    <t>Ready</t>
  </si>
  <si>
    <t>MISE EN PLACE DU TABLEAU DES DEMANDES</t>
  </si>
  <si>
    <t>GESTION DES ELEVAGES</t>
  </si>
  <si>
    <t>GESTION D'UNE DEMANDE</t>
  </si>
  <si>
    <t>Macro-planif; Validé CD13</t>
  </si>
  <si>
    <t>MISE EN PLACE DU PLANNING DES DEMANDES</t>
  </si>
  <si>
    <t>Demande d'évolution concernant les convocations</t>
  </si>
  <si>
    <t>[Designer] (GEN86) Evolution modules SAE et SPT</t>
  </si>
  <si>
    <t>[DESIGNER] EVOLUTIONS SUR LA GESTION PAR VIREMENT BANCAIRE</t>
  </si>
  <si>
    <t>AAA</t>
  </si>
  <si>
    <t>Planification des prélèvements pour le laboratoire 13</t>
  </si>
  <si>
    <t>SGL</t>
  </si>
  <si>
    <t>INTERFACE MDPH</t>
  </si>
  <si>
    <t>RAMPON - Externe Corinne &lt;NOVEA\CRAMPONEXT&gt;</t>
  </si>
  <si>
    <t>Retour recette</t>
  </si>
  <si>
    <t>Imputation comptable</t>
  </si>
  <si>
    <t>SRR</t>
  </si>
  <si>
    <t>EDITION DES ATTESTATIONS</t>
  </si>
  <si>
    <t>[DESIGNER] : MODULE PARAMETRES</t>
  </si>
  <si>
    <t>[DESIGNER] : MENU SGC - BUDGET DES COLLEGES - SUBVENTIONS</t>
  </si>
  <si>
    <t>GEDFACTURES</t>
  </si>
  <si>
    <t>Délégation de tâches</t>
  </si>
  <si>
    <t>Page d'Accueil</t>
  </si>
  <si>
    <t>Workflow</t>
  </si>
  <si>
    <t>Macro-planif</t>
  </si>
  <si>
    <t>GEDMARCHES</t>
  </si>
  <si>
    <t>Gestion Dossier Marché</t>
  </si>
  <si>
    <t>Assistance Support</t>
  </si>
  <si>
    <t>Création nouvelle piece (banque des termes)</t>
  </si>
  <si>
    <t>Gestion des droits et habilitations</t>
  </si>
  <si>
    <t>GEDRH</t>
  </si>
  <si>
    <t>Dispositif jeunes</t>
  </si>
  <si>
    <t>Gestion des erreurs</t>
  </si>
  <si>
    <t>Echanges avec HR Access</t>
  </si>
  <si>
    <t>Délégation des taches</t>
  </si>
  <si>
    <t>Gestion des enveloppes de paie</t>
  </si>
  <si>
    <t>Dossier Individuel Agent (DIA)</t>
  </si>
  <si>
    <t>Fonctions de recherche</t>
  </si>
  <si>
    <t>Réception</t>
  </si>
  <si>
    <t>Contrôle administratif</t>
  </si>
  <si>
    <t>Contrôle technique</t>
  </si>
  <si>
    <t>Contrôle Comptable</t>
  </si>
  <si>
    <t>Validation hiérarchique</t>
  </si>
  <si>
    <t>Flux Suspension</t>
  </si>
  <si>
    <t>Echanges avec Coriolis</t>
  </si>
  <si>
    <t>Gestion des droits et des habilitations</t>
  </si>
  <si>
    <t>Feature Technique : administration DBA</t>
  </si>
  <si>
    <t>INSTRUCTION</t>
  </si>
  <si>
    <t>EDITION</t>
  </si>
  <si>
    <t>NINTEX Workflows : Ajout des logs</t>
  </si>
  <si>
    <t>NINTEX Workflow : Gestion des erreurs</t>
  </si>
  <si>
    <t>GENERATION D'UNE FICHE SIGNALETIQUE</t>
  </si>
  <si>
    <t>[DESIGNER] : ALLOCATAIRES</t>
  </si>
  <si>
    <t>Interface CD13.Interface.Kofax.exe</t>
  </si>
  <si>
    <t>HCV</t>
  </si>
  <si>
    <t>Rattachement collectif</t>
  </si>
  <si>
    <t>Alimentation des données ODF dans le système d’information décisionnel</t>
  </si>
  <si>
    <t>INTRANET</t>
  </si>
  <si>
    <t>Fonctionnalités du menu du ruban</t>
  </si>
  <si>
    <t>Tendances de popularité</t>
  </si>
  <si>
    <t>VAN AUWEGHEM Nicolas &lt;NOVEA\NVANAUWEGHEM&gt;</t>
  </si>
  <si>
    <t>Support</t>
  </si>
  <si>
    <t>Gestion des demandes</t>
  </si>
  <si>
    <t>Dossier Factures</t>
  </si>
  <si>
    <t>[DESIGNER] EVOLUTIONS HOPAYRA</t>
  </si>
  <si>
    <t>[DESIGNER] COLLECTIF/CONVENTION COLLECTIVE</t>
  </si>
  <si>
    <t xml:space="preserve">[API] RECHERCHER UNE ADRESSE POSTALE </t>
  </si>
  <si>
    <t>[API] Retourne information personne</t>
  </si>
  <si>
    <t>[APEX] [DESIGNER]: LA PROVENCE DANS MON ASSIETTE</t>
  </si>
  <si>
    <t>[APEX] [DESIGNER] : S211124_060 - MODULE SAE</t>
  </si>
  <si>
    <t>[DESIGNER] EVOLUTIONS NOMENCLATURES EVENEMENTS</t>
  </si>
  <si>
    <t>[DESIGNER] POURSUITE DE LA CENTRALISATION DES COMMUNICATIONS PAR SMS</t>
  </si>
  <si>
    <t>[DESIGNER] ÉVOLUTIONS À APPORTER À SRS DANS LE CADRE DE LA MISE EN ŒUVRE DE LA VERSION 1.2 DE L’EXTRANET RSA</t>
  </si>
  <si>
    <t>[DESIGNER] ACCÈS EN CONSULTATION AU PAIEMENT DES FAI POUR LA PLATEFORME TÉLÉPHONIQUE</t>
  </si>
  <si>
    <t>Gestion d'une commande</t>
  </si>
  <si>
    <t>[DESIGNER] : CONVOCATIONS</t>
  </si>
  <si>
    <t>Ajout de champs supplémentaires à l'export CSV des listes et recherches de bénéficiaires</t>
  </si>
  <si>
    <t>VPL</t>
  </si>
  <si>
    <t>Evolutions des fiches stations</t>
  </si>
  <si>
    <t>Export CSV de liste de facturation</t>
  </si>
  <si>
    <t>Script</t>
  </si>
  <si>
    <t>Installation livraison</t>
  </si>
  <si>
    <t>[API] GESTION DE PLUSIEURS VERSIONS EN MÊME TEMPS</t>
  </si>
  <si>
    <t>HTR</t>
  </si>
  <si>
    <t>Exporter le fichier TRSOLDE pour HR Access</t>
  </si>
  <si>
    <t>WIKI FAIT QUOI</t>
  </si>
  <si>
    <t>IntranetSearch</t>
  </si>
  <si>
    <t>Evolution MENU Niveau 2</t>
  </si>
  <si>
    <t>[DESIGNER] : MODULE TRAITEMENTS</t>
  </si>
  <si>
    <t>Gestion des adhérents</t>
  </si>
  <si>
    <t>Etats des adhérents</t>
  </si>
  <si>
    <t>Correctif ANO Fiche Station et Paramétrage Marchés</t>
  </si>
  <si>
    <t>NINTEX WORKFLOW</t>
  </si>
  <si>
    <t>TRAITEMENT ASG</t>
  </si>
  <si>
    <t>Qualification_CD13_v2.2.0.4</t>
  </si>
  <si>
    <t>ACT</t>
  </si>
  <si>
    <t>[DESIGNER] GESTION DES ACTES</t>
  </si>
  <si>
    <t>DAS</t>
  </si>
  <si>
    <t>[DESIGNER] EDITION DES COURRIERS</t>
  </si>
  <si>
    <t>PreProduction_CD13</t>
  </si>
  <si>
    <t>Ajout champ text à la liste des bénéficiaires</t>
  </si>
  <si>
    <t>[DESIGNER] EVOLUTIONS ASSIGNATION</t>
  </si>
  <si>
    <t>Installation \ Environnement Plateforme CD13</t>
  </si>
  <si>
    <t>[DESIGNER] S220321_003 EVOLUTIONS : GESTION EN PARALLELE DES CONTRATS</t>
  </si>
  <si>
    <t>KOFAX</t>
  </si>
  <si>
    <t>Interface</t>
  </si>
  <si>
    <t>Planning</t>
  </si>
  <si>
    <t>Gestion des besoins + diverses évolutions</t>
  </si>
  <si>
    <t>/api/platform/{platform_id}/beneficiaire/ pouvoir filtrer par id</t>
  </si>
  <si>
    <t>Feature XXX</t>
  </si>
  <si>
    <t>Feature YYY</t>
  </si>
  <si>
    <t>Mise en place Environnement Application</t>
  </si>
  <si>
    <t>Configuration</t>
  </si>
  <si>
    <t>PARAMETRES</t>
  </si>
  <si>
    <t>SEM</t>
  </si>
  <si>
    <t>[DESIGNER] ENTREPRISES</t>
  </si>
  <si>
    <t>GEDMDPH</t>
  </si>
  <si>
    <t>Demande d'évolution \ correctif v1.0</t>
  </si>
  <si>
    <t>EVOLUTION</t>
  </si>
  <si>
    <t>[WEB] MISE EN PLACE DE L'APPLICATION WEB</t>
  </si>
  <si>
    <t>[API] RÉCUPÉRER UNE DIRECTION</t>
  </si>
  <si>
    <t>[WEB] GÉRER LES DOMAINES</t>
  </si>
  <si>
    <t>[WEB] S'AUTHENTIFIER SUR L'APPLICATION</t>
  </si>
  <si>
    <t>[API] VÉRIFIER LA VALIDITÉ DE L'API</t>
  </si>
  <si>
    <t>[WEB] GÉRER LES SITES</t>
  </si>
  <si>
    <t>PORTE - Externe Damien &lt;NOVEA\DPORTEEXT&gt;</t>
  </si>
  <si>
    <t>PI2023.4</t>
  </si>
  <si>
    <t>[WEB] GÉRER LES RÔLES ET PERMISSIONS</t>
  </si>
  <si>
    <t>SCMCOLL - Dématérialisation Charte Restauration</t>
  </si>
  <si>
    <t>A valider CD13; PI2023.4</t>
  </si>
  <si>
    <t>Allocataires mandatés en APAET-Export CSV</t>
  </si>
  <si>
    <t>RGPD</t>
  </si>
  <si>
    <t>Référentiel site OAC</t>
  </si>
  <si>
    <t>Macro-planif; PI2023.3</t>
  </si>
  <si>
    <t>SCMCOLL - Paramètres</t>
  </si>
  <si>
    <t>A valider CD13; PI2023.3</t>
  </si>
  <si>
    <t>Gestion des bordereaux</t>
  </si>
  <si>
    <t>Traitement des rappels</t>
  </si>
  <si>
    <t>Gestion des états de frais</t>
  </si>
  <si>
    <t>UST</t>
  </si>
  <si>
    <t>Log des évènements</t>
  </si>
  <si>
    <t>Compatibilité EDGE Chromium</t>
  </si>
  <si>
    <t>Référent collège</t>
  </si>
  <si>
    <t>Job MISE A JOUR DES AGENTS</t>
  </si>
  <si>
    <t>Environnement - Architecture</t>
  </si>
  <si>
    <t>[DESIGNER] : EVOLUTIONS S220427_042</t>
  </si>
  <si>
    <t>[DESIGNER] : Module SPT &gt; Suivi des dépenses pour remplacement</t>
  </si>
  <si>
    <t>Demande d'évolution suite à la réorganisation RH</t>
  </si>
  <si>
    <t>PARDO - Externe Bernard &lt;NOVEA\BPARDOEXT&gt;</t>
  </si>
  <si>
    <t>Entretiens professionnels [S220217_131]</t>
  </si>
  <si>
    <t>[DESIGNER] S220506_008 : Adaptation pour RdV.Insertion</t>
  </si>
  <si>
    <t>[DESIGNER] EDITIONS</t>
  </si>
  <si>
    <t>[APEX][DESIGNER] S211124_060 - MODULE SAE - Transport PAME Evol Lot 4</t>
  </si>
  <si>
    <t>[APEX][DESIGNER] S211124_060 - MODULE SAE - Transport PAME Evol Lot 3</t>
  </si>
  <si>
    <t>[DESIGNER] Module SAE - S220510_168 - Evo notifications AE, PAME et Transports</t>
  </si>
  <si>
    <t>[DESIGNER] S220506_008 : Date signature pour le publipostage des contrats</t>
  </si>
  <si>
    <t>[APEX] 505</t>
  </si>
  <si>
    <t>[DESIGNER] I220523_131 : gestion des dates de virement : suppression d'un virement</t>
  </si>
  <si>
    <t>[DESIGNER] S220524_208 : ERGONOMIE</t>
  </si>
  <si>
    <t>[SXR] Endpoint pour lister les sous-actions non financières</t>
  </si>
  <si>
    <t>Gestion des messages applicatifs</t>
  </si>
  <si>
    <t>[DESIGNER] QUESTIONS</t>
  </si>
  <si>
    <t>[DESIGNER] I220603_115 Facturation</t>
  </si>
  <si>
    <t>[SXR] Permettre la visualisation des personnes sorties de la file active il y a déjà X mois</t>
  </si>
  <si>
    <t>[DESIGNER] I220614_082 ERREUR DE SAISIE</t>
  </si>
  <si>
    <t>[DESIGNER] I220615_002 : Ecran SRS 0050F- Validation des contrats d’insertion</t>
  </si>
  <si>
    <t>Environnement technique</t>
  </si>
  <si>
    <t>[DESIGNER] Edition de document via l'API d'IPU</t>
  </si>
  <si>
    <t>Stabilisation de la GED RH</t>
  </si>
  <si>
    <t>[DESIGNER] Diverses évolutions 17/06/2022</t>
  </si>
  <si>
    <t>EVOLUTION; PI2023.5</t>
  </si>
  <si>
    <t>[DESIGNER] Compléter l'export des allocataires mandatés pour les types différents de APAET</t>
  </si>
  <si>
    <t>Utilisation d'un élément du TermStore dans la GED</t>
  </si>
  <si>
    <t>[DESIGNER] I220627_088 EXTRACTION CESU</t>
  </si>
  <si>
    <t>[DESIGNER] I220630_001 : Message d'erreur sur l'écran SRS0010F</t>
  </si>
  <si>
    <t>GED_MARCHE_Evolutions_diverses_v1.0</t>
  </si>
  <si>
    <t>[DESIGNER] S220712_057 : DGC - Evolution module SAE-Synchronisation param AE</t>
  </si>
  <si>
    <t>PI2023.3</t>
  </si>
  <si>
    <t xml:space="preserve">I220721_126 : incident sur création d'une régul manuelle </t>
  </si>
  <si>
    <t>I220722_007 - Problème sur les flux de travail GED Factures</t>
  </si>
  <si>
    <t xml:space="preserve">I220726_152 - 66 bibliothèques de service manquantes  dans la GED Factures INTERMEDIAIRE</t>
  </si>
  <si>
    <t>[Designer] Analyse état des stocks</t>
  </si>
  <si>
    <t>[Designer] I220728_095 : Stocks</t>
  </si>
  <si>
    <t>I220728_123 : Résultats incomplets avec la recherche avancée de la GED Marchés</t>
  </si>
  <si>
    <t>Marchés en exécution</t>
  </si>
  <si>
    <t>S220930_042 Evo-Avis de situation des demandes 12/08/2022</t>
  </si>
  <si>
    <t>Suivi de passation</t>
  </si>
  <si>
    <t>PI2023.2</t>
  </si>
  <si>
    <t>SBA</t>
  </si>
  <si>
    <t>Evolution du back office</t>
  </si>
  <si>
    <t>HAINAUT - Externe Fabien &lt;NOVEA\FHAINANTEXT&gt;</t>
  </si>
  <si>
    <t>SRSQCN91V0M1 - Liste des contrats sous .NET</t>
  </si>
  <si>
    <t>DELEPINE - Externe Emie &lt;NOVEA\EDELEPINEEXT&gt;</t>
  </si>
  <si>
    <t>S220825_056 : Diverses évos - Ecrans Affectation Collégiens pour le CPE (référent collège)</t>
  </si>
  <si>
    <t>PI2022.13</t>
  </si>
  <si>
    <t>Mise à jour des templates</t>
  </si>
  <si>
    <t>SRSQCN92V0M1 - Création du contrat d'engagement réciproque sous .NET</t>
  </si>
  <si>
    <t>SRSQCN93V0M1 - Détail du contrat sous .NET</t>
  </si>
  <si>
    <t>I220825_124 : Pb récupération titulaire lors de la création d'un nouveau marché</t>
  </si>
  <si>
    <t>Problème ROC</t>
  </si>
  <si>
    <t>SCMCOLL - Gestion des Subventions</t>
  </si>
  <si>
    <t>PI2023.2; SPECS_ENCOURS</t>
  </si>
  <si>
    <t>I220913_052 : "Délégation" ouverte à tort à l'ensemble des personnes habilitées sur un service</t>
  </si>
  <si>
    <t xml:space="preserve">[I220915_067] Ano dans les résultats remontés avec la recherche  TOUT</t>
  </si>
  <si>
    <t>SGG</t>
  </si>
  <si>
    <t>[DESIGNER] S220916_104 - Gestion dynamique des signataires</t>
  </si>
  <si>
    <t>PI2022.12</t>
  </si>
  <si>
    <t>I220906_179 Effet de bord ROC</t>
  </si>
  <si>
    <t>[DESIGNER] Reports en Times New Roman</t>
  </si>
  <si>
    <t>S220913_143 - APM/ Univers BO</t>
  </si>
  <si>
    <t>[SXR] Ajouter dans l'export CSV des files actives le motif de convocation</t>
  </si>
  <si>
    <t>[SXR] Donner l'activité des enfants d'un bénéficiaire</t>
  </si>
  <si>
    <t>[SXR] Donner l'activité et le référent du conjoint du bénéficiaire</t>
  </si>
  <si>
    <t>[SXR] Convertir la plateforme du conjoint en objet</t>
  </si>
  <si>
    <t>GED Factures Nouveau profil utilisateur Référent v1.0</t>
  </si>
  <si>
    <t>Macro-planif; PI2023.4</t>
  </si>
  <si>
    <t>SAT</t>
  </si>
  <si>
    <t>Incident ROC</t>
  </si>
  <si>
    <t>I220927_192 : Possibilité de créer un marché avec le millésime sur deux caractères au lieu de 4</t>
  </si>
  <si>
    <t>[SXR] Modification requète activité</t>
  </si>
  <si>
    <t>[DESIGNER] S220930_130 EVOLUTION Extraction CESU + Extraction DOMIPHONE</t>
  </si>
  <si>
    <t>Macro-chiffrage; PI2023.7</t>
  </si>
  <si>
    <t>HRX</t>
  </si>
  <si>
    <t>CRÉER UNE DEMANDE</t>
  </si>
  <si>
    <t>FED 2.3.20.0 : pb fonction RECHERCHE en PREPROD</t>
  </si>
  <si>
    <t>SERVINO - Externe Adaya &lt;NOVEA\ASERVINOEXT&gt;</t>
  </si>
  <si>
    <t>IQR et PPR - Pb éléments remontés dans la Web Part "Factures non communiquées à Coriolis"</t>
  </si>
  <si>
    <t>[SXR] Accepter les valeurs "Oui" et "Non" en paramètre de l'endpoint actions</t>
  </si>
  <si>
    <t xml:space="preserve"> Fonctions transverses (GED Dll Common)</t>
  </si>
  <si>
    <t>Fonctions transverses (GED Dll Common)</t>
  </si>
  <si>
    <t>[DESIGNER] S221010_235 : DGC - Evolution module SPT</t>
  </si>
  <si>
    <t>[SXR] Hotfix : trier les queries par ID</t>
  </si>
  <si>
    <t>[DESIGNER] I221011_182 : Absence de contrôle lors de la création d’un contrat lorsqu’un autre contrat est déjà en cours (SRS0030F)</t>
  </si>
  <si>
    <t>S221012_XXX - Divers correctifs - Menus déroulants</t>
  </si>
  <si>
    <t>HAMZE - Externe Samah &lt;NOVEA\SHAMZEEXT&gt;</t>
  </si>
  <si>
    <t>Macro-chiffrage; Macro-planif; PI2023.7</t>
  </si>
  <si>
    <t>[DESIGNER] S221013_042 : DGC - Evolution Gestion droits et mails de Pers Fonct, module SAE</t>
  </si>
  <si>
    <t>PI2022.13 S49S51 v1.4.0</t>
  </si>
  <si>
    <t>[SPS] CI/CD - Etape 1 - Intégration Continue - Sonarqube</t>
  </si>
  <si>
    <t>[SPS] Mise à jour Sharepoint sur environnements</t>
  </si>
  <si>
    <t>NINTEX - Ajout des logs - WKFL Validation Dossier Marché</t>
  </si>
  <si>
    <t>ARCHITECTURE</t>
  </si>
  <si>
    <t xml:space="preserve">NINTEX -	Documentation Technique « gestion des Exceptions NINTEX »</t>
  </si>
  <si>
    <t>NINTEX - Documentation Maintenance « Exceptions NINTEX »</t>
  </si>
  <si>
    <t>I221018_102 Suppression d'inscrits loisir</t>
  </si>
  <si>
    <t>Authentification Keycloak</t>
  </si>
  <si>
    <t>Gestion des OMP</t>
  </si>
  <si>
    <t xml:space="preserve">[I221019_176] : Affichage d'un champ "Contrôlé" en trop sur les propriétés du document dans les 2 nouveaux DAS (PRD) </t>
  </si>
  <si>
    <t xml:space="preserve"> I221020_186 : Message d'erreur "L'identifiant de corrélation de l'erreur est ..."</t>
  </si>
  <si>
    <t>I221020_179 : Message "enregistré" s'affiche mais l'information concernant le binôme n'est en fait pas enregistré</t>
  </si>
  <si>
    <t>Evolution Copie de document</t>
  </si>
  <si>
    <t>[API] GÉRER LES RÔLES ET PERMISSIONS</t>
  </si>
  <si>
    <t>[SXR] Afficher le champ affectation.date_insertion</t>
  </si>
  <si>
    <t>Bibliothèques de services (DAS)</t>
  </si>
  <si>
    <t xml:space="preserve">[DESIGNER]  S221110_114 : DGC / Evol VIVIER : Suite à l'ajout du Matricule et demande DRH</t>
  </si>
  <si>
    <t>Macro-planif; PI2022.12 S47S48 v1.3.0</t>
  </si>
  <si>
    <t>I221114_041 : Aucun indicateur à jour</t>
  </si>
  <si>
    <t>VALIDER DES DEMANDES</t>
  </si>
  <si>
    <t>GÉRER DES RÔLES</t>
  </si>
  <si>
    <t>Téléchargement d'une PJ I221121_195</t>
  </si>
  <si>
    <t>Export des données</t>
  </si>
  <si>
    <t>Indiquer les infos Pole-emploi sous forme de pkObject</t>
  </si>
  <si>
    <t>[SXR] Sasie de contrats dans SRS</t>
  </si>
  <si>
    <t>[SXR] Ajouter la colonne c.COM_COUR à l'export CSV de la file active</t>
  </si>
  <si>
    <t>[I221103_165][I221124_186]Dégradation temps de réponse</t>
  </si>
  <si>
    <t>[I221201_001] : Problème sur les listes des OMP</t>
  </si>
  <si>
    <t>Evolution Marché à lot (numéro Marco)</t>
  </si>
  <si>
    <t>Evolution Ma page (Mon Espace)</t>
  </si>
  <si>
    <t>Autres demandes diverses d'évolution</t>
  </si>
  <si>
    <t>Modifier le script MajFacture_Blocage</t>
  </si>
  <si>
    <t>HAMROUNI - Externe Chayma &lt;NOVEA\CHAMROUNIEXT&gt;</t>
  </si>
  <si>
    <t>PI2023.8</t>
  </si>
  <si>
    <t>[SXR] Référentiel codes ROME</t>
  </si>
  <si>
    <t>Diverses évolutions - demandes du 05/12/2022</t>
  </si>
  <si>
    <t>PI2023.9</t>
  </si>
  <si>
    <t>[WEB] INTEROPÉRABILITÉ AVEC LES AUTRES APPLICATIONS</t>
  </si>
  <si>
    <t>I221209_029 : Problème Pb archivage documents du marché 889-2020</t>
  </si>
  <si>
    <t>[DESIGNER] EVOLUTIONS S221208_294 prise en compte fonctionnalités AS-TECH</t>
  </si>
  <si>
    <t>Retour de recette V3.3.0 (Stabilisation)</t>
  </si>
  <si>
    <t>Analyse des résultats lors de la recherche ALL*</t>
  </si>
  <si>
    <t>Modification du mode Maintenance</t>
  </si>
  <si>
    <t>Feature test : Itération indentée</t>
  </si>
  <si>
    <t>EVOL; Macro-chiffrage; PI2023.9; TMA</t>
  </si>
  <si>
    <t>[APEX] I221212_076 : Module SIC – Application côté Collège (APEX 501) – Missions ATI</t>
  </si>
  <si>
    <t>I221212_126 : impossible de choisir un vétérinaire et un élevage pour les agents labo_N1</t>
  </si>
  <si>
    <t>[DESIGNER] I221011_182 : Création/Renouvellement de contrat</t>
  </si>
  <si>
    <t>PI2023.1</t>
  </si>
  <si>
    <t>Analyse compte Utilisateur</t>
  </si>
  <si>
    <t>[Designer] Détail d'une demande</t>
  </si>
  <si>
    <t>Coordinateur DGA (Evolutions diverses v1.0)</t>
  </si>
  <si>
    <t>FABRE - Externe Mathis &lt;NOVEA\MFABREEXT&gt;</t>
  </si>
  <si>
    <t>Macro-chiffrage</t>
  </si>
  <si>
    <t>[DESIGNER] S230111_096 - Evol Module SPT - Demande remplacement : Ajout colonne dans Extraction Excel DRH</t>
  </si>
  <si>
    <t>EVOL; Macro-chiffrage; PI2023.1; TMA</t>
  </si>
  <si>
    <t>HAP</t>
  </si>
  <si>
    <t>Effet de bord ROC</t>
  </si>
  <si>
    <t>Architecture</t>
  </si>
  <si>
    <t>[APEX] S230117_149 : SIRACUSE (DGC) -Apex 501 : Cacher les points d’accès aux données Subventions LPDMA</t>
  </si>
  <si>
    <t>EVOL; Macro-chiffrage; PI2023.2; TMA</t>
  </si>
  <si>
    <t>HGS</t>
  </si>
  <si>
    <t>Stagiaire</t>
  </si>
  <si>
    <t>Nettoyage du référentiel existant "Direction émettrice" dans la banque des termes</t>
  </si>
  <si>
    <t>Evolution sur le logo de la page de la recherche avancée</t>
  </si>
  <si>
    <t>Evolution champ "Gestionnaire du dossier" du dossier marché en bibliothèque de réception</t>
  </si>
  <si>
    <t>Générer dynamiquement le popup de publipostage</t>
  </si>
  <si>
    <t>[Java]Saisie des déplacements</t>
  </si>
  <si>
    <t xml:space="preserve">Demande de transposition de la Bibliothèque initiale 034220A vers la Bibliothèque 034230D </t>
  </si>
  <si>
    <t>Demande de modification du lien sur le logo MDPH</t>
  </si>
  <si>
    <t>[Stabilisation] Supprimer le rafraichissement lors de l'affichage des pages dans l'enveloppe de paye</t>
  </si>
  <si>
    <t>Import RDB</t>
  </si>
  <si>
    <t>Modifier message utilisateur sur écran "Ajouter un collégien"</t>
  </si>
  <si>
    <t>[I230203_067] GED RH - Support relatif à des questions sur le fonctionnement technique</t>
  </si>
  <si>
    <t>[DESIGNER] S230206_195 : Evolution DGC : Extraction Vivier et Paramètre Annee_Theme</t>
  </si>
  <si>
    <t>EVOL; Macro-chiffrage; TMA</t>
  </si>
  <si>
    <t xml:space="preserve">[DESIGNER]  S230206_243 : DAS - Evolution courrier Rejet Paiement (Demande de pièce)</t>
  </si>
  <si>
    <t>I230208_096 : Le choix d’un collégien n’est pas pris en compte</t>
  </si>
  <si>
    <t>I230208_148 : Pb fonction "Déplacer un dossier marché" sur des marchés en PRD</t>
  </si>
  <si>
    <t>[DESIGNER] S230209_225 : Adaptation du courrier des sanctions aux radiations</t>
  </si>
  <si>
    <t>PI2023.6</t>
  </si>
  <si>
    <t>[DESIGNER] S230210_190 Aide sociale-Editions APA : évolution règlementaire</t>
  </si>
  <si>
    <t>S230210_204 Evo pour campagne des entretiens 2023</t>
  </si>
  <si>
    <t>Correctif divers irritants avant MEP</t>
  </si>
  <si>
    <t>I230221_098 : Pb de factures en double en PRD</t>
  </si>
  <si>
    <t>Publipostage</t>
  </si>
  <si>
    <t>SRSQCN91V0M1 - Architecture et environnement</t>
  </si>
  <si>
    <t>Montée de version du Framework</t>
  </si>
  <si>
    <t>[I230227_199] [Apex] Onglet AE</t>
  </si>
  <si>
    <t>Etude du référentiel de développement Designer</t>
  </si>
  <si>
    <t>[SXR] Integration continue</t>
  </si>
  <si>
    <t>[APEX][DESIGNER] S230306_243 - Module SAE : Paramétrage PAME et Amélioration dispositif PAME</t>
  </si>
  <si>
    <t>Macro-chiffrage; PI2023.3</t>
  </si>
  <si>
    <t>[DESIGNER] S230308_183 Module SPT - Demande remplacement : Modifier colonne COLLEGE dans Extraction Excel DRH</t>
  </si>
  <si>
    <t>[Designer] Modification BDD SAP (procédure pré-affichage)</t>
  </si>
  <si>
    <t>[Nouveau Profil Référent] - Délégation pour une période donnée (2)</t>
  </si>
  <si>
    <t>[I230313_042]Accès au dossier de Mourad BENAMAR matricule 1740010</t>
  </si>
  <si>
    <t>[DESIGNER] S220930_130 EVOLUTION Ecran Gérer PCH/TSPH (SGL2340F)</t>
  </si>
  <si>
    <t>Macro-chiffrage; PI2023.8</t>
  </si>
  <si>
    <t>Evolution WikiFaitQui (1)</t>
  </si>
  <si>
    <t>Evolution GED Intermédiaire</t>
  </si>
  <si>
    <t>ROBERT - Externe Isabelle &lt;NOVEA\IROBERTEXT&gt;</t>
  </si>
  <si>
    <t>MDPH</t>
  </si>
  <si>
    <t>[S230327_202] Evolution Site internet MDPH (SPH)</t>
  </si>
  <si>
    <t>Packager la GED MARCHES depuis la dernière MEP (Evolution hors coordinateur DGA))</t>
  </si>
  <si>
    <t>GTE_NEWTEAM</t>
  </si>
  <si>
    <t>Evolution New Teams V2</t>
  </si>
  <si>
    <t>Authentification Agents et Collège</t>
  </si>
  <si>
    <t>Rôle ADHERENT</t>
  </si>
  <si>
    <t>Formulaire de demande ticket culture</t>
  </si>
  <si>
    <t>Carte escapade</t>
  </si>
  <si>
    <t>[I230331_079] Documents bloqués en bibliothèque de remise</t>
  </si>
  <si>
    <t>[Nouveau Profil Référent] - Circuits en retard (3)</t>
  </si>
  <si>
    <t xml:space="preserve">I230407_024  Analyse requête APM - Appelée trop souvent</t>
  </si>
  <si>
    <t>S230407_018 - Diverses évolutions-N°UF et libellé Stratégique et suppression message</t>
  </si>
  <si>
    <t>[DESIGNER] Modification liée à refonte SRS .NET</t>
  </si>
  <si>
    <t>[APEX] 501 contrôle Priorité quand forcée CD13</t>
  </si>
  <si>
    <t>[DESIGNER]Nom signataire pour l'aide APAD</t>
  </si>
  <si>
    <t>S230407_018 - Intégrer N°UF dans import RDB</t>
  </si>
  <si>
    <t>PI2023.10</t>
  </si>
  <si>
    <t>I230413_070 : Authentification IQR keycloak</t>
  </si>
  <si>
    <t>Demande d'afficher un message spécifique si l'agent n'a pas d'autorisation sur la GED MARCHES</t>
  </si>
  <si>
    <t>[I230420_096] GED RH PROD - Documents bloqués en bibliothèque de remise</t>
  </si>
  <si>
    <t>S230109_256 : Lot 2 - Gestion des adhérents qui n'existent plus dans HR access</t>
  </si>
  <si>
    <t>[DESIGNER] I230424_146 : Edition fiche de liaison</t>
  </si>
  <si>
    <t>Demande de Transposition 1515 -&gt; 2550 (DFEN)</t>
  </si>
  <si>
    <t>GED_MARCHE_Evolutions_diverses_v1.0 - Suite</t>
  </si>
  <si>
    <t>Evolution de l'ensemble de Menu de l'application</t>
  </si>
  <si>
    <t>PI2023.12</t>
  </si>
  <si>
    <t>[DESIGNER] Gestion des adresses - SDF</t>
  </si>
  <si>
    <t>Décocher la case "Envoyer une invitation électronique" lors de l'ajout des agents à un groupe d'autorisation</t>
  </si>
  <si>
    <t>SRSQCN105V0M1 - Liste des contrats à répartir</t>
  </si>
  <si>
    <t>SRSQCN106V0M1 - Liste des contrats à instruire</t>
  </si>
  <si>
    <t>[DESIGNER] Evolution pour la refonte des contrats .NET</t>
  </si>
  <si>
    <t xml:space="preserve">[SPS] CI/CD - Nommage des releases </t>
  </si>
  <si>
    <t>Evolution WikiFaitQuoi (2)</t>
  </si>
  <si>
    <t>Evolution MENU Niveau 3</t>
  </si>
  <si>
    <t>[Planning] Modifier le traitement d'alimentation de la liste "Période de paye" lors de l'ajout d'un élément</t>
  </si>
  <si>
    <t>[Timer Job "Envoi à Coriolis"] Sécuriser le code du Timer Job</t>
  </si>
  <si>
    <t>[I230531_107] [I230605_046] problème remontée véhicule dans WEB FD</t>
  </si>
  <si>
    <t>Packager une version GED MARCHES AED-2.6.0.x Annulation Millesime</t>
  </si>
  <si>
    <t>[Designer] Référentiel source</t>
  </si>
  <si>
    <t>[.NET] S230607_180 - SCMCOLL - Grille auto-labellisation Lot 1</t>
  </si>
  <si>
    <t>[.NET] S230607_180 - SCMCOLL - Mailing suivi situation Lot 2</t>
  </si>
  <si>
    <t>[.NET] S230607_180 - SCMCOLL - Subvention LPDMA Lot3</t>
  </si>
  <si>
    <t>Empêcher la création d'un conteneur dossier marché vide</t>
  </si>
  <si>
    <t xml:space="preserve">Pb Environnement PPD  déploiement script GED Intermédiaire</t>
  </si>
  <si>
    <t>EVOLUTION DU PROFIL UTILISATEUR LABO_1</t>
  </si>
  <si>
    <t>[DESIGNER][I230615_167] Erreur lors de la création d'une facturation</t>
  </si>
  <si>
    <t>S230615_168 - tableau de programmation : Code couleur</t>
  </si>
  <si>
    <t>[Designer] TS</t>
  </si>
  <si>
    <t>[Designer] S230616_199 - Evolution d'une édition Designer pour tenir compte du changement de nom d'un service</t>
  </si>
  <si>
    <t>[Designer] [S230616_200] Evolution d'une édition pour tenir compte du changement de nom d'un service</t>
  </si>
  <si>
    <t>[I230606_154]Problème de pagination lors de la recherche "gestion des demandes"</t>
  </si>
  <si>
    <t>Mise à jour Page Accueil GED FACTURES, GED MARCHES, GED RH (env SSG)</t>
  </si>
  <si>
    <t>Déménagement sur le site PIXELIA</t>
  </si>
  <si>
    <t>[DESIGNER] [Priorité haute] Diverses évolutions N°2 du 16/06/2023</t>
  </si>
  <si>
    <t>[Apex] S230616_171 - Evo 2024 - LOT 1 - Paramétrage ANNEE_FICHE et Inscription AE (APEX 505)</t>
  </si>
  <si>
    <t>[Apex] S230616_171 - Evo 2024 - LOT 2 - Gestion AE, Gestion PAME (APEX 501)</t>
  </si>
  <si>
    <t>[Designer] S230616_171 - Evo 2024 - LOT 3 - Gestion AE</t>
  </si>
  <si>
    <t>SIR</t>
  </si>
  <si>
    <t>[DESIGNER] I230619_303 : Edition des bordereaux</t>
  </si>
  <si>
    <t>Optimisation de la gestion de document bouclant en biblio de remise</t>
  </si>
  <si>
    <t>Evolution Webparts</t>
  </si>
  <si>
    <t>Evolution Accueil de niveau 3</t>
  </si>
  <si>
    <t>Page d'Accueil du portail</t>
  </si>
  <si>
    <t>Evolution Design du site : Front-Office</t>
  </si>
  <si>
    <t>[DESIGNER] S230626_199 - FIC - Notification Présidente : Changement table source pour les subventions LPDMA</t>
  </si>
  <si>
    <t>[DESIGNER] S230627_137 - SAE - Modification édition Notification et Convention pour Association</t>
  </si>
  <si>
    <t>[DESIGNER] I230627_191 Corriger recherche sur matricule inconnu dans écran de suivi des actions</t>
  </si>
  <si>
    <t>[DESIGNER] S230627_180 - DAS - Evolution courrier Notification et Bordereau mandatement : Ajout Logo TRIMAN</t>
  </si>
  <si>
    <t>[DESIGNER] S230630_135 - Adaptation des courriers au déménagement de la DINSE sur Pixelia</t>
  </si>
  <si>
    <t>[DESIGNER] S230630_136 - Adaptation des éditions au déménagement de la DINSE sur le site de Pixelia</t>
  </si>
  <si>
    <t>Evolution fonction "Archivage Manuel"</t>
  </si>
  <si>
    <t>[Planning] Griser les jours qui ne sont pas du mois courant</t>
  </si>
  <si>
    <t>Evolution Droit de Rejet Direct</t>
  </si>
  <si>
    <t>[I230630_201] Problème d'accès aux fiches du WikiFaitQuoi sur Intranet</t>
  </si>
  <si>
    <t>[DESIGNER] S230705_106 - SAE-AE - Gestion dynamique du n° de rapport CP sur Report Convention AE pour Association</t>
  </si>
  <si>
    <t xml:space="preserve">[I230717_247] Bordereaux d'exonération (total, partielles et rejets)  incomplet à la réédition</t>
  </si>
  <si>
    <t>Incident</t>
  </si>
  <si>
    <t>SRSQCN109V0M2 - Edition des courriers contrat sous .NET</t>
  </si>
  <si>
    <t>[DESIGNER] [Priorité moyenne] Diverses évolutions N°2 du 16/06/2023</t>
  </si>
  <si>
    <t>SRSQCN110V0M1 - Administration des pôles d'insertion</t>
  </si>
  <si>
    <t>[DESIGNER] S230719_163 Modification du nom du service sur la décision de rétablissement produite par patch</t>
  </si>
  <si>
    <t xml:space="preserve">[I230720_058]  Erreur génération automatique du bulletin de situation de l’agent</t>
  </si>
  <si>
    <t>BONNARD - Externe Adrien &lt;NOVEA\ABONNARDEXT&gt;</t>
  </si>
  <si>
    <t>[DESIGNER] Assistance migration SGL vers IODAS</t>
  </si>
  <si>
    <t>Maveniser HFD et intégrer dans PIC CD13 déploiement</t>
  </si>
  <si>
    <t>Problème sur les listes des OMP</t>
  </si>
  <si>
    <t>total</t>
  </si>
  <si>
    <t>aaa</t>
  </si>
  <si>
    <t>ezezez</t>
  </si>
  <si>
    <t>Tickets bonus</t>
  </si>
  <si>
    <t>Tickets qui peuvent être dépriorisés du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</si>
</sst>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_-;\-* #,##0.0_-;_-* &quot;-&quot;??_-;_-@_-"/>
    <numFmt numFmtId="166" formatCode="_-* #,##0\ _€_-;\-* #,##0\ _€_-;_-* &quot;-&quot;?\ _€_-;_-@_-"/>
    <numFmt numFmtId="167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808080"/>
      <name val="Calibri"/>
      <family val="2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Segoe UI"/>
      <family val="2"/>
    </font>
    <font>
      <sz val="11"/>
      <color rgb="FF808080"/>
      <name val="Calibri"/>
      <family val="2"/>
    </font>
    <font>
      <b/>
      <sz val="11"/>
      <color rgb="FFFF0000"/>
      <name val="Calibri"/>
      <family val="2"/>
      <scheme val="minor"/>
    </font>
    <font>
      <b/>
      <strike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3F8FD"/>
        <bgColor indexed="64"/>
      </patternFill>
    </fill>
    <fill>
      <patternFill patternType="solid">
        <fgColor rgb="FF00D66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EC3CF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41719C"/>
      </left>
      <right style="thin">
        <color rgb="FF41719C"/>
      </right>
      <top style="thin">
        <color rgb="FF41719C"/>
      </top>
      <bottom style="thin">
        <color rgb="FF41719C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27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9" applyNumberFormat="1" fontId="1" applyFont="1" fillId="0" applyFill="1" borderId="0" applyBorder="1" xfId="2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0" applyFont="1" fillId="5" applyFill="1" borderId="0" applyBorder="1" xfId="0" applyProtection="1"/>
    <xf numFmtId="0" applyNumberFormat="1" fontId="0" applyFont="1" fillId="0" applyFill="1" borderId="1" applyBorder="1" xfId="0" applyProtection="1"/>
    <xf numFmtId="2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0" applyNumberFormat="1" fontId="2" applyFont="1" fillId="0" applyFill="1" borderId="3" applyBorder="1" xfId="0" applyProtection="1"/>
    <xf numFmtId="0" applyNumberFormat="1" fontId="0" applyFont="1" fillId="6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/>
    </xf>
    <xf numFmtId="0" applyNumberFormat="1" fontId="0" applyFont="1" fillId="0" applyFill="1" borderId="0" applyBorder="1" xfId="0" applyProtection="1">
      <alignment wrapText="1"/>
    </xf>
    <xf numFmtId="165" applyNumberFormat="1" fontId="0" applyFont="1" fillId="0" applyFill="1" borderId="0" applyBorder="1" xfId="0" applyProtection="1"/>
    <xf numFmtId="0" applyNumberFormat="1" fontId="2" applyFont="1" fillId="7" applyFill="1" borderId="5" applyBorder="1" xfId="0" applyProtection="1"/>
    <xf numFmtId="0" applyNumberFormat="1" fontId="0" applyFont="1" fillId="8" applyFill="1" borderId="6" applyBorder="1" xfId="0" applyProtection="1"/>
    <xf numFmtId="0" applyNumberFormat="1" fontId="0" applyFont="1" fillId="0" applyFill="1" borderId="11" applyBorder="1" xfId="0" applyProtection="1"/>
    <xf numFmtId="16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2" applyNumberFormat="1" fontId="0" applyFont="1" fillId="0" applyFill="1" borderId="13" applyBorder="1" xfId="0" applyProtection="1"/>
    <xf numFmtId="2" applyNumberFormat="1" fontId="0" applyFont="1" fillId="0" applyFill="1" borderId="15" applyBorder="1" xfId="0" applyProtection="1"/>
    <xf numFmtId="0" applyNumberFormat="1" fontId="0" applyFont="1" fillId="0" applyFill="1" borderId="13" applyBorder="1" xfId="0" applyProtection="1"/>
    <xf numFmtId="0" applyNumberFormat="1" fontId="3" applyFont="1" fillId="0" applyFill="1" borderId="0" applyBorder="1" xfId="0" applyProtection="1"/>
    <xf numFmtId="164" applyNumberFormat="1" fontId="3" applyFont="1" fillId="0" applyFill="1" borderId="0" applyBorder="1" xfId="0" applyProtection="1"/>
    <xf numFmtId="0" applyNumberFormat="1" fontId="0" applyFont="1" fillId="2" applyFill="1" borderId="14" applyBorder="1" xfId="0" applyProtection="1"/>
    <xf numFmtId="2" applyNumberFormat="1" fontId="0" applyFont="1" fillId="2" applyFill="1" borderId="15" applyBorder="1" xfId="0" applyProtection="1"/>
    <xf numFmtId="0" applyNumberFormat="1" fontId="0" applyFont="1" fillId="2" applyFill="1" borderId="11" applyBorder="1" xfId="0" applyProtection="1"/>
    <xf numFmtId="2" applyNumberFormat="1" fontId="0" applyFont="1" fillId="2" applyFill="1" borderId="13" applyBorder="1" xfId="0" applyProtection="1"/>
    <xf numFmtId="0" applyNumberFormat="1" fontId="0" applyFont="1" fillId="0" applyFill="1" borderId="16" applyBorder="1" xfId="0" applyProtection="1"/>
    <xf numFmtId="0" applyNumberFormat="1" fontId="0" applyFont="1" fillId="0" applyFill="1" borderId="10" applyBorder="1" xfId="0" applyProtection="1"/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1" applyNumberFormat="1" fontId="0" applyFont="1" fillId="6" applyFill="1" borderId="0" applyBorder="1" xfId="0" applyProtection="1"/>
    <xf numFmtId="0" applyNumberFormat="1" fontId="6" applyFont="1" fillId="0" applyFill="1" borderId="0" applyBorder="1" xfId="0" applyProtection="1" applyAlignment="1">
      <alignment vertical="center"/>
    </xf>
    <xf numFmtId="0" applyNumberFormat="1" fontId="0" applyFont="1" fillId="9" applyFill="1" borderId="0" applyBorder="1" xfId="0" applyProtection="1"/>
    <xf numFmtId="0" applyNumberFormat="1" fontId="0" applyFont="1" fillId="10" applyFill="1" borderId="17" applyBorder="1" xfId="0" applyProtection="1" applyAlignment="1">
      <alignment horizontal="center"/>
    </xf>
    <xf numFmtId="0" applyNumberFormat="1" fontId="0" applyFont="1" fillId="10" applyFill="1" borderId="18" applyBorder="1" xfId="0" applyProtection="1" applyAlignment="1">
      <alignment horizontal="center"/>
    </xf>
    <xf numFmtId="0" applyNumberFormat="1" fontId="0" applyFont="1" fillId="11" applyFill="1" borderId="17" applyBorder="1" xfId="0" applyProtection="1" applyAlignment="1">
      <alignment horizontal="center"/>
    </xf>
    <xf numFmtId="0" applyNumberFormat="1" fontId="0" applyFont="1" fillId="11" applyFill="1" borderId="18" applyBorder="1" xfId="0" applyProtection="1" applyAlignment="1">
      <alignment horizontal="center"/>
    </xf>
    <xf numFmtId="0" applyNumberFormat="1" fontId="0" applyFont="1" fillId="11" applyFill="1" borderId="19" applyBorder="1" xfId="0" applyProtection="1" applyAlignment="1">
      <alignment horizontal="center"/>
    </xf>
    <xf numFmtId="166" applyNumberFormat="1" fontId="0" applyFont="1" fillId="0" applyFill="1" borderId="0" applyBorder="1" xfId="0" applyProtection="1" applyAlignment="1">
      <alignment horizontal="right"/>
    </xf>
    <xf numFmtId="0" applyNumberFormat="1" fontId="0" applyFont="1" fillId="12" applyFill="1" borderId="0" applyBorder="1" xfId="0" applyProtection="1"/>
    <xf numFmtId="0" applyNumberFormat="1" fontId="7" applyFont="1" fillId="0" applyFill="1" borderId="0" applyBorder="1" xfId="0" applyProtection="1"/>
    <xf numFmtId="2" applyNumberFormat="1" fontId="0" applyFont="1" fillId="0" applyFill="1" borderId="11" applyBorder="1" xfId="0" applyProtection="1"/>
    <xf numFmtId="0" applyNumberFormat="1" fontId="2" applyFont="1" fillId="7" applyFill="1" borderId="3" applyBorder="1" xfId="0" applyProtection="1"/>
    <xf numFmtId="0" applyNumberFormat="1" fontId="8" applyFont="1" fillId="0" applyFill="1" borderId="0" applyBorder="1" xfId="0" applyProtection="1"/>
    <xf numFmtId="167" applyNumberFormat="1" fontId="0" applyFont="1" fillId="0" applyFill="1" borderId="0" applyBorder="1" xfId="0" applyProtection="1"/>
    <xf numFmtId="0" applyNumberFormat="1" fontId="0" applyFont="1" fillId="14" applyFill="1" borderId="0" applyBorder="1" xfId="0" applyProtection="1"/>
    <xf numFmtId="0" applyNumberFormat="1" fontId="0" applyFont="1" fillId="15" applyFill="1" borderId="0" applyBorder="1" xfId="0" applyProtection="1"/>
    <xf numFmtId="0" applyNumberFormat="1" fontId="2" applyFont="1" fillId="13" applyFill="1" borderId="3" applyBorder="1" xfId="0" applyProtection="1"/>
    <xf numFmtId="0" applyNumberFormat="1" fontId="2" applyFont="1" fillId="13" applyFill="1" borderId="22" applyBorder="1" xfId="0" applyProtection="1"/>
    <xf numFmtId="0" applyNumberFormat="1" fontId="7" applyFont="1" fillId="0" applyFill="1" borderId="0" applyBorder="1" xfId="0" applyProtection="1" applyAlignment="1">
      <alignment vertical="center"/>
    </xf>
    <xf numFmtId="0" applyNumberFormat="1" fontId="0" applyFont="1" fillId="0" applyFill="1" borderId="23" applyBorder="1" xfId="0" applyProtection="1"/>
    <xf numFmtId="0" applyNumberFormat="1" fontId="0" applyFont="1" fillId="0" applyFill="1" borderId="24" applyBorder="1" xfId="0" applyProtection="1" applyAlignment="1">
      <alignment vertical="center"/>
    </xf>
    <xf numFmtId="0" applyNumberFormat="1" fontId="0" applyFont="1" fillId="0" applyFill="1" borderId="24" applyBorder="1" xfId="0" applyProtection="1"/>
    <xf numFmtId="0" applyNumberFormat="1" fontId="3" applyFont="1" fillId="0" applyFill="1" borderId="29" applyBorder="1" xfId="0" applyProtection="1" applyAlignment="1">
      <alignment horizontal="center"/>
    </xf>
    <xf numFmtId="0" applyNumberFormat="1" fontId="3" applyFont="1" fillId="0" applyFill="1" borderId="30" applyBorder="1" xfId="0" applyProtection="1" applyAlignment="1">
      <alignment horizontal="center"/>
    </xf>
    <xf numFmtId="9" applyNumberFormat="1" fontId="0" applyFont="1" fillId="0" applyFill="1" borderId="0" applyBorder="1" xfId="2" applyProtection="1"/>
    <xf numFmtId="2" applyNumberFormat="1" fontId="3" applyFont="1" fillId="0" applyFill="1" borderId="0" applyBorder="1" xfId="0" applyProtection="1"/>
    <xf numFmtId="0" applyNumberFormat="1" fontId="3" applyFont="1" fillId="18" applyFill="1" borderId="8" applyBorder="1" xfId="0" applyProtection="1" applyAlignment="1">
      <alignment horizontal="left"/>
    </xf>
    <xf numFmtId="0" applyNumberFormat="1" fontId="3" applyFont="1" fillId="18" applyFill="1" borderId="28" applyBorder="1" xfId="0" applyProtection="1" applyAlignment="1">
      <alignment horizontal="left"/>
    </xf>
    <xf numFmtId="0" applyNumberFormat="1" fontId="3" applyFont="1" fillId="18" applyFill="1" borderId="27" applyBorder="1" xfId="0" applyProtection="1" applyAlignment="1">
      <alignment horizontal="left"/>
    </xf>
    <xf numFmtId="0" applyNumberFormat="1" fontId="3" applyFont="1" fillId="17" applyFill="1" borderId="33" applyBorder="1" xfId="0" applyProtection="1" applyAlignment="1">
      <alignment horizontal="left"/>
    </xf>
    <xf numFmtId="0" applyNumberFormat="1" fontId="3" applyFont="1" fillId="17" applyFill="1" borderId="28" applyBorder="1" xfId="0" applyProtection="1" applyAlignment="1">
      <alignment horizontal="left"/>
    </xf>
    <xf numFmtId="0" applyNumberFormat="1" fontId="3" applyFont="1" fillId="17" applyFill="1" borderId="27" applyBorder="1" xfId="0" applyProtection="1" applyAlignment="1">
      <alignment horizontal="left"/>
    </xf>
    <xf numFmtId="1" applyNumberFormat="1" fontId="3" applyFont="1" fillId="16" applyFill="1" borderId="27" applyBorder="1" xfId="0" applyProtection="1" applyAlignment="1">
      <alignment horizontal="left"/>
    </xf>
    <xf numFmtId="0" applyNumberFormat="1" fontId="3" applyFont="1" fillId="16" applyFill="1" borderId="8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9" applyFont="1" fillId="0" applyFill="1" borderId="0" applyBorder="1" xfId="0" applyProtection="1"/>
    <xf numFmtId="165" applyNumberFormat="1" fontId="9" applyFont="1" fillId="0" applyFill="1" borderId="0" applyBorder="1" xfId="0" applyProtection="1"/>
    <xf numFmtId="166" applyNumberFormat="1" fontId="9" applyFont="1" fillId="0" applyFill="1" borderId="0" applyBorder="1" xfId="0" applyProtection="1" applyAlignment="1">
      <alignment horizontal="right"/>
    </xf>
    <xf numFmtId="0" applyNumberFormat="1" fontId="0" applyFont="1" fillId="4" applyFill="1" borderId="1" applyBorder="1" xfId="0" applyProtection="1"/>
    <xf numFmtId="0" applyNumberFormat="1" fontId="0" applyFont="1" fillId="0" applyFill="1" borderId="35" applyBorder="1" xfId="0" applyProtection="1"/>
    <xf numFmtId="2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0" applyFont="1" fillId="0" applyFill="1" borderId="37" applyBorder="1" xfId="0" applyProtection="1"/>
    <xf numFmtId="0" applyNumberFormat="1" fontId="3" applyFont="1" fillId="17" applyFill="1" borderId="31" applyBorder="1" xfId="0" applyProtection="1" applyAlignment="1">
      <alignment horizontal="center"/>
    </xf>
    <xf numFmtId="0" applyNumberFormat="1" fontId="3" applyFont="1" fillId="17" applyFill="1" borderId="0" applyBorder="1" xfId="0" applyProtection="1" applyAlignment="1">
      <alignment horizontal="center"/>
    </xf>
    <xf numFmtId="0" applyNumberFormat="1" fontId="3" applyFont="1" fillId="18" applyFill="1" borderId="31" applyBorder="1" xfId="0" applyProtection="1" applyAlignment="1">
      <alignment horizontal="center"/>
    </xf>
    <xf numFmtId="0" applyNumberFormat="1" fontId="3" applyFont="1" fillId="18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2" applyNumberFormat="1" fontId="0" applyFont="1" fillId="0" applyFill="1" borderId="0" applyBorder="1" xfId="1" applyProtection="1" applyAlignment="1">
      <alignment horizontal="center"/>
    </xf>
    <xf numFmtId="0" applyNumberFormat="1" fontId="0" applyFont="1" fillId="0" applyFill="1" borderId="19" applyBorder="1" xfId="0" applyProtection="1"/>
    <xf numFmtId="0" applyNumberFormat="1" fontId="0" applyFont="1" fillId="0" applyFill="1" borderId="44" applyBorder="1" xfId="0" applyProtection="1"/>
    <xf numFmtId="0" applyNumberFormat="1" fontId="0" applyFont="1" fillId="0" applyFill="1" borderId="54" applyBorder="1" xfId="0" applyProtection="1"/>
    <xf numFmtId="0" applyNumberFormat="1" fontId="0" applyFont="1" fillId="0" applyFill="1" borderId="55" applyBorder="1" xfId="0" applyProtection="1"/>
    <xf numFmtId="0" applyNumberFormat="1" fontId="3" applyFont="1" fillId="0" applyFill="1" borderId="50" applyBorder="1" xfId="0" applyProtection="1"/>
    <xf numFmtId="0" applyNumberFormat="1" fontId="0" applyFont="1" fillId="0" applyFill="1" borderId="27" applyBorder="1" xfId="0" applyProtection="1"/>
    <xf numFmtId="0" applyNumberFormat="1" fontId="3" applyFont="1" fillId="19" applyFill="1" borderId="0" applyBorder="1" xfId="0" applyProtection="1"/>
    <xf numFmtId="9" applyNumberFormat="1" fontId="3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 wrapText="1"/>
    </xf>
    <xf numFmtId="1" applyNumberFormat="1" fontId="3" applyFont="1" fillId="0" applyFill="1" borderId="0" applyBorder="1" xfId="0" applyProtection="1" applyAlignment="1">
      <alignment horizontal="left"/>
    </xf>
    <xf numFmtId="167" applyNumberFormat="1" fontId="3" applyFont="1" fillId="0" applyFill="1" borderId="0" applyBorder="1" xfId="0" applyProtection="1"/>
    <xf numFmtId="0" applyNumberFormat="1" fontId="0" applyFont="1" fillId="0" applyFill="1" borderId="16" applyBorder="1" xfId="0" applyProtection="1" applyAlignment="1">
      <alignment vertical="center"/>
    </xf>
    <xf numFmtId="0" applyNumberFormat="1" fontId="0" applyFont="1" fillId="0" applyFill="1" borderId="53" applyBorder="1" xfId="0" applyProtection="1" applyAlignment="1">
      <alignment vertical="center"/>
    </xf>
    <xf numFmtId="0" applyNumberFormat="1" fontId="0" applyFont="1" fillId="20" applyFill="1" borderId="57" applyBorder="1" xfId="0" applyProtection="1"/>
    <xf numFmtId="0" applyNumberFormat="1" fontId="0" applyFont="1" fillId="21" applyFill="1" borderId="57" applyBorder="1" xfId="0" applyProtection="1"/>
    <xf numFmtId="0" applyNumberFormat="1" fontId="0" applyFont="1" fillId="22" applyFill="1" borderId="57" applyBorder="1" xfId="0" applyProtection="1"/>
    <xf numFmtId="0" applyNumberFormat="1" fontId="0" applyFont="1" fillId="24" applyFill="1" borderId="57" applyBorder="1" xfId="0" applyProtection="1"/>
    <xf numFmtId="0" applyNumberFormat="1" fontId="0" applyFont="1" fillId="14" applyFill="1" borderId="57" applyBorder="1" xfId="0" applyProtection="1"/>
    <xf numFmtId="0" applyNumberFormat="1" fontId="0" applyFont="1" fillId="4" applyFill="1" borderId="57" applyBorder="1" xfId="0" applyProtection="1"/>
    <xf numFmtId="0" applyNumberFormat="1" fontId="3" applyFont="1" fillId="0" applyFill="1" borderId="58" applyBorder="1" xfId="0" applyProtection="1"/>
    <xf numFmtId="0" applyNumberFormat="1" fontId="3" applyFont="1" fillId="0" applyFill="1" borderId="2" applyBorder="1" xfId="0" applyProtection="1"/>
    <xf numFmtId="0" applyNumberFormat="1" fontId="3" applyFont="1" fillId="0" applyFill="1" borderId="36" applyBorder="1" xfId="0" applyProtection="1"/>
    <xf numFmtId="16" applyNumberFormat="1" fontId="3" applyFont="1" fillId="0" applyFill="1" borderId="56" applyBorder="1" xfId="0" applyProtection="1"/>
    <xf numFmtId="16" applyNumberFormat="1" fontId="3" applyFont="1" fillId="0" applyFill="1" borderId="2" applyBorder="1" xfId="0" applyProtection="1"/>
    <xf numFmtId="16" applyNumberFormat="1" fontId="3" applyFont="1" fillId="0" applyFill="1" borderId="36" applyBorder="1" xfId="0" applyProtection="1"/>
    <xf numFmtId="0" applyNumberFormat="1" fontId="0" applyFont="1" fillId="0" applyFill="1" borderId="63" applyBorder="1" xfId="0" applyProtection="1"/>
    <xf numFmtId="0" applyNumberFormat="1" fontId="4" applyFont="1" fillId="0" applyFill="1" borderId="0" applyBorder="1" xfId="0" applyProtection="1"/>
    <xf numFmtId="167" applyNumberFormat="1" fontId="0" applyFont="1" fillId="0" applyFill="1" borderId="51" applyBorder="1" xfId="0" applyProtection="1"/>
    <xf numFmtId="167" applyNumberFormat="1" fontId="0" applyFont="1" fillId="0" applyFill="1" borderId="47" applyBorder="1" xfId="0" applyProtection="1"/>
    <xf numFmtId="167" applyNumberFormat="1" fontId="0" applyFont="1" fillId="0" applyFill="1" borderId="62" applyBorder="1" xfId="0" applyProtection="1"/>
    <xf numFmtId="167" applyNumberFormat="1" fontId="3" applyFont="1" fillId="16" applyFill="1" borderId="27" applyBorder="1" xfId="0" applyProtection="1" applyAlignment="1">
      <alignment horizontal="left"/>
    </xf>
    <xf numFmtId="14" applyNumberFormat="1" fontId="12" applyFont="1" fillId="0" applyFill="1" borderId="0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25" applyBorder="1" xfId="0" applyProtection="1"/>
    <xf numFmtId="0" applyNumberFormat="1" fontId="3" applyFont="1" fillId="0" applyFill="1" borderId="0" applyBorder="1" xfId="0" applyProtection="1">
      <alignment wrapText="1"/>
    </xf>
    <xf numFmtId="167" applyNumberFormat="1" fontId="0" applyFont="1" fillId="25" applyFill="1" borderId="0" applyBorder="1" xfId="0" applyProtection="1"/>
    <xf numFmtId="167" applyNumberFormat="1" fontId="0" applyFont="1" fillId="25" applyFill="1" borderId="0" applyBorder="1" xfId="0" applyProtection="1" applyAlignment="1">
      <alignment vertical="center"/>
    </xf>
    <xf numFmtId="0" applyNumberFormat="1" fontId="0" applyFont="1" fillId="0" applyFill="1" borderId="25" applyBorder="1" xfId="0" applyProtection="1" applyAlignment="1">
      <alignment vertical="center"/>
    </xf>
    <xf numFmtId="0" applyNumberFormat="1" fontId="3" applyFont="1" fillId="19" applyFill="1" borderId="25" applyBorder="1" xfId="0" applyProtection="1"/>
    <xf numFmtId="0" applyNumberFormat="1" fontId="0" applyFont="1" fillId="6" applyFill="1" borderId="25" applyBorder="1" xfId="0" applyProtection="1"/>
    <xf numFmtId="0" applyNumberFormat="1" fontId="0" applyFont="1" fillId="0" applyFill="1" borderId="71" applyBorder="1" xfId="0" applyProtection="1"/>
    <xf numFmtId="0" applyNumberFormat="1" fontId="0" applyFont="1" fillId="0" applyFill="1" borderId="72" applyBorder="1" xfId="0" applyProtection="1"/>
    <xf numFmtId="167" applyNumberFormat="1" fontId="0" applyFont="1" fillId="0" applyFill="1" borderId="74" applyBorder="1" xfId="0" applyProtection="1"/>
    <xf numFmtId="0" applyNumberFormat="1" fontId="0" applyFont="1" fillId="0" applyFill="1" borderId="75" applyBorder="1" xfId="0" applyProtection="1"/>
    <xf numFmtId="0" applyNumberFormat="1" fontId="0" applyFont="1" fillId="0" applyFill="1" borderId="76" applyBorder="1" xfId="0" applyProtection="1"/>
    <xf numFmtId="0" applyNumberFormat="1" fontId="6" applyFont="1" fillId="0" applyFill="1" borderId="0" applyBorder="1" xfId="0" applyProtection="1"/>
    <xf numFmtId="0" applyNumberFormat="1" fontId="13" applyFont="1" fillId="19" applyFill="1" borderId="0" applyBorder="1" xfId="0" applyProtection="1"/>
    <xf numFmtId="0" applyNumberFormat="1" fontId="14" applyFont="1" fillId="0" applyFill="1" borderId="0" applyBorder="1" xfId="0" applyProtection="1" applyAlignment="1">
      <alignment vertical="center"/>
    </xf>
    <xf numFmtId="0" applyNumberFormat="1" fontId="0" applyFont="1" fillId="0" applyFill="1" borderId="77" applyBorder="1" xfId="0" applyProtection="1"/>
    <xf numFmtId="0" applyNumberFormat="1" fontId="0" applyFont="1" fillId="0" applyFill="1" borderId="9" applyBorder="1" xfId="0" applyProtection="1"/>
    <xf numFmtId="0" applyNumberFormat="1" fontId="0" applyFont="1" fillId="26" applyFill="1" borderId="0" applyBorder="1" xfId="0" applyProtection="1"/>
    <xf numFmtId="0" applyNumberFormat="1" fontId="15" applyFont="1" fillId="11" applyFill="1" borderId="78" applyBorder="1" xfId="0" applyProtection="1"/>
    <xf numFmtId="0" applyNumberFormat="1" fontId="0" applyFont="1" fillId="16" applyFill="1" borderId="0" applyBorder="1" xfId="0" applyProtection="1"/>
    <xf numFmtId="0" applyNumberFormat="1" fontId="0" applyFont="1" fillId="23" applyFill="1" borderId="78" applyBorder="1" xfId="0" applyProtection="1"/>
    <xf numFmtId="9" applyNumberFormat="1" fontId="0" applyFont="1" fillId="0" applyFill="1" borderId="79" applyBorder="1" xfId="0" applyProtection="1"/>
    <xf numFmtId="9" applyNumberFormat="1" fontId="0" applyFont="1" fillId="0" applyFill="1" borderId="68" applyBorder="1" xfId="0" applyProtection="1"/>
    <xf numFmtId="0" applyNumberFormat="1" fontId="0" applyFont="1" fillId="0" applyFill="1" borderId="80" applyBorder="1" xfId="0" applyProtection="1"/>
    <xf numFmtId="9" applyNumberFormat="1" fontId="0" applyFont="1" fillId="0" applyFill="1" borderId="81" applyBorder="1" xfId="0" applyProtection="1"/>
    <xf numFmtId="0" applyNumberFormat="1" fontId="0" applyFont="1" fillId="0" applyFill="1" borderId="82" applyBorder="1" xfId="0" applyProtection="1"/>
    <xf numFmtId="0" applyNumberFormat="1" fontId="0" applyFont="1" fillId="0" applyFill="1" borderId="83" applyBorder="1" xfId="0" applyProtection="1"/>
    <xf numFmtId="0" applyNumberFormat="1" fontId="0" applyFont="1" fillId="0" applyFill="1" borderId="17" applyBorder="1" xfId="0" applyProtection="1"/>
    <xf numFmtId="0" applyNumberFormat="1" fontId="0" applyFont="1" fillId="0" applyFill="1" borderId="84" applyBorder="1" xfId="0" applyProtection="1"/>
    <xf numFmtId="0" applyNumberFormat="1" fontId="0" applyFont="1" fillId="0" applyFill="1" borderId="12" applyBorder="1" xfId="0" applyProtection="1"/>
    <xf numFmtId="0" applyNumberFormat="1" fontId="0" applyFont="1" fillId="0" applyFill="1" borderId="9" applyBorder="1" xfId="0" applyProtection="1" applyAlignment="1">
      <alignment vertical="center"/>
    </xf>
    <xf numFmtId="0" applyNumberFormat="1" fontId="0" applyFont="1" fillId="0" applyFill="1" borderId="85" applyBorder="1" xfId="0" applyProtection="1"/>
    <xf numFmtId="0" applyNumberFormat="1" fontId="0" applyFont="1" fillId="0" applyFill="1" borderId="86" applyBorder="1" xfId="0" applyProtection="1"/>
    <xf numFmtId="0" applyNumberFormat="1" fontId="0" applyFont="1" fillId="0" applyFill="1" borderId="4" applyBorder="1" xfId="0" applyProtection="1"/>
    <xf numFmtId="0" applyNumberFormat="1" fontId="0" applyFont="1" fillId="0" applyFill="1" borderId="4" applyBorder="1" xfId="0" applyProtection="1" applyAlignment="1">
      <alignment vertical="center"/>
    </xf>
    <xf numFmtId="0" applyNumberFormat="1" fontId="0" applyFont="1" fillId="0" applyFill="1" borderId="87" applyBorder="1" xfId="0" applyProtection="1"/>
    <xf numFmtId="0" applyNumberFormat="1" fontId="0" applyFont="1" fillId="3" applyFill="1" borderId="0" applyBorder="1" xfId="0" applyProtection="1" applyAlignment="1">
      <alignment vertical="center" wrapText="1"/>
    </xf>
    <xf numFmtId="0" applyNumberFormat="1" fontId="0" applyFont="1" fillId="3" applyFill="1" borderId="0" applyBorder="1" xfId="0" applyProtection="1" applyAlignment="1">
      <alignment vertical="top" wrapText="1"/>
    </xf>
    <xf numFmtId="2" applyNumberFormat="1" fontId="0" applyFont="1" fillId="3" applyFill="1" borderId="0" applyBorder="1" xfId="0" applyProtection="1" applyAlignment="1">
      <alignment vertical="top" wrapText="1"/>
    </xf>
    <xf numFmtId="1" applyNumberFormat="1" fontId="0" applyFont="1" fillId="3" applyFill="1" borderId="0" applyBorder="1" xfId="0" applyProtection="1" applyAlignment="1">
      <alignment vertical="top" wrapText="1"/>
    </xf>
    <xf numFmtId="0" applyNumberFormat="1" fontId="6" applyFont="1" fillId="3" applyFill="1" borderId="0" applyBorder="1" xfId="0" applyProtection="1" applyAlignment="1">
      <alignment vertical="center"/>
    </xf>
    <xf numFmtId="0" applyNumberFormat="1" fontId="14" applyFont="1" fillId="3" applyFill="1" borderId="0" applyBorder="1" xfId="0" applyProtection="1" applyAlignment="1">
      <alignment vertical="center"/>
    </xf>
    <xf numFmtId="0" applyNumberFormat="1" fontId="7" applyFont="1" fillId="3" applyFill="1" borderId="0" applyBorder="1" xfId="0" applyProtection="1" applyAlignment="1">
      <alignment vertical="center"/>
    </xf>
    <xf numFmtId="0" applyNumberFormat="1" fontId="0" applyFont="1" fillId="3" applyFill="1" borderId="0" applyBorder="1" xfId="0" applyProtection="1" applyAlignment="1">
      <alignment vertical="center"/>
    </xf>
    <xf numFmtId="0" applyNumberFormat="1" fontId="0" applyFont="1" fillId="3" applyFill="1" borderId="57" applyBorder="1" xfId="0" applyProtection="1"/>
    <xf numFmtId="0" applyNumberFormat="1" fontId="2" applyFont="1" fillId="13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6" applyFont="1" fillId="0" applyFill="1" borderId="0" applyBorder="1" xfId="0" applyProtection="1"/>
    <xf numFmtId="0" applyNumberFormat="1" fontId="16" applyFont="1" fillId="0" applyFill="1" borderId="0" applyBorder="1" xfId="0" applyProtection="1">
      <alignment wrapText="1"/>
    </xf>
    <xf numFmtId="2" applyNumberFormat="1" fontId="16" applyFont="1" fillId="0" applyFill="1" borderId="0" applyBorder="1" xfId="0" applyProtection="1"/>
    <xf numFmtId="1" applyNumberFormat="1" fontId="16" applyFont="1" fillId="0" applyFill="1" borderId="0" applyBorder="1" xfId="0" applyProtection="1"/>
    <xf numFmtId="0" applyNumberFormat="1" fontId="17" applyFont="1" fillId="0" applyFill="1" borderId="0" applyBorder="1" xfId="0" applyProtection="1" applyAlignment="1">
      <alignment vertical="center"/>
    </xf>
    <xf numFmtId="0" applyNumberFormat="1" fontId="16" applyFont="1" fillId="0" applyFill="1" borderId="0" applyBorder="1" xfId="0" applyProtection="1" applyAlignment="1">
      <alignment vertical="center"/>
    </xf>
    <xf numFmtId="0" applyNumberFormat="1" fontId="16" applyFont="1" fillId="0" applyFill="1" borderId="25" applyBorder="1" xfId="0" applyProtection="1"/>
    <xf numFmtId="0" applyNumberFormat="1" fontId="16" applyFont="1" fillId="26" applyFill="1" borderId="25" applyBorder="1" xfId="0" applyProtection="1"/>
    <xf numFmtId="0" applyNumberFormat="1" fontId="16" applyFont="1" fillId="0" applyFill="1" borderId="25" applyBorder="1" xfId="0" applyProtection="1">
      <alignment wrapText="1"/>
    </xf>
    <xf numFmtId="2" applyNumberFormat="1" fontId="16" applyFont="1" fillId="0" applyFill="1" borderId="25" applyBorder="1" xfId="0" applyProtection="1"/>
    <xf numFmtId="1" applyNumberFormat="1" fontId="16" applyFont="1" fillId="0" applyFill="1" borderId="25" applyBorder="1" xfId="0" applyProtection="1"/>
    <xf numFmtId="0" applyNumberFormat="1" fontId="17" applyFont="1" fillId="0" applyFill="1" borderId="25" applyBorder="1" xfId="0" applyProtection="1" applyAlignment="1">
      <alignment vertical="center"/>
    </xf>
    <xf numFmtId="0" applyNumberFormat="1" fontId="16" applyFont="1" fillId="0" applyFill="1" borderId="25" applyBorder="1" xfId="0" applyProtection="1" applyAlignment="1">
      <alignment vertical="center"/>
    </xf>
    <xf numFmtId="0" applyNumberFormat="1" fontId="18" applyFont="1" fillId="0" applyFill="1" borderId="0" applyBorder="1" xfId="0" applyProtection="1" applyAlignment="1">
      <alignment vertical="center"/>
    </xf>
    <xf numFmtId="0" applyNumberFormat="1" fontId="0" applyFont="1" fillId="27" applyFill="1" borderId="0" applyBorder="1" xfId="0" applyProtection="1"/>
    <xf numFmtId="0" applyNumberFormat="1" fontId="0" applyFont="1" fillId="28" applyFill="1" borderId="0" applyBorder="1" xfId="0" applyProtection="1"/>
    <xf numFmtId="0" applyNumberFormat="1" fontId="15" applyFont="1" fillId="0" applyFill="1" borderId="0" applyBorder="1" xfId="0" applyProtection="1"/>
    <xf numFmtId="0" applyNumberFormat="1" fontId="15" applyFont="1" fillId="26" applyFill="1" borderId="0" applyBorder="1" xfId="0" applyProtection="1"/>
    <xf numFmtId="0" applyNumberFormat="1" fontId="15" applyFont="1" fillId="0" applyFill="1" borderId="0" applyBorder="1" xfId="0" applyProtection="1">
      <alignment wrapText="1"/>
    </xf>
    <xf numFmtId="2" applyNumberFormat="1" fontId="15" applyFont="1" fillId="0" applyFill="1" borderId="0" applyBorder="1" xfId="0" applyProtection="1"/>
    <xf numFmtId="1" applyNumberFormat="1" fontId="15" applyFont="1" fillId="0" applyFill="1" borderId="0" applyBorder="1" xfId="0" applyProtection="1"/>
    <xf numFmtId="0" applyNumberFormat="1" fontId="19" applyFont="1" fillId="0" applyFill="1" borderId="0" applyBorder="1" xfId="0" applyProtection="1" applyAlignment="1">
      <alignment vertical="center"/>
    </xf>
    <xf numFmtId="0" applyNumberFormat="1" fontId="15" applyFont="1" fillId="0" applyFill="1" borderId="0" applyBorder="1" xfId="0" applyProtection="1" applyAlignment="1">
      <alignment vertical="center"/>
    </xf>
    <xf numFmtId="0" applyNumberFormat="1" fontId="15" applyFont="1" fillId="28" applyFill="1" borderId="0" applyBorder="1" xfId="0" applyProtection="1"/>
    <xf numFmtId="0" applyNumberFormat="1" fontId="0" applyFont="1" fillId="20" applyFill="1" borderId="0" applyBorder="1" xfId="0" applyProtection="1"/>
    <xf numFmtId="0" applyNumberFormat="1" fontId="15" applyFont="1" fillId="28" applyFill="1" borderId="78" applyBorder="1" xfId="0" applyProtection="1"/>
    <xf numFmtId="0" applyNumberFormat="1" fontId="0" applyFont="1" fillId="29" applyFill="1" borderId="0" applyBorder="1" xfId="0" applyProtection="1"/>
    <xf numFmtId="0" applyNumberFormat="1" fontId="15" applyFont="1" fillId="11" applyFill="1" borderId="88" applyBorder="1" xfId="0" applyProtection="1"/>
    <xf numFmtId="0" applyNumberFormat="1" fontId="0" applyFont="1" fillId="21" applyFill="1" borderId="0" applyBorder="1" xfId="0" applyProtection="1"/>
    <xf numFmtId="0" applyNumberFormat="1" fontId="0" applyFont="1" fillId="17" applyFill="1" borderId="0" applyBorder="1" xfId="0" applyProtection="1"/>
    <xf numFmtId="0" applyNumberFormat="1" fontId="15" applyFont="1" fillId="14" applyFill="1" borderId="0" applyBorder="1" xfId="0" applyProtection="1"/>
    <xf numFmtId="0" applyNumberFormat="1" fontId="15" applyFont="1" fillId="21" applyFill="1" borderId="0" applyBorder="1" xfId="0" applyProtection="1"/>
    <xf numFmtId="0" applyNumberFormat="1" fontId="0" applyFont="1" fillId="30" applyFill="1" borderId="78" applyBorder="1" xfId="0" applyProtection="1">
      <alignment wrapText="1"/>
    </xf>
    <xf numFmtId="0" applyNumberFormat="1" fontId="15" applyFont="1" fillId="14" applyFill="1" borderId="0" applyBorder="1" xfId="0" applyProtection="1">
      <alignment wrapText="1"/>
    </xf>
    <xf numFmtId="2" applyNumberFormat="1" fontId="15" applyFont="1" fillId="14" applyFill="1" borderId="0" applyBorder="1" xfId="0" applyProtection="1"/>
    <xf numFmtId="1" applyNumberFormat="1" fontId="15" applyFont="1" fillId="14" applyFill="1" borderId="0" applyBorder="1" xfId="0" applyProtection="1"/>
    <xf numFmtId="0" applyNumberFormat="1" fontId="19" applyFont="1" fillId="14" applyFill="1" borderId="0" applyBorder="1" xfId="0" applyProtection="1" applyAlignment="1">
      <alignment vertical="center"/>
    </xf>
    <xf numFmtId="0" applyNumberFormat="1" fontId="15" applyFont="1" fillId="14" applyFill="1" borderId="0" applyBorder="1" xfId="0" applyProtection="1" applyAlignment="1">
      <alignment vertical="center"/>
    </xf>
    <xf numFmtId="0" applyNumberFormat="1" fontId="20" applyFont="1" fillId="14" applyFill="1" borderId="0" applyBorder="1" xfId="0" applyProtection="1"/>
    <xf numFmtId="0" applyNumberFormat="1" fontId="0" applyFont="1" fillId="14" applyFill="1" borderId="0" applyBorder="1" xfId="0" applyProtection="1" applyAlignment="1">
      <alignment vertical="center"/>
    </xf>
    <xf numFmtId="0" applyNumberFormat="1" fontId="0" applyFont="1" fillId="14" applyFill="1" borderId="0" applyBorder="1" xfId="0" applyProtection="1">
      <alignment wrapText="1"/>
    </xf>
    <xf numFmtId="2" applyNumberFormat="1" fontId="0" applyFont="1" fillId="14" applyFill="1" borderId="0" applyBorder="1" xfId="0" applyProtection="1"/>
    <xf numFmtId="1" applyNumberFormat="1" fontId="0" applyFont="1" fillId="14" applyFill="1" borderId="0" applyBorder="1" xfId="0" applyProtection="1"/>
    <xf numFmtId="0" applyNumberFormat="1" fontId="7" applyFont="1" fillId="14" applyFill="1" borderId="0" applyBorder="1" xfId="0" applyProtection="1" applyAlignment="1">
      <alignment vertical="center"/>
    </xf>
    <xf numFmtId="0" applyNumberFormat="1" fontId="16" applyFont="1" fillId="4" applyFill="1" borderId="0" applyBorder="1" xfId="0" applyProtection="1"/>
    <xf numFmtId="0" applyNumberFormat="1" fontId="16" applyFont="1" fillId="4" applyFill="1" borderId="0" applyBorder="1" xfId="0" applyProtection="1" applyAlignment="1">
      <alignment vertical="center"/>
    </xf>
    <xf numFmtId="0" applyNumberFormat="1" fontId="16" applyFont="1" fillId="4" applyFill="1" borderId="0" applyBorder="1" xfId="0" applyProtection="1">
      <alignment wrapText="1"/>
    </xf>
    <xf numFmtId="2" applyNumberFormat="1" fontId="16" applyFont="1" fillId="4" applyFill="1" borderId="0" applyBorder="1" xfId="0" applyProtection="1"/>
    <xf numFmtId="1" applyNumberFormat="1" fontId="16" applyFont="1" fillId="4" applyFill="1" borderId="0" applyBorder="1" xfId="0" applyProtection="1"/>
    <xf numFmtId="0" applyNumberFormat="1" fontId="17" applyFont="1" fillId="4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18" applyFont="1" fillId="14" applyFill="1" borderId="0" applyBorder="1" xfId="0" applyProtection="1" applyAlignment="1">
      <alignment vertical="center"/>
    </xf>
    <xf numFmtId="0" applyNumberFormat="1" fontId="0" applyFont="1" fillId="24" applyFill="1" borderId="0" applyBorder="1" xfId="0" applyProtection="1"/>
    <xf numFmtId="0" applyNumberFormat="1" fontId="0" applyFont="1" fillId="24" applyFill="1" borderId="3" applyBorder="1" xfId="0" applyProtection="1"/>
    <xf numFmtId="0" applyNumberFormat="1" fontId="0" applyFont="1" fillId="31" applyFill="1" borderId="0" applyBorder="1" xfId="0" applyProtection="1"/>
    <xf numFmtId="0" applyNumberFormat="1" fontId="22" applyFont="1" fillId="31" applyFill="1" borderId="0" applyBorder="1" xfId="0" applyProtection="1"/>
    <xf numFmtId="0" applyNumberFormat="1" fontId="0" applyFont="1" fillId="28" applyFill="1" borderId="25" applyBorder="1" xfId="0" applyProtection="1"/>
    <xf numFmtId="0" applyNumberFormat="1" fontId="0" applyFont="1" fillId="32" applyFill="1" borderId="0" applyBorder="1" xfId="0" applyProtection="1"/>
    <xf numFmtId="0" applyNumberFormat="1" fontId="6" applyFont="1" fillId="0" applyFill="1" borderId="25" applyBorder="1" xfId="0" applyProtection="1" applyAlignment="1">
      <alignment vertical="center"/>
    </xf>
    <xf numFmtId="167" applyNumberFormat="1" fontId="0" applyFont="1" fillId="0" applyFill="1" borderId="25" applyBorder="1" xfId="0" applyProtection="1"/>
    <xf numFmtId="0" applyNumberFormat="1" fontId="15" applyFont="1" fillId="33" applyFill="1" borderId="0" applyBorder="1" xfId="0" applyProtection="1"/>
    <xf numFmtId="0" applyNumberFormat="1" fontId="0" applyFont="1" fillId="4" applyFill="1" borderId="0" applyBorder="1" xfId="0" applyProtection="1" applyAlignment="1">
      <alignment vertical="center"/>
    </xf>
    <xf numFmtId="0" applyNumberFormat="1" fontId="0" applyFont="1" fillId="4" applyFill="1" borderId="0" applyBorder="1" xfId="0" applyProtection="1">
      <alignment wrapText="1"/>
    </xf>
    <xf numFmtId="2" applyNumberFormat="1" fontId="0" applyFont="1" fillId="4" applyFill="1" borderId="0" applyBorder="1" xfId="0" applyProtection="1"/>
    <xf numFmtId="1" applyNumberFormat="1" fontId="0" applyFont="1" fillId="4" applyFill="1" borderId="0" applyBorder="1" xfId="0" applyProtection="1"/>
    <xf numFmtId="0" applyNumberFormat="1" fontId="6" applyFont="1" fillId="4" applyFill="1" borderId="0" applyBorder="1" xfId="0" applyProtection="1" applyAlignment="1">
      <alignment vertical="center"/>
    </xf>
    <xf numFmtId="0" applyNumberFormat="1" fontId="7" applyFont="1" fillId="4" applyFill="1" borderId="0" applyBorder="1" xfId="0" applyProtection="1" applyAlignment="1">
      <alignment vertical="center"/>
    </xf>
    <xf numFmtId="0" applyNumberFormat="1" fontId="6" applyFont="1" fillId="14" applyFill="1" borderId="0" applyBorder="1" xfId="0" applyProtection="1" applyAlignment="1">
      <alignment vertical="center"/>
    </xf>
    <xf numFmtId="0" applyNumberFormat="1" fontId="0" applyFont="1" fillId="21" applyFill="1" borderId="25" applyBorder="1" xfId="0" applyProtection="1"/>
    <xf numFmtId="0" applyNumberFormat="1" fontId="0" applyFont="1" fillId="17" applyFill="1" borderId="25" applyBorder="1" xfId="0" applyProtection="1"/>
    <xf numFmtId="0" applyNumberFormat="1" fontId="0" applyFont="1" fillId="22" applyFill="1" borderId="0" applyBorder="1" xfId="0" applyProtection="1"/>
    <xf numFmtId="0" applyNumberFormat="1" fontId="0" applyFont="1" fillId="33" applyFill="1" borderId="0" applyBorder="1" xfId="0" applyProtection="1"/>
    <xf numFmtId="0" applyNumberFormat="1" fontId="0" applyFont="1" fillId="24" applyFill="1" borderId="25" applyBorder="1" xfId="0" applyProtection="1"/>
    <xf numFmtId="0" applyNumberFormat="1" fontId="0" applyFont="1" fillId="27" applyFill="1" borderId="0" applyBorder="1" xfId="0" applyProtection="1">
      <alignment wrapText="1"/>
    </xf>
    <xf numFmtId="0" applyNumberFormat="1" fontId="15" applyFont="1" fillId="27" applyFill="1" borderId="0" applyBorder="1" xfId="0" applyProtection="1"/>
    <xf numFmtId="0" applyNumberFormat="1" fontId="15" applyFont="1" fillId="27" applyFill="1" borderId="0" applyBorder="1" xfId="0" applyProtection="1">
      <alignment wrapText="1"/>
    </xf>
    <xf numFmtId="0" applyNumberFormat="1" fontId="20" applyFont="1" fillId="27" applyFill="1" borderId="0" applyBorder="1" xfId="0" applyProtection="1"/>
    <xf numFmtId="0" applyNumberFormat="1" fontId="0" applyFont="1" fillId="34" applyFill="1" borderId="0" applyBorder="1" xfId="0" applyProtection="1"/>
    <xf numFmtId="0" applyNumberFormat="1" fontId="0" applyFont="1" fillId="35" applyFill="1" borderId="0" applyBorder="1" xfId="0" applyProtection="1"/>
    <xf numFmtId="0" applyNumberFormat="1" fontId="15" applyFont="1" fillId="35" applyFill="1" borderId="0" applyBorder="1" xfId="0" applyProtection="1">
      <alignment wrapText="1"/>
    </xf>
    <xf numFmtId="0" applyNumberFormat="1" fontId="0" applyFont="1" fillId="35" applyFill="1" borderId="0" applyBorder="1" xfId="0" applyProtection="1" applyAlignment="1">
      <alignment vertical="top" wrapText="1"/>
    </xf>
    <xf numFmtId="16" applyNumberFormat="1" fontId="3" applyFont="1" fillId="0" applyFill="1" borderId="60" applyBorder="1" xfId="0" applyProtection="1" applyAlignment="1">
      <alignment horizontal="center"/>
    </xf>
    <xf numFmtId="16" applyNumberFormat="1" fontId="3" applyFont="1" fillId="0" applyFill="1" borderId="6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0" applyFill="1" borderId="20" applyBorder="1" xfId="0" applyProtection="1" applyAlignment="1">
      <alignment horizontal="center"/>
    </xf>
    <xf numFmtId="0" applyNumberFormat="1" fontId="10" applyFont="1" fillId="0" applyFill="1" borderId="0" applyBorder="1" xfId="0" applyProtection="1" applyAlignment="1">
      <alignment horizontal="center"/>
    </xf>
    <xf numFmtId="0" applyNumberFormat="1" fontId="0" applyFont="1" fillId="12" applyFill="1" borderId="0" applyBorder="1" xfId="0" applyProtection="1" applyAlignment="1">
      <alignment horizontal="center"/>
    </xf>
    <xf numFmtId="0" applyNumberFormat="1" fontId="3" applyFont="1" fillId="0" applyFill="1" borderId="7" applyBorder="1" xfId="0" applyProtection="1" applyAlignment="1">
      <alignment horizontal="center"/>
    </xf>
    <xf numFmtId="0" applyNumberFormat="1" fontId="3" applyFont="1" fillId="0" applyFill="1" borderId="59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/>
    </xf>
    <xf numFmtId="16" applyNumberFormat="1" fontId="3" applyFont="1" fillId="0" applyFill="1" borderId="59" applyBorder="1" xfId="0" applyProtection="1" applyAlignment="1">
      <alignment horizontal="center"/>
    </xf>
    <xf numFmtId="167" applyNumberFormat="1" fontId="0" applyFont="1" fillId="25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25" applyFill="1" borderId="0" applyBorder="1" xfId="0" applyProtection="1"/>
    <xf numFmtId="0" applyNumberFormat="1" fontId="3" applyFont="1" fillId="0" applyFill="1" borderId="69" applyBorder="1" xfId="0" applyProtection="1" applyAlignment="1">
      <alignment horizontal="center"/>
    </xf>
    <xf numFmtId="0" applyNumberFormat="1" fontId="3" applyFont="1" fillId="0" applyFill="1" borderId="64" applyBorder="1" xfId="0" applyProtection="1" applyAlignment="1">
      <alignment horizontal="center"/>
    </xf>
    <xf numFmtId="0" applyNumberFormat="1" fontId="0" applyFont="1" fillId="0" applyFill="1" borderId="65" applyBorder="1" xfId="0" applyProtection="1" applyAlignment="1">
      <alignment horizontal="center"/>
    </xf>
    <xf numFmtId="2" applyNumberFormat="1" fontId="3" applyFont="1" fillId="0" applyFill="1" borderId="38" applyBorder="1" xfId="0" applyProtection="1" applyAlignment="1">
      <alignment horizontal="center"/>
    </xf>
    <xf numFmtId="2" applyNumberFormat="1" fontId="0" applyFont="1" fillId="0" applyFill="1" borderId="23" applyBorder="1" xfId="1" applyProtection="1" applyAlignment="1">
      <alignment horizontal="center"/>
    </xf>
    <xf numFmtId="167" applyNumberFormat="1" fontId="0" applyFont="1" fillId="25" applyFill="1" borderId="0" applyBorder="1" xfId="0" applyProtection="1" applyAlignment="1">
      <alignment horizontal="right"/>
    </xf>
    <xf numFmtId="0" applyNumberFormat="1" fontId="3" applyFont="1" fillId="0" applyFill="1" borderId="40" applyBorder="1" xfId="0" applyProtection="1" applyAlignment="1">
      <alignment horizontal="center"/>
    </xf>
    <xf numFmtId="0" applyNumberFormat="1" fontId="3" applyFont="1" fillId="0" applyFill="1" borderId="18" applyBorder="1" xfId="0" applyProtection="1" applyAlignment="1">
      <alignment horizontal="center"/>
    </xf>
    <xf numFmtId="0" applyNumberFormat="1" fontId="3" applyFont="1" fillId="0" applyFill="1" borderId="67" applyBorder="1" xfId="0" applyProtection="1" applyAlignment="1">
      <alignment horizontal="center"/>
    </xf>
    <xf numFmtId="2" applyNumberFormat="1" fontId="3" applyFont="1" fillId="0" applyFill="1" borderId="40" applyBorder="1" xfId="0" applyProtection="1" applyAlignment="1">
      <alignment horizontal="center"/>
    </xf>
    <xf numFmtId="2" applyNumberFormat="1" fontId="3" applyFont="1" fillId="0" applyFill="1" borderId="18" applyBorder="1" xfId="0" applyProtection="1" applyAlignment="1">
      <alignment horizontal="center"/>
    </xf>
    <xf numFmtId="2" applyNumberFormat="1" fontId="3" applyFont="1" fillId="0" applyFill="1" borderId="67" applyBorder="1" xfId="0" applyProtection="1" applyAlignment="1">
      <alignment horizontal="center"/>
    </xf>
    <xf numFmtId="2" applyNumberFormat="1" fontId="0" applyFont="1" fillId="0" applyFill="1" borderId="24" applyBorder="1" xfId="1" applyProtection="1" applyAlignment="1">
      <alignment horizontal="center"/>
    </xf>
    <xf numFmtId="2" applyNumberFormat="1" fontId="0" applyFont="1" fillId="0" applyFill="1" borderId="68" applyBorder="1" xfId="1" applyProtection="1" applyAlignment="1">
      <alignment horizontal="center"/>
    </xf>
    <xf numFmtId="2" applyNumberFormat="1" fontId="0" applyFont="1" fillId="0" applyFill="1" borderId="73" applyBorder="1" xfId="1" applyProtection="1" applyAlignment="1">
      <alignment horizontal="center"/>
    </xf>
    <xf numFmtId="2" applyNumberFormat="1" fontId="0" applyFont="1" fillId="0" applyFill="1" borderId="74" applyBorder="1" xfId="1" applyProtection="1" applyAlignment="1">
      <alignment horizontal="center"/>
    </xf>
    <xf numFmtId="0" applyNumberFormat="1" fontId="0" applyFont="1" fillId="0" applyFill="1" borderId="67" applyBorder="1" xfId="0" applyProtection="1" applyAlignment="1">
      <alignment horizontal="center"/>
    </xf>
    <xf numFmtId="2" applyNumberFormat="1" fontId="0" applyFont="1" fillId="0" applyFill="1" borderId="9" applyBorder="1" xfId="1" applyProtection="1" applyAlignment="1">
      <alignment horizontal="center"/>
    </xf>
    <xf numFmtId="2" applyNumberFormat="1" fontId="0" applyFont="1" fillId="0" applyFill="1" borderId="47" applyBorder="1" xfId="1" applyProtection="1" applyAlignment="1">
      <alignment horizontal="center"/>
    </xf>
    <xf numFmtId="2" applyNumberFormat="1" fontId="3" applyFont="1" fillId="0" applyFill="1" borderId="39" applyBorder="1" xfId="0" applyProtection="1" applyAlignment="1">
      <alignment horizontal="center"/>
    </xf>
    <xf numFmtId="2" applyNumberFormat="1" fontId="0" applyFont="1" fillId="0" applyFill="1" borderId="49" applyBorder="1" xfId="1" applyProtection="1" applyAlignment="1">
      <alignment horizontal="center"/>
    </xf>
    <xf numFmtId="2" applyNumberFormat="1" fontId="0" applyFont="1" fillId="0" applyFill="1" borderId="52" applyBorder="1" xfId="1" applyProtection="1" applyAlignment="1">
      <alignment horizontal="center"/>
    </xf>
    <xf numFmtId="2" applyNumberFormat="1" fontId="3" applyFont="1" fillId="0" applyFill="1" borderId="46" applyBorder="1" xfId="0" applyProtection="1" applyAlignment="1">
      <alignment horizontal="center"/>
    </xf>
    <xf numFmtId="2" applyNumberFormat="1" fontId="3" applyFont="1" fillId="0" applyFill="1" borderId="42" applyBorder="1" xfId="0" applyProtection="1" applyAlignment="1">
      <alignment horizontal="center"/>
    </xf>
    <xf numFmtId="2" applyNumberFormat="1" fontId="0" applyFont="1" fillId="0" applyFill="1" borderId="48" applyBorder="1" xfId="1" applyProtection="1" applyAlignment="1">
      <alignment horizontal="center"/>
    </xf>
    <xf numFmtId="2" applyNumberFormat="1" fontId="0" applyFont="1" fillId="0" applyFill="1" borderId="27" applyBorder="1" xfId="1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4" applyBorder="1" xfId="1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/>
    </xf>
    <xf numFmtId="9" applyNumberFormat="1" fontId="0" applyFont="1" fillId="0" applyFill="1" borderId="0" applyBorder="1" xfId="2" applyProtection="1" applyAlignment="1">
      <alignment horizontal="center"/>
    </xf>
    <xf numFmtId="0" applyNumberFormat="1" fontId="3" applyFont="1" fillId="0" applyFill="1" borderId="70" applyBorder="1" xfId="0" applyProtection="1" applyAlignment="1">
      <alignment horizontal="center"/>
    </xf>
    <xf numFmtId="0" applyNumberFormat="1" fontId="3" applyFont="1" fillId="0" applyFill="1" borderId="41" applyBorder="1" xfId="0" applyProtection="1" applyAlignment="1">
      <alignment horizontal="center"/>
    </xf>
    <xf numFmtId="0" applyNumberFormat="1" fontId="0" applyFont="1" fillId="0" applyFill="1" borderId="66" applyBorder="1" xfId="0" applyProtection="1" applyAlignment="1">
      <alignment horizontal="center"/>
    </xf>
    <xf numFmtId="2" applyNumberFormat="1" fontId="3" applyFont="1" fillId="0" applyFill="1" borderId="43" applyBorder="1" xfId="0" applyProtection="1" applyAlignment="1">
      <alignment horizontal="center"/>
    </xf>
    <xf numFmtId="2" applyNumberFormat="1" fontId="3" applyFont="1" fillId="0" applyFill="1" borderId="44" applyBorder="1" xfId="0" applyProtection="1" applyAlignment="1">
      <alignment horizontal="center"/>
    </xf>
    <xf numFmtId="2" applyNumberFormat="1" fontId="3" applyFont="1" fillId="0" applyFill="1" borderId="45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1" applyNumberFormat="1" fontId="0" applyFont="1" fillId="0" applyFill="1" borderId="0" applyBorder="1" xfId="0" applyProtection="1" applyAlignment="1">
      <alignment horizontal="center" vertical="center"/>
    </xf>
    <xf numFmtId="167" applyNumberFormat="1" fontId="0" applyFont="1" fillId="0" applyFill="1" borderId="1" applyBorder="1" xfId="1" applyProtection="1" applyAlignment="1">
      <alignment horizontal="center" vertical="center"/>
    </xf>
    <xf numFmtId="0" applyNumberFormat="1" fontId="0" applyFont="1" fillId="0" applyFill="1" borderId="1" applyBorder="1" xfId="1" applyProtection="1" applyAlignment="1">
      <alignment horizontal="center" vertical="center"/>
    </xf>
    <xf numFmtId="2" applyNumberFormat="1" fontId="0" applyFont="1" fillId="0" applyFill="1" borderId="1" applyBorder="1" xfId="1" applyProtection="1" applyAlignment="1">
      <alignment horizontal="center" vertical="center"/>
    </xf>
    <xf numFmtId="9" applyNumberFormat="1" fontId="0" applyFont="1" fillId="0" applyFill="1" borderId="4" applyBorder="1" xfId="2" applyProtection="1" applyAlignment="1">
      <alignment horizontal="center"/>
    </xf>
    <xf numFmtId="9" applyNumberFormat="1" fontId="3" applyFont="1" fillId="16" applyFill="1" borderId="0" applyBorder="1" xfId="0" applyProtection="1" applyAlignment="1">
      <alignment horizontal="center"/>
    </xf>
    <xf numFmtId="9" applyNumberFormat="1" fontId="3" applyFont="1" fillId="0" applyFill="1" borderId="0" applyBorder="1" xfId="0" applyProtection="1" applyAlignment="1">
      <alignment horizontal="center"/>
    </xf>
    <xf numFmtId="167" applyNumberFormat="1" fontId="0" applyFont="1" fillId="0" applyFill="1" borderId="4" applyBorder="1" xfId="1" applyProtection="1" applyAlignment="1">
      <alignment horizontal="center" vertical="center"/>
    </xf>
    <xf numFmtId="2" applyNumberFormat="1" fontId="0" applyFont="1" fillId="0" applyFill="1" borderId="4" applyBorder="1" xfId="1" applyProtection="1" applyAlignment="1">
      <alignment horizontal="center" vertical="center"/>
    </xf>
    <xf numFmtId="9" applyNumberFormat="1" fontId="0" applyFont="1" fillId="4" applyFill="1" borderId="30" applyBorder="1" xfId="2" applyProtection="1" applyAlignment="1">
      <alignment horizontal="center" vertical="center"/>
    </xf>
    <xf numFmtId="9" applyNumberFormat="1" fontId="0" applyFont="1" fillId="4" applyFill="1" borderId="52" applyBorder="1" xfId="2" applyProtection="1" applyAlignment="1">
      <alignment horizontal="center" vertical="center"/>
    </xf>
    <xf numFmtId="1" applyNumberFormat="1" fontId="0" applyFont="1" fillId="16" applyFill="1" borderId="0" applyBorder="1" xfId="0" applyProtection="1" applyAlignment="1">
      <alignment horizontal="center" vertical="center"/>
    </xf>
    <xf numFmtId="0" applyNumberFormat="1" fontId="0" applyFont="1" fillId="0" applyFill="1" borderId="21" applyBorder="1" xfId="1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/>
    </xf>
    <xf numFmtId="167" applyNumberFormat="1" fontId="3" applyFont="1" fillId="6" applyFill="1" borderId="34" applyBorder="1" xfId="0" applyProtection="1" applyAlignment="1">
      <alignment horizontal="center"/>
    </xf>
    <xf numFmtId="0" applyNumberFormat="1" fontId="3" applyFont="1" fillId="6" applyFill="1" borderId="34" applyBorder="1" xfId="0" applyProtection="1" applyAlignment="1">
      <alignment horizontal="center"/>
    </xf>
    <xf numFmtId="0" applyNumberFormat="1" fontId="3" applyFont="1" fillId="18" applyFill="1" borderId="7" applyBorder="1" xfId="0" applyProtection="1" applyAlignment="1">
      <alignment horizontal="center"/>
    </xf>
    <xf numFmtId="0" applyNumberFormat="1" fontId="3" applyFont="1" fillId="18" applyFill="1" borderId="31" applyBorder="1" xfId="0" applyProtection="1" applyAlignment="1">
      <alignment horizontal="center"/>
    </xf>
    <xf numFmtId="0" applyNumberFormat="1" fontId="3" applyFont="1" fillId="18" applyFill="1" borderId="26" applyBorder="1" xfId="0" applyProtection="1" applyAlignment="1">
      <alignment horizontal="center"/>
    </xf>
    <xf numFmtId="9" applyNumberFormat="1" fontId="0" applyFont="1" fillId="0" applyFill="1" borderId="21" applyBorder="1" xfId="2" applyProtection="1" applyAlignment="1">
      <alignment horizontal="center"/>
    </xf>
    <xf numFmtId="0" applyNumberFormat="1" fontId="0" applyFont="1" fillId="0" applyFill="1" borderId="21" applyBorder="1" xfId="0" applyProtection="1" applyAlignment="1">
      <alignment horizontal="center"/>
    </xf>
    <xf numFmtId="0" applyNumberFormat="1" fontId="3" applyFont="1" fillId="16" applyFill="1" borderId="7" applyBorder="1" xfId="0" applyProtection="1" applyAlignment="1">
      <alignment horizontal="center"/>
    </xf>
    <xf numFmtId="0" applyNumberFormat="1" fontId="0" applyFont="1" fillId="0" applyFill="1" borderId="12" applyBorder="1" xfId="0" applyProtection="1" applyAlignment="1">
      <alignment horizontal="center"/>
    </xf>
    <xf numFmtId="0" applyNumberFormat="1" fontId="3" applyFont="1" fillId="17" applyFill="1" borderId="32" applyBorder="1" xfId="0" applyProtection="1" applyAlignment="1">
      <alignment horizontal="center"/>
    </xf>
    <xf numFmtId="0" applyNumberFormat="1" fontId="3" applyFont="1" fillId="17" applyFill="1" borderId="31" applyBorder="1" xfId="0" applyProtection="1" applyAlignment="1">
      <alignment horizontal="center"/>
    </xf>
    <xf numFmtId="0" applyNumberFormat="1" fontId="3" applyFont="1" fillId="17" applyFill="1" borderId="26" applyBorder="1" xfId="0" applyProtection="1" applyAlignment="1">
      <alignment horizontal="center"/>
    </xf>
    <xf numFmtId="0" applyNumberFormat="1" fontId="3" applyFont="1" fillId="16" applyFill="1" borderId="26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4" applyFont="1" fillId="0" applyFill="1" borderId="3" applyBorder="1" xfId="0" applyProtection="1" applyAlignment="1">
      <alignment horizontal="center"/>
    </xf>
    <xf numFmtId="0" applyNumberFormat="1" fontId="23" applyFont="1" fillId="19" applyFill="1" borderId="0" applyBorder="1" xfId="0" applyProtection="1"/>
    <xf numFmtId="0" applyNumberFormat="1" fontId="24" applyFont="1" fillId="19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</cellXfs>
  <cellStyles count="3">
    <cellStyle name="Milliers 2" xfId="1"/>
    <cellStyle name="Normal" xfId="0" builtinId="0"/>
    <cellStyle name="Pourcentage 2" xfId="2"/>
  </cellStyles>
  <dxfs count="237">
    <dxf>
      <font>
        <b/>
        <i val="0"/>
        <color rgb="FFFF0000"/>
      </font>
      <fill>
        <patternFill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d\-mmm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67" formatCode="0.0"/>
    </dxf>
    <dxf>
      <numFmt numFmtId="167" formatCode="0.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border outline="0">
        <left style="thin">
          <color theme="4" tint="0.39997558519241921"/>
        </left>
        <right style="thin">
          <color theme="9" tint="0.39997558519241921"/>
        </right>
        <top style="thin">
          <color theme="4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2" formatCode="0.00"/>
    </dxf>
    <dxf>
      <numFmt numFmtId="2" formatCode="0.00"/>
    </dxf>
    <dxf>
      <font>
        <color rgb="FF80808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color rgb="FF80808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</dxf>
    <dxf>
      <numFmt numFmtId="2" formatCode="0.0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548235"/>
      </font>
    </dxf>
    <dxf>
      <font>
        <b/>
        <i val="0"/>
        <color rgb="FFFF000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0D661"/>
      <color rgb="FFFEC3CF"/>
      <color rgb="FFFF66CC"/>
      <color rgb="FF8497B0"/>
      <color rgb="FFD3F8FD"/>
      <color rgb="FF00B0F0"/>
      <color rgb="FFFFC7CE"/>
      <color rgb="FFFF4B60"/>
      <color rgb="FFF56C51"/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20" Type="http://schemas.openxmlformats.org/officeDocument/2006/relationships/sharedStrings" Target="sharedStrings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 Autre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Sprint-Init'!$AT$63:$BD$63</c:f>
              <c:numCache>
                <c:formatCode>0</c:formatCode>
                <c:ptCount val="11"/>
                <c:pt idx="0">
                  <c:v>167</c:v>
                </c:pt>
                <c:pt idx="1">
                  <c:v>162.46899224806202</c:v>
                </c:pt>
                <c:pt idx="2">
                  <c:v>153.40697674418607</c:v>
                </c:pt>
                <c:pt idx="3">
                  <c:v>140.46124031007753</c:v>
                </c:pt>
                <c:pt idx="4">
                  <c:v>126.22093023255815</c:v>
                </c:pt>
                <c:pt idx="5">
                  <c:v>108.74418604651163</c:v>
                </c:pt>
                <c:pt idx="6">
                  <c:v>89.325581395348834</c:v>
                </c:pt>
                <c:pt idx="7">
                  <c:v>67.31782945736434</c:v>
                </c:pt>
                <c:pt idx="8">
                  <c:v>43.368217054263567</c:v>
                </c:pt>
                <c:pt idx="9">
                  <c:v>12.298449612403104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9-46A2-839F-C121F98060BB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Sprint-Init'!$AT$66:$BD$66</c:f>
              <c:numCache>
                <c:formatCode>0</c:formatCode>
                <c:ptCount val="11"/>
                <c:pt idx="0">
                  <c:v>167</c:v>
                </c:pt>
                <c:pt idx="1">
                  <c:v>147</c:v>
                </c:pt>
                <c:pt idx="2">
                  <c:v>115.5</c:v>
                </c:pt>
                <c:pt idx="3">
                  <c:v>90</c:v>
                </c:pt>
                <c:pt idx="4">
                  <c:v>66</c:v>
                </c:pt>
                <c:pt idx="5">
                  <c:v>36.5</c:v>
                </c:pt>
                <c:pt idx="6">
                  <c:v>23</c:v>
                </c:pt>
                <c:pt idx="7">
                  <c:v>9.5</c:v>
                </c:pt>
                <c:pt idx="8">
                  <c:v>14.5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9-46A2-839F-C121F98060BB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Sprint-Init'!$AT$57:$BD$57</c:f>
              <c:numCache>
                <c:formatCode>0</c:formatCode>
                <c:ptCount val="11"/>
                <c:pt idx="0">
                  <c:v>193.5</c:v>
                </c:pt>
                <c:pt idx="1">
                  <c:v>188.25</c:v>
                </c:pt>
                <c:pt idx="2">
                  <c:v>177.75</c:v>
                </c:pt>
                <c:pt idx="3">
                  <c:v>162.75</c:v>
                </c:pt>
                <c:pt idx="4">
                  <c:v>146.25</c:v>
                </c:pt>
                <c:pt idx="5">
                  <c:v>126</c:v>
                </c:pt>
                <c:pt idx="6">
                  <c:v>103.5</c:v>
                </c:pt>
                <c:pt idx="7">
                  <c:v>78</c:v>
                </c:pt>
                <c:pt idx="8">
                  <c:v>50.25</c:v>
                </c:pt>
                <c:pt idx="9">
                  <c:v>14.25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A9-46A2-839F-C121F9806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Sprint-Init'!$AT$62:$BD$62</c:f>
              <c:numCache>
                <c:formatCode>0</c:formatCode>
                <c:ptCount val="11"/>
                <c:pt idx="0">
                  <c:v>356</c:v>
                </c:pt>
                <c:pt idx="1">
                  <c:v>347.01359223300972</c:v>
                </c:pt>
                <c:pt idx="2">
                  <c:v>324.89320388349518</c:v>
                </c:pt>
                <c:pt idx="3">
                  <c:v>297.242718446602</c:v>
                </c:pt>
                <c:pt idx="4">
                  <c:v>259.91456310679615</c:v>
                </c:pt>
                <c:pt idx="5">
                  <c:v>221.20388349514567</c:v>
                </c:pt>
                <c:pt idx="6">
                  <c:v>178.34563106796122</c:v>
                </c:pt>
                <c:pt idx="7">
                  <c:v>129.9572815533981</c:v>
                </c:pt>
                <c:pt idx="8">
                  <c:v>80.877669902912658</c:v>
                </c:pt>
                <c:pt idx="9">
                  <c:v>25.576699029126253</c:v>
                </c:pt>
                <c:pt idx="10">
                  <c:v>3.907985046680551E-14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0-4C2C-8B14-B9FC5526A56A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Sprint-Init'!$AT$65:$BD$65</c:f>
              <c:numCache>
                <c:formatCode>0</c:formatCode>
                <c:ptCount val="11"/>
                <c:pt idx="0">
                  <c:v>356</c:v>
                </c:pt>
                <c:pt idx="1">
                  <c:v>306.5</c:v>
                </c:pt>
                <c:pt idx="2">
                  <c:v>254.5</c:v>
                </c:pt>
                <c:pt idx="3">
                  <c:v>213</c:v>
                </c:pt>
                <c:pt idx="4">
                  <c:v>140</c:v>
                </c:pt>
                <c:pt idx="5">
                  <c:v>98.5</c:v>
                </c:pt>
                <c:pt idx="6">
                  <c:v>69</c:v>
                </c:pt>
                <c:pt idx="7">
                  <c:v>63.5</c:v>
                </c:pt>
                <c:pt idx="8">
                  <c:v>35</c:v>
                </c:pt>
                <c:pt idx="9">
                  <c:v>22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0-4C2C-8B14-B9FC5526A56A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Sprint-Init'!$AT$56:$BD$56</c:f>
              <c:numCache>
                <c:formatCode>0</c:formatCode>
                <c:ptCount val="11"/>
                <c:pt idx="0">
                  <c:v>386.25</c:v>
                </c:pt>
                <c:pt idx="1">
                  <c:v>376.5</c:v>
                </c:pt>
                <c:pt idx="2">
                  <c:v>352.5</c:v>
                </c:pt>
                <c:pt idx="3">
                  <c:v>322.5</c:v>
                </c:pt>
                <c:pt idx="4">
                  <c:v>282</c:v>
                </c:pt>
                <c:pt idx="5">
                  <c:v>240</c:v>
                </c:pt>
                <c:pt idx="6">
                  <c:v>193.5</c:v>
                </c:pt>
                <c:pt idx="7">
                  <c:v>141</c:v>
                </c:pt>
                <c:pt idx="8">
                  <c:v>87.75</c:v>
                </c:pt>
                <c:pt idx="9">
                  <c:v>27.75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0-4C2C-8B14-B9FC5526A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 .NET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Sprint-Init'!$AT$64:$BD$64</c:f>
              <c:numCache>
                <c:formatCode>0</c:formatCode>
                <c:ptCount val="11"/>
                <c:pt idx="0">
                  <c:v>189</c:v>
                </c:pt>
                <c:pt idx="1">
                  <c:v>184.58754863813229</c:v>
                </c:pt>
                <c:pt idx="2">
                  <c:v>171.35019455252919</c:v>
                </c:pt>
                <c:pt idx="3">
                  <c:v>156.64202334630352</c:v>
                </c:pt>
                <c:pt idx="4">
                  <c:v>133.10894941634243</c:v>
                </c:pt>
                <c:pt idx="5">
                  <c:v>111.78210116731519</c:v>
                </c:pt>
                <c:pt idx="6">
                  <c:v>88.249027237354099</c:v>
                </c:pt>
                <c:pt idx="7">
                  <c:v>61.774319066147875</c:v>
                </c:pt>
                <c:pt idx="8">
                  <c:v>36.770428015564221</c:v>
                </c:pt>
                <c:pt idx="9">
                  <c:v>13.23735408560313</c:v>
                </c:pt>
                <c:pt idx="10">
                  <c:v>1.7763568394002505E-14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4-47DE-9F2D-B6DA22293644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Sprint-Init'!$AT$67:$BD$67</c:f>
              <c:numCache>
                <c:formatCode>0</c:formatCode>
                <c:ptCount val="11"/>
                <c:pt idx="0">
                  <c:v>189</c:v>
                </c:pt>
                <c:pt idx="1">
                  <c:v>159.5</c:v>
                </c:pt>
                <c:pt idx="2">
                  <c:v>139</c:v>
                </c:pt>
                <c:pt idx="3">
                  <c:v>123</c:v>
                </c:pt>
                <c:pt idx="4">
                  <c:v>74</c:v>
                </c:pt>
                <c:pt idx="5">
                  <c:v>62</c:v>
                </c:pt>
                <c:pt idx="6">
                  <c:v>46</c:v>
                </c:pt>
                <c:pt idx="7">
                  <c:v>54</c:v>
                </c:pt>
                <c:pt idx="8">
                  <c:v>20.5</c:v>
                </c:pt>
                <c:pt idx="9">
                  <c:v>13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4-47DE-9F2D-B6DA22293644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Sprint-Init'!$AT$58:$BD$58</c:f>
              <c:numCache>
                <c:formatCode>0</c:formatCode>
                <c:ptCount val="11"/>
                <c:pt idx="0">
                  <c:v>192.75</c:v>
                </c:pt>
                <c:pt idx="1">
                  <c:v>188.25</c:v>
                </c:pt>
                <c:pt idx="2">
                  <c:v>174.75</c:v>
                </c:pt>
                <c:pt idx="3">
                  <c:v>159.75</c:v>
                </c:pt>
                <c:pt idx="4">
                  <c:v>135.75</c:v>
                </c:pt>
                <c:pt idx="5">
                  <c:v>114</c:v>
                </c:pt>
                <c:pt idx="6">
                  <c:v>90</c:v>
                </c:pt>
                <c:pt idx="7">
                  <c:v>63</c:v>
                </c:pt>
                <c:pt idx="8">
                  <c:v>37.5</c:v>
                </c:pt>
                <c:pt idx="9">
                  <c:v>13.5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34-47DE-9F2D-B6DA22293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B21AD54C-A125-431D-A98F-EF2609D85BF6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8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FABBA228-40F4-4795-AE79-556E473645C0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8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4" name="avatar">
          <a:extLst>
            <a:ext uri="{FF2B5EF4-FFF2-40B4-BE49-F238E27FC236}">
              <a16:creationId xmlns:a16="http://schemas.microsoft.com/office/drawing/2014/main" id="{D5435E26-CDAB-4458-AEB9-56362CFB6156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5" name="avatar">
          <a:extLst>
            <a:ext uri="{FF2B5EF4-FFF2-40B4-BE49-F238E27FC236}">
              <a16:creationId xmlns:a16="http://schemas.microsoft.com/office/drawing/2014/main" id="{11C410C3-C244-4E08-B743-288D28988848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8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6" name="avatar">
          <a:extLst>
            <a:ext uri="{FF2B5EF4-FFF2-40B4-BE49-F238E27FC236}">
              <a16:creationId xmlns:a16="http://schemas.microsoft.com/office/drawing/2014/main" id="{C912C719-2163-4AD8-87AF-A21293344363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32</xdr:col>
      <xdr:colOff>0</xdr:colOff>
      <xdr:row>99</xdr:row>
      <xdr:rowOff>0</xdr:rowOff>
    </xdr:from>
    <xdr:to>
      <xdr:col>54</xdr:col>
      <xdr:colOff>257898</xdr:colOff>
      <xdr:row>128</xdr:row>
      <xdr:rowOff>185298</xdr:rowOff>
    </xdr:to>
    <xdr:graphicFrame macro="">
      <xdr:nvGraphicFramePr>
        <xdr:cNvPr id="20" name="Graphique 17">
          <a:extLst>
            <a:ext uri="{FF2B5EF4-FFF2-40B4-BE49-F238E27FC236}">
              <a16:creationId xmlns:a16="http://schemas.microsoft.com/office/drawing/2014/main" id="{44BB3324-949C-4E86-B087-1D210FF59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68</xdr:row>
      <xdr:rowOff>0</xdr:rowOff>
    </xdr:from>
    <xdr:to>
      <xdr:col>54</xdr:col>
      <xdr:colOff>257898</xdr:colOff>
      <xdr:row>97</xdr:row>
      <xdr:rowOff>185298</xdr:rowOff>
    </xdr:to>
    <xdr:graphicFrame macro="">
      <xdr:nvGraphicFramePr>
        <xdr:cNvPr id="26" name="Graphique 18">
          <a:extLst>
            <a:ext uri="{FF2B5EF4-FFF2-40B4-BE49-F238E27FC236}">
              <a16:creationId xmlns:a16="http://schemas.microsoft.com/office/drawing/2014/main" id="{2274B258-1023-4D89-A44F-84AC6371F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130</xdr:row>
      <xdr:rowOff>0</xdr:rowOff>
    </xdr:from>
    <xdr:to>
      <xdr:col>54</xdr:col>
      <xdr:colOff>257898</xdr:colOff>
      <xdr:row>159</xdr:row>
      <xdr:rowOff>185298</xdr:rowOff>
    </xdr:to>
    <xdr:graphicFrame macro="">
      <xdr:nvGraphicFramePr>
        <xdr:cNvPr id="32" name="Graphique 19">
          <a:extLst>
            <a:ext uri="{FF2B5EF4-FFF2-40B4-BE49-F238E27FC236}">
              <a16:creationId xmlns:a16="http://schemas.microsoft.com/office/drawing/2014/main" id="{527AF23A-6C51-436D-98DF-A6EDADD1A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0" name="avatar">
          <a:extLst>
            <a:ext uri="{FF2B5EF4-FFF2-40B4-BE49-F238E27FC236}">
              <a16:creationId xmlns:a16="http://schemas.microsoft.com/office/drawing/2014/main" id="{D049B373-C883-4057-855F-08646B96C804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1" name="avatar">
          <a:extLst>
            <a:ext uri="{FF2B5EF4-FFF2-40B4-BE49-F238E27FC236}">
              <a16:creationId xmlns:a16="http://schemas.microsoft.com/office/drawing/2014/main" id="{75A1429C-9498-4490-94ED-8EEBCB894AAB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12" name="avatar">
          <a:extLst>
            <a:ext uri="{FF2B5EF4-FFF2-40B4-BE49-F238E27FC236}">
              <a16:creationId xmlns:a16="http://schemas.microsoft.com/office/drawing/2014/main" id="{F3CB4450-35A0-45A0-B07B-ABEA5FA8F25A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3" name="avatar">
          <a:extLst>
            <a:ext uri="{FF2B5EF4-FFF2-40B4-BE49-F238E27FC236}">
              <a16:creationId xmlns:a16="http://schemas.microsoft.com/office/drawing/2014/main" id="{01038501-C750-41E6-9AE9-B9E6008AD112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14" name="avatar">
          <a:extLst>
            <a:ext uri="{FF2B5EF4-FFF2-40B4-BE49-F238E27FC236}">
              <a16:creationId xmlns:a16="http://schemas.microsoft.com/office/drawing/2014/main" id="{1859162B-0046-4B1D-AEAD-B26D5E5615DF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<Relationships xmlns="http://schemas.openxmlformats.org/package/2006/relationships"><Relationship Id="rId2" Type="http://schemas.openxmlformats.org/officeDocument/2006/relationships/externalLinkPath" Target="https://steria.sharepoint.com/sites/CD13-POLE.NET/Shared%20Documents/General/Suivi%20Pr&#233;sence-Conges%20CD13%202023.xlsx" TargetMode="External"/><Relationship Id="rId1" Type="http://schemas.openxmlformats.org/officeDocument/2006/relationships/externalLinkPath" Target="/sites/CD13-POLE.NET/Shared%20Documents/General/Suivi%20Pr&#233;sence-Conges%20CD13%202023.xlsx" TargetMode="External"/></Relationships>
</file>

<file path=xl/externalLinks/_rels/externalLink2.xml.rels><?xml version="1.0" encoding="UTF-8" standalone="yes"?><Relationships xmlns="http://schemas.openxmlformats.org/package/2006/relationships"><Relationship Id="rId2" Type="http://schemas.openxmlformats.org/officeDocument/2006/relationships/externalLinkPath" Target="https://steria.sharepoint.com/sites/CD13-POLE.NET/Shared%20Documents/General/Suivi%20des%20Sprints/2023/Suivi%20V&#233;locit&#233;-2023.xlsx" TargetMode="External"/><Relationship Id="rId1" Type="http://schemas.openxmlformats.org/officeDocument/2006/relationships/externalLinkPath" Target="Suivi%20V&#233;locit&#233;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N9Da-Ke360KL3Xhucy1RrSMMGef9IYFHqv4NvOpzaSgNy-4JoyUcQpak2SSdBbLP" itemId="01GCA4ZXEV5LDHJIZXF5EY7DN726AK4RN5">
      <xxl21:absoluteUrl r:id="rId2"/>
    </xxl21:alternateUrls>
    <sheetNames>
      <sheetName val="Demandes"/>
      <sheetName val="Planning"/>
      <sheetName val="Récap"/>
      <sheetName val="jours_feries"/>
      <sheetName val="Param_Annee"/>
      <sheetName val="Paramètres"/>
    </sheetNames>
    <sheetDataSet>
      <sheetData sheetId="0"/>
      <sheetData sheetId="1">
        <row r="9">
          <cell r="PZ9">
            <v>10</v>
          </cell>
        </row>
        <row r="11">
          <cell r="PZ11">
            <v>8</v>
          </cell>
        </row>
        <row r="12">
          <cell r="PZ12">
            <v>1</v>
          </cell>
        </row>
        <row r="13">
          <cell r="PZ13">
            <v>10</v>
          </cell>
        </row>
        <row r="14">
          <cell r="PZ14">
            <v>10</v>
          </cell>
        </row>
        <row r="15">
          <cell r="PZ15">
            <v>10</v>
          </cell>
        </row>
        <row r="16">
          <cell r="PZ16">
            <v>10</v>
          </cell>
        </row>
        <row r="19">
          <cell r="PZ19">
            <v>10</v>
          </cell>
        </row>
        <row r="21">
          <cell r="PZ21">
            <v>10</v>
          </cell>
        </row>
        <row r="22">
          <cell r="PZ22">
            <v>10</v>
          </cell>
        </row>
        <row r="23">
          <cell r="PZ23">
            <v>10</v>
          </cell>
        </row>
        <row r="25">
          <cell r="PZ25">
            <v>8</v>
          </cell>
        </row>
        <row r="33">
          <cell r="PZ33">
            <v>127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N9Da-Ke360KL3Xhucy1RrSMMGef9IYFHqv4NvOpzaSgNy-4JoyUcQpak2SSdBbLP" itemId="01GCA4ZXHFKDEP4Z5CHBE336VXHCXL4HEP">
      <xxl21:absoluteUrl r:id="rId2"/>
    </xxl21:alternateUrls>
    <sheetNames>
      <sheetName val="suivi .NET"/>
      <sheetName val="suivi Autre"/>
      <sheetName val="suivi Sharepoint"/>
      <sheetName val="suivi .SRS"/>
      <sheetName val="Indicateur"/>
      <sheetName val="suivi"/>
      <sheetName val="Indicateur (2)"/>
      <sheetName val="CàF à l'année"/>
      <sheetName val="CAF TMA"/>
      <sheetName val="Feuil2"/>
    </sheetNames>
    <sheetDataSet>
      <sheetData sheetId="0">
        <row r="2">
          <cell r="B2" t="str">
            <v xml:space="preserve"> </v>
          </cell>
          <cell r="C2" t="str">
            <v>2022</v>
          </cell>
          <cell r="D2" t="str">
            <v>S01-02</v>
          </cell>
          <cell r="E2" t="str">
            <v>S03-04</v>
          </cell>
          <cell r="F2" t="str">
            <v>S05-06</v>
          </cell>
          <cell r="G2" t="str">
            <v>S07-08</v>
          </cell>
          <cell r="H2" t="str">
            <v>S09-10</v>
          </cell>
          <cell r="I2" t="str">
            <v>S11-12</v>
          </cell>
          <cell r="J2" t="str">
            <v>S13-14</v>
          </cell>
          <cell r="K2" t="str">
            <v>S15-16</v>
          </cell>
          <cell r="L2" t="str">
            <v>S17-18</v>
          </cell>
          <cell r="M2" t="str">
            <v>S19-20</v>
          </cell>
          <cell r="N2" t="str">
            <v>S21-22</v>
          </cell>
          <cell r="O2" t="str">
            <v>S23-24</v>
          </cell>
          <cell r="P2" t="str">
            <v>S25-26</v>
          </cell>
          <cell r="Q2" t="str">
            <v>S27-28</v>
          </cell>
          <cell r="R2" t="str">
            <v>S29-30</v>
          </cell>
          <cell r="S2" t="str">
            <v>S31-32</v>
          </cell>
          <cell r="T2" t="str">
            <v>S33-34</v>
          </cell>
          <cell r="U2" t="str">
            <v>S35-36</v>
          </cell>
          <cell r="V2" t="str">
            <v>S37-38</v>
          </cell>
          <cell r="W2" t="str">
            <v>S39-40</v>
          </cell>
          <cell r="X2" t="str">
            <v>S41-42</v>
          </cell>
          <cell r="Y2" t="str">
            <v>S43-44</v>
          </cell>
          <cell r="Z2" t="str">
            <v>S45-46</v>
          </cell>
          <cell r="AA2" t="str">
            <v>S47-48</v>
          </cell>
          <cell r="AB2" t="str">
            <v>S49-51</v>
          </cell>
        </row>
        <row r="3">
          <cell r="B3"/>
          <cell r="C3"/>
          <cell r="D3" t="str">
            <v>PI1</v>
          </cell>
          <cell r="E3" t="str">
            <v>PI1</v>
          </cell>
          <cell r="F3" t="str">
            <v>PI2</v>
          </cell>
          <cell r="G3" t="str">
            <v>PI2</v>
          </cell>
          <cell r="H3" t="str">
            <v>PI3</v>
          </cell>
          <cell r="I3" t="str">
            <v>PI3</v>
          </cell>
          <cell r="J3" t="str">
            <v>PI4</v>
          </cell>
          <cell r="K3" t="str">
            <v>PI4</v>
          </cell>
          <cell r="L3" t="str">
            <v>PI5</v>
          </cell>
          <cell r="M3" t="str">
            <v>PI5</v>
          </cell>
          <cell r="N3" t="str">
            <v>PI6</v>
          </cell>
          <cell r="O3" t="str">
            <v>PI6</v>
          </cell>
          <cell r="P3" t="str">
            <v>PI7</v>
          </cell>
          <cell r="Q3" t="str">
            <v>PI7</v>
          </cell>
          <cell r="R3" t="str">
            <v>PI8</v>
          </cell>
          <cell r="S3" t="str">
            <v>PI8</v>
          </cell>
          <cell r="T3" t="str">
            <v>PI9</v>
          </cell>
          <cell r="U3" t="str">
            <v>PI9</v>
          </cell>
          <cell r="V3" t="str">
            <v>P10</v>
          </cell>
          <cell r="W3" t="str">
            <v>P10</v>
          </cell>
          <cell r="X3" t="str">
            <v>PI11</v>
          </cell>
          <cell r="Y3" t="str">
            <v>PI11</v>
          </cell>
          <cell r="Z3" t="str">
            <v>PI12</v>
          </cell>
          <cell r="AA3" t="str">
            <v>PI12</v>
          </cell>
          <cell r="AB3" t="str">
            <v>PI13</v>
          </cell>
        </row>
        <row r="4">
          <cell r="B4" t="str">
            <v>Nb Jours de Présence Equipe Prévus</v>
          </cell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>
            <v>24.25</v>
          </cell>
          <cell r="Z4">
            <v>9.8000000000000007</v>
          </cell>
          <cell r="AA4">
            <v>29.6</v>
          </cell>
          <cell r="AB4">
            <v>51</v>
          </cell>
        </row>
        <row r="5">
          <cell r="B5" t="str">
            <v>Nb Jours de Dev Prévus</v>
          </cell>
          <cell r="C5"/>
          <cell r="D5">
            <v>20.25</v>
          </cell>
          <cell r="E5">
            <v>20</v>
          </cell>
          <cell r="F5">
            <v>24.5</v>
          </cell>
          <cell r="G5">
            <v>23.8</v>
          </cell>
          <cell r="H5">
            <v>21.3</v>
          </cell>
          <cell r="I5">
            <v>11.875</v>
          </cell>
          <cell r="J5">
            <v>22.125</v>
          </cell>
          <cell r="K5">
            <v>19.5</v>
          </cell>
          <cell r="L5">
            <v>18.5</v>
          </cell>
          <cell r="M5">
            <v>14.75</v>
          </cell>
          <cell r="N5">
            <v>24</v>
          </cell>
          <cell r="O5">
            <v>25.25</v>
          </cell>
          <cell r="P5">
            <v>20.5</v>
          </cell>
          <cell r="Q5">
            <v>25.625</v>
          </cell>
          <cell r="R5">
            <v>23</v>
          </cell>
          <cell r="S5">
            <v>25.25</v>
          </cell>
          <cell r="T5">
            <v>20.5</v>
          </cell>
          <cell r="U5">
            <v>26.875</v>
          </cell>
          <cell r="V5">
            <v>23.875</v>
          </cell>
          <cell r="W5">
            <v>24.375</v>
          </cell>
          <cell r="X5">
            <v>30</v>
          </cell>
          <cell r="Y5">
            <v>26.5</v>
          </cell>
          <cell r="Z5"/>
          <cell r="AA5"/>
          <cell r="AB5"/>
        </row>
        <row r="6">
          <cell r="B6" t="str">
            <v>CaF Initiale Calculée à 100%</v>
          </cell>
          <cell r="C6"/>
          <cell r="D6">
            <v>12.018519429414658</v>
          </cell>
          <cell r="E6">
            <v>11.870142646335465</v>
          </cell>
          <cell r="F6">
            <v>14.540924741760943</v>
          </cell>
          <cell r="G6">
            <v>14.009372188163596</v>
          </cell>
          <cell r="H6">
            <v>13.747678685535133</v>
          </cell>
          <cell r="I6">
            <v>7.8624870474345467</v>
          </cell>
          <cell r="J6">
            <v>15.289964837239443</v>
          </cell>
          <cell r="K6">
            <v>13.35897739377441</v>
          </cell>
          <cell r="L6">
            <v>12.126050420168067</v>
          </cell>
          <cell r="M6">
            <v>8.7546369899311056</v>
          </cell>
          <cell r="N6">
            <v>14.76091476091476</v>
          </cell>
          <cell r="O6">
            <v>15.610641891891893</v>
          </cell>
          <cell r="P6">
            <v>14.211322241213546</v>
          </cell>
          <cell r="Q6">
            <v>18.084362648221344</v>
          </cell>
          <cell r="R6">
            <v>15.747584276499939</v>
          </cell>
          <cell r="S6">
            <v>16.789096967580466</v>
          </cell>
          <cell r="T6">
            <v>13.271127990221757</v>
          </cell>
          <cell r="U6">
            <v>17.398125109132181</v>
          </cell>
          <cell r="V6">
            <v>15.456008817880216</v>
          </cell>
          <cell r="W6">
            <v>15.779694866422211</v>
          </cell>
          <cell r="X6">
            <v>19.421162912519645</v>
          </cell>
          <cell r="Y6">
            <v>17.155360572725684</v>
          </cell>
          <cell r="Z6">
            <v>0</v>
          </cell>
          <cell r="AA6">
            <v>0</v>
          </cell>
          <cell r="AB6">
            <v>0</v>
          </cell>
        </row>
        <row r="7">
          <cell r="B7" t="str">
            <v>CaF Initiale Calculée à 80%</v>
          </cell>
          <cell r="C7"/>
          <cell r="D7">
            <v>9.6148155435317264</v>
          </cell>
          <cell r="E7">
            <v>9.4961141170683714</v>
          </cell>
          <cell r="F7">
            <v>11.632739793408755</v>
          </cell>
          <cell r="G7">
            <v>11.207497750530877</v>
          </cell>
          <cell r="H7">
            <v>10.998142948428107</v>
          </cell>
          <cell r="I7">
            <v>6.2899896379476381</v>
          </cell>
          <cell r="J7">
            <v>12.231971869791556</v>
          </cell>
          <cell r="K7">
            <v>10.687181915019529</v>
          </cell>
          <cell r="L7">
            <v>9.7008403361344548</v>
          </cell>
          <cell r="M7">
            <v>7.0037095919448848</v>
          </cell>
          <cell r="N7">
            <v>11.808731808731808</v>
          </cell>
          <cell r="O7">
            <v>12.488513513513515</v>
          </cell>
          <cell r="P7">
            <v>11.369057792970837</v>
          </cell>
          <cell r="Q7">
            <v>14.467490118577075</v>
          </cell>
          <cell r="R7">
            <v>12.598067421199952</v>
          </cell>
          <cell r="S7">
            <v>13.431277574064374</v>
          </cell>
          <cell r="T7">
            <v>10.616902392177407</v>
          </cell>
          <cell r="U7">
            <v>13.918500087305745</v>
          </cell>
          <cell r="V7">
            <v>12.364807054304173</v>
          </cell>
          <cell r="W7">
            <v>12.623755893137769</v>
          </cell>
          <cell r="X7">
            <v>15.536930330015716</v>
          </cell>
          <cell r="Y7">
            <v>13.724288458180547</v>
          </cell>
          <cell r="Z7">
            <v>0</v>
          </cell>
          <cell r="AA7">
            <v>0</v>
          </cell>
          <cell r="AB7">
            <v>0</v>
          </cell>
        </row>
        <row r="8">
          <cell r="B8"/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  <cell r="S8"/>
          <cell r="T8"/>
          <cell r="U8"/>
          <cell r="V8"/>
          <cell r="W8"/>
          <cell r="X8"/>
          <cell r="Y8"/>
          <cell r="Z8"/>
          <cell r="AA8"/>
          <cell r="AB8"/>
        </row>
        <row r="9">
          <cell r="B9" t="str">
            <v>Nb Jours Dev Réèls</v>
          </cell>
          <cell r="C9"/>
          <cell r="D9">
            <v>19</v>
          </cell>
          <cell r="E9">
            <v>21.4</v>
          </cell>
          <cell r="F9">
            <v>20.5</v>
          </cell>
          <cell r="G9">
            <v>24.4</v>
          </cell>
          <cell r="H9">
            <v>21.3</v>
          </cell>
          <cell r="I9">
            <v>11.9</v>
          </cell>
          <cell r="J9">
            <v>22.1</v>
          </cell>
          <cell r="K9">
            <v>19.5</v>
          </cell>
          <cell r="L9">
            <v>18.5</v>
          </cell>
          <cell r="M9">
            <v>14.8</v>
          </cell>
          <cell r="N9">
            <v>24</v>
          </cell>
          <cell r="O9">
            <v>25.3</v>
          </cell>
          <cell r="P9">
            <v>20</v>
          </cell>
          <cell r="Q9">
            <v>24.9</v>
          </cell>
          <cell r="R9">
            <v>23</v>
          </cell>
          <cell r="S9"/>
          <cell r="T9"/>
          <cell r="U9"/>
          <cell r="V9"/>
          <cell r="W9"/>
          <cell r="X9"/>
          <cell r="Y9"/>
          <cell r="Z9"/>
          <cell r="AA9"/>
          <cell r="AB9"/>
        </row>
        <row r="10">
          <cell r="B10" t="str">
            <v>Nb SP Engagement</v>
          </cell>
          <cell r="C10"/>
          <cell r="D10">
            <v>12</v>
          </cell>
          <cell r="E10">
            <v>16</v>
          </cell>
          <cell r="F10"/>
          <cell r="G10"/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  <cell r="S10"/>
          <cell r="T10"/>
          <cell r="U10"/>
          <cell r="V10"/>
          <cell r="W10"/>
          <cell r="X10"/>
          <cell r="Y10"/>
          <cell r="Z10"/>
          <cell r="AA10"/>
          <cell r="AB10"/>
        </row>
        <row r="11">
          <cell r="B11" t="str">
            <v>Vélocité (Nb SP Livré)</v>
          </cell>
          <cell r="C11"/>
          <cell r="D11">
            <v>10</v>
          </cell>
          <cell r="E11">
            <v>14</v>
          </cell>
          <cell r="F11">
            <v>12</v>
          </cell>
          <cell r="G11">
            <v>17</v>
          </cell>
          <cell r="H11">
            <v>15</v>
          </cell>
          <cell r="I11">
            <v>8</v>
          </cell>
          <cell r="J11">
            <v>15</v>
          </cell>
          <cell r="K11">
            <v>12</v>
          </cell>
          <cell r="L11">
            <v>9</v>
          </cell>
          <cell r="M11">
            <v>11</v>
          </cell>
          <cell r="N11">
            <v>15</v>
          </cell>
          <cell r="O11">
            <v>18</v>
          </cell>
          <cell r="P11">
            <v>14</v>
          </cell>
          <cell r="Q11">
            <v>16</v>
          </cell>
          <cell r="R11">
            <v>15</v>
          </cell>
          <cell r="S11"/>
          <cell r="T11"/>
          <cell r="U11"/>
          <cell r="V11"/>
          <cell r="W11"/>
          <cell r="X11"/>
          <cell r="Y11"/>
          <cell r="Z11"/>
          <cell r="AA11"/>
          <cell r="AB11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N12" t="str">
            <v/>
          </cell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/>
          <cell r="Z12"/>
          <cell r="AA12"/>
          <cell r="AB12"/>
        </row>
        <row r="13">
          <cell r="B13" t="str">
            <v>sp/j dev</v>
          </cell>
          <cell r="C13">
            <v>0.6</v>
          </cell>
          <cell r="D13">
            <v>0.52631578947368418</v>
          </cell>
          <cell r="E13">
            <v>0.65420560747663559</v>
          </cell>
          <cell r="F13">
            <v>0.58536585365853655</v>
          </cell>
          <cell r="G13">
            <v>0.69672131147540983</v>
          </cell>
          <cell r="H13">
            <v>0.70422535211267601</v>
          </cell>
          <cell r="I13">
            <v>0.67226890756302515</v>
          </cell>
          <cell r="J13">
            <v>0.67873303167420806</v>
          </cell>
          <cell r="K13">
            <v>0.61538461538461542</v>
          </cell>
          <cell r="L13">
            <v>0.48648648648648651</v>
          </cell>
          <cell r="M13">
            <v>0.7432432432432432</v>
          </cell>
          <cell r="N13">
            <v>0.625</v>
          </cell>
          <cell r="O13">
            <v>0.71146245059288538</v>
          </cell>
          <cell r="P13">
            <v>0.7</v>
          </cell>
          <cell r="Q13">
            <v>0.64257028112449799</v>
          </cell>
          <cell r="R13">
            <v>0.65217391304347827</v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</row>
        <row r="14">
          <cell r="B14" t="str">
            <v>lissage 3 derniers sprints</v>
          </cell>
          <cell r="C14">
            <v>0.6</v>
          </cell>
          <cell r="D14">
            <v>0.59350713231677321</v>
          </cell>
          <cell r="E14">
            <v>0.59350713231677321</v>
          </cell>
          <cell r="F14">
            <v>0.58862908353628551</v>
          </cell>
          <cell r="G14">
            <v>0.64543092420352732</v>
          </cell>
          <cell r="H14">
            <v>0.66210417241554076</v>
          </cell>
          <cell r="I14">
            <v>0.69107185705037033</v>
          </cell>
          <cell r="J14">
            <v>0.68507576378330304</v>
          </cell>
          <cell r="K14">
            <v>0.65546218487394958</v>
          </cell>
          <cell r="L14">
            <v>0.59353471118176993</v>
          </cell>
          <cell r="M14">
            <v>0.61503811503811501</v>
          </cell>
          <cell r="N14">
            <v>0.61824324324324331</v>
          </cell>
          <cell r="O14">
            <v>0.69323523127870956</v>
          </cell>
          <cell r="P14">
            <v>0.70573122529644272</v>
          </cell>
          <cell r="Q14">
            <v>0.68467757723912781</v>
          </cell>
          <cell r="R14">
            <v>0.66491473138932544</v>
          </cell>
          <cell r="S14">
            <v>0.64737209708398813</v>
          </cell>
          <cell r="T14">
            <v>0.64737209708398813</v>
          </cell>
          <cell r="U14">
            <v>0.64737209708398813</v>
          </cell>
          <cell r="V14">
            <v>0.64737209708398813</v>
          </cell>
          <cell r="W14">
            <v>0.64737209708398813</v>
          </cell>
          <cell r="X14">
            <v>0.64737209708398813</v>
          </cell>
          <cell r="Y14">
            <v>0.64737209708398813</v>
          </cell>
          <cell r="Z14">
            <v>0.64737209708398813</v>
          </cell>
          <cell r="AA14">
            <v>0.64737209708398813</v>
          </cell>
          <cell r="AB14">
            <v>0.64737209708398813</v>
          </cell>
        </row>
        <row r="15">
          <cell r="B15" t="str">
            <v>Vélocité du PI</v>
          </cell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 t="e">
            <v>#DIV/0!</v>
          </cell>
          <cell r="W15" t="e">
            <v>#DIV/0!</v>
          </cell>
          <cell r="X15" t="e">
            <v>#DIV/0!</v>
          </cell>
          <cell r="Y15" t="e">
            <v>#DIV/0!</v>
          </cell>
          <cell r="Z15" t="e">
            <v>#DIV/0!</v>
          </cell>
          <cell r="AA15" t="e">
            <v>#DIV/0!</v>
          </cell>
          <cell r="AB15" t="e">
            <v>#DIV/0!</v>
          </cell>
        </row>
        <row r="16">
          <cell r="B16" t="str">
            <v>Evolution</v>
          </cell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/>
          <cell r="AA16"/>
          <cell r="AB16"/>
        </row>
        <row r="17">
          <cell r="B17" t="str">
            <v>Velocité 3 derniers PI</v>
          </cell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 t="e">
            <v>#DIV/0!</v>
          </cell>
          <cell r="W17" t="e">
            <v>#DIV/0!</v>
          </cell>
          <cell r="X17" t="e">
            <v>#DIV/0!</v>
          </cell>
          <cell r="Y17"/>
          <cell r="Z17"/>
          <cell r="AA17" t="e">
            <v>#DIV/0!</v>
          </cell>
          <cell r="AB17"/>
        </row>
        <row r="18">
          <cell r="B18" t="str">
            <v>Ratio Dev</v>
          </cell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</row>
        <row r="20">
          <cell r="B20" t="str">
            <v>Predictibilité</v>
          </cell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</row>
        <row r="22">
          <cell r="B22" t="str">
            <v>Commentaire</v>
          </cell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 t="e">
            <v>#DIV/0!</v>
          </cell>
          <cell r="X22"/>
        </row>
      </sheetData>
      <sheetData sheetId="1">
        <row r="2">
          <cell r="B2" t="str">
            <v xml:space="preserve"> </v>
          </cell>
          <cell r="C2" t="str">
            <v>2022</v>
          </cell>
          <cell r="D2" t="str">
            <v>S01-02</v>
          </cell>
          <cell r="E2" t="str">
            <v>S03-04</v>
          </cell>
          <cell r="F2" t="str">
            <v>S05-06</v>
          </cell>
          <cell r="G2" t="str">
            <v>S07-08</v>
          </cell>
          <cell r="H2" t="str">
            <v>S09-10</v>
          </cell>
          <cell r="I2" t="str">
            <v>S11-12</v>
          </cell>
          <cell r="J2" t="str">
            <v>S13-14</v>
          </cell>
          <cell r="K2" t="str">
            <v>S15-16</v>
          </cell>
          <cell r="L2" t="str">
            <v>S17-18</v>
          </cell>
          <cell r="M2" t="str">
            <v>S19-20</v>
          </cell>
          <cell r="N2" t="str">
            <v>S21-22</v>
          </cell>
          <cell r="O2" t="str">
            <v>S23-24</v>
          </cell>
          <cell r="P2" t="str">
            <v>S25-26</v>
          </cell>
          <cell r="Q2" t="str">
            <v>S27-28</v>
          </cell>
          <cell r="R2" t="str">
            <v>S29-30</v>
          </cell>
          <cell r="S2" t="str">
            <v>S31-32</v>
          </cell>
          <cell r="T2" t="str">
            <v>S33-34</v>
          </cell>
          <cell r="U2" t="str">
            <v>S35-36</v>
          </cell>
          <cell r="V2" t="str">
            <v>S37-38</v>
          </cell>
          <cell r="W2" t="str">
            <v>S39-40</v>
          </cell>
          <cell r="X2" t="str">
            <v>S41-42</v>
          </cell>
          <cell r="Y2" t="str">
            <v>S43-44</v>
          </cell>
          <cell r="Z2" t="str">
            <v>S45-46</v>
          </cell>
          <cell r="AA2" t="str">
            <v>S47-48</v>
          </cell>
          <cell r="AB2" t="str">
            <v>S49-51</v>
          </cell>
        </row>
        <row r="3">
          <cell r="B3"/>
          <cell r="C3"/>
          <cell r="D3" t="str">
            <v>PI1</v>
          </cell>
          <cell r="E3" t="str">
            <v>PI1</v>
          </cell>
          <cell r="F3" t="str">
            <v>PI2</v>
          </cell>
          <cell r="G3" t="str">
            <v>PI2</v>
          </cell>
          <cell r="H3" t="str">
            <v>PI3</v>
          </cell>
          <cell r="I3" t="str">
            <v>PI3</v>
          </cell>
          <cell r="J3" t="str">
            <v>PI4</v>
          </cell>
          <cell r="K3" t="str">
            <v>PI4</v>
          </cell>
          <cell r="L3" t="str">
            <v>PI5</v>
          </cell>
          <cell r="M3" t="str">
            <v>PI5</v>
          </cell>
          <cell r="N3" t="str">
            <v>PI6</v>
          </cell>
          <cell r="O3" t="str">
            <v>PI6</v>
          </cell>
          <cell r="P3" t="str">
            <v>PI7</v>
          </cell>
          <cell r="Q3" t="str">
            <v>PI7</v>
          </cell>
          <cell r="R3" t="str">
            <v>PI8</v>
          </cell>
          <cell r="S3" t="str">
            <v>PI8</v>
          </cell>
          <cell r="T3" t="str">
            <v>PI9</v>
          </cell>
          <cell r="U3" t="str">
            <v>PI9</v>
          </cell>
          <cell r="V3" t="str">
            <v>P10</v>
          </cell>
          <cell r="W3" t="str">
            <v>P10</v>
          </cell>
          <cell r="X3" t="str">
            <v>PI11</v>
          </cell>
          <cell r="Y3" t="str">
            <v>PI11</v>
          </cell>
          <cell r="Z3" t="str">
            <v>PI12</v>
          </cell>
          <cell r="AA3" t="str">
            <v>PI12</v>
          </cell>
          <cell r="AB3" t="str">
            <v>PI13</v>
          </cell>
        </row>
        <row r="4">
          <cell r="B4" t="str">
            <v>Nb Jours de Présence Equipe Prévus</v>
          </cell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>
            <v>24.25</v>
          </cell>
          <cell r="Z4">
            <v>9.8000000000000007</v>
          </cell>
          <cell r="AA4">
            <v>29.6</v>
          </cell>
          <cell r="AB4">
            <v>51</v>
          </cell>
        </row>
        <row r="5">
          <cell r="B5" t="str">
            <v>Nb Jours de Dev Prévus</v>
          </cell>
          <cell r="C5"/>
          <cell r="D5">
            <v>18.8</v>
          </cell>
          <cell r="E5">
            <v>10.119999999999999</v>
          </cell>
          <cell r="F5">
            <v>11.3</v>
          </cell>
          <cell r="G5">
            <v>6</v>
          </cell>
          <cell r="H5">
            <v>8.6</v>
          </cell>
          <cell r="I5">
            <v>12.75</v>
          </cell>
          <cell r="J5">
            <v>11.75</v>
          </cell>
          <cell r="K5">
            <v>7</v>
          </cell>
          <cell r="L5">
            <v>16</v>
          </cell>
          <cell r="M5">
            <v>10.125</v>
          </cell>
          <cell r="N5">
            <v>19.5</v>
          </cell>
          <cell r="O5">
            <v>22.125</v>
          </cell>
          <cell r="P5">
            <v>20.625</v>
          </cell>
          <cell r="Q5">
            <v>10.875</v>
          </cell>
          <cell r="R5">
            <v>23.125</v>
          </cell>
          <cell r="S5">
            <v>17.875</v>
          </cell>
          <cell r="T5">
            <v>11.375</v>
          </cell>
          <cell r="U5">
            <v>10.875</v>
          </cell>
          <cell r="V5">
            <v>14.25</v>
          </cell>
          <cell r="W5">
            <v>14.25</v>
          </cell>
          <cell r="X5">
            <v>15.75</v>
          </cell>
          <cell r="Y5">
            <v>14</v>
          </cell>
          <cell r="Z5"/>
          <cell r="AA5"/>
          <cell r="AB5"/>
        </row>
        <row r="6">
          <cell r="B6" t="str">
            <v>CaF Initiale Calculée à 100%</v>
          </cell>
          <cell r="C6"/>
          <cell r="D6">
            <v>20.005425079766418</v>
          </cell>
          <cell r="E6">
            <v>10.76887775570405</v>
          </cell>
          <cell r="F6">
            <v>12.024537414965986</v>
          </cell>
          <cell r="G6">
            <v>5.9389036802274431</v>
          </cell>
          <cell r="H6">
            <v>9.2622984677742064</v>
          </cell>
          <cell r="I6">
            <v>12.854463615903976</v>
          </cell>
          <cell r="J6">
            <v>13.30878281545176</v>
          </cell>
          <cell r="K6">
            <v>7.4110227457163402</v>
          </cell>
          <cell r="L6">
            <v>18.693633385557611</v>
          </cell>
          <cell r="M6">
            <v>11.583175696125908</v>
          </cell>
          <cell r="N6">
            <v>22.870093705799146</v>
          </cell>
          <cell r="O6">
            <v>24.337500000000002</v>
          </cell>
          <cell r="P6">
            <v>23.432268566223136</v>
          </cell>
          <cell r="Q6">
            <v>11.944293497413343</v>
          </cell>
          <cell r="R6">
            <v>24.793143213465022</v>
          </cell>
          <cell r="S6">
            <v>18.895988909439566</v>
          </cell>
          <cell r="T6">
            <v>12.024720215097904</v>
          </cell>
          <cell r="U6">
            <v>11.496161084763932</v>
          </cell>
          <cell r="V6">
            <v>15.063935214518255</v>
          </cell>
          <cell r="W6">
            <v>15.063935214518255</v>
          </cell>
          <cell r="X6">
            <v>16.649612605520176</v>
          </cell>
          <cell r="Y6">
            <v>14.799655649351267</v>
          </cell>
          <cell r="Z6">
            <v>0</v>
          </cell>
          <cell r="AA6">
            <v>0</v>
          </cell>
          <cell r="AB6">
            <v>0</v>
          </cell>
        </row>
        <row r="7">
          <cell r="B7" t="str">
            <v>CaF Initiale Calculée à 80%</v>
          </cell>
          <cell r="C7"/>
          <cell r="D7">
            <v>16.004340063813135</v>
          </cell>
          <cell r="E7">
            <v>8.6151022045632413</v>
          </cell>
          <cell r="F7">
            <v>9.6196299319727885</v>
          </cell>
          <cell r="G7">
            <v>4.7511229441819545</v>
          </cell>
          <cell r="H7">
            <v>7.4098387742193657</v>
          </cell>
          <cell r="I7">
            <v>10.283570892723182</v>
          </cell>
          <cell r="J7">
            <v>10.647026252361409</v>
          </cell>
          <cell r="K7">
            <v>5.9288181965730722</v>
          </cell>
          <cell r="L7">
            <v>14.954906708446089</v>
          </cell>
          <cell r="M7">
            <v>9.2665405569007273</v>
          </cell>
          <cell r="N7">
            <v>18.296074964639317</v>
          </cell>
          <cell r="O7">
            <v>19.470000000000002</v>
          </cell>
          <cell r="P7">
            <v>18.745814852978508</v>
          </cell>
          <cell r="Q7">
            <v>9.5554347979306744</v>
          </cell>
          <cell r="R7">
            <v>19.834514570772019</v>
          </cell>
          <cell r="S7">
            <v>15.116791127551654</v>
          </cell>
          <cell r="T7">
            <v>9.6197761720783248</v>
          </cell>
          <cell r="U7">
            <v>9.1969288678111454</v>
          </cell>
          <cell r="V7">
            <v>12.051148171614605</v>
          </cell>
          <cell r="W7">
            <v>12.051148171614605</v>
          </cell>
          <cell r="X7">
            <v>13.319690084416141</v>
          </cell>
          <cell r="Y7">
            <v>11.839724519481015</v>
          </cell>
          <cell r="Z7">
            <v>0</v>
          </cell>
          <cell r="AA7">
            <v>0</v>
          </cell>
          <cell r="AB7">
            <v>0</v>
          </cell>
        </row>
        <row r="8">
          <cell r="B8"/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  <cell r="S8"/>
          <cell r="T8"/>
          <cell r="U8"/>
          <cell r="V8"/>
          <cell r="W8"/>
          <cell r="X8"/>
          <cell r="Y8"/>
          <cell r="Z8"/>
          <cell r="AA8"/>
          <cell r="AB8"/>
        </row>
        <row r="9">
          <cell r="B9" t="str">
            <v>Nb Jours Dev Réèls</v>
          </cell>
          <cell r="C9"/>
          <cell r="D9">
            <v>11.3</v>
          </cell>
          <cell r="E9">
            <v>9.8000000000000007</v>
          </cell>
          <cell r="F9">
            <v>12.4</v>
          </cell>
          <cell r="G9">
            <v>6.8</v>
          </cell>
          <cell r="H9">
            <v>8.6</v>
          </cell>
          <cell r="I9">
            <v>11.9</v>
          </cell>
          <cell r="J9">
            <v>11.8</v>
          </cell>
          <cell r="K9">
            <v>7</v>
          </cell>
          <cell r="L9">
            <v>16</v>
          </cell>
          <cell r="M9">
            <v>10.1</v>
          </cell>
          <cell r="N9">
            <v>19.5</v>
          </cell>
          <cell r="O9">
            <v>22.1</v>
          </cell>
          <cell r="P9">
            <v>21.4</v>
          </cell>
          <cell r="Q9">
            <v>10.9</v>
          </cell>
          <cell r="R9">
            <v>23.1</v>
          </cell>
          <cell r="S9"/>
          <cell r="T9"/>
          <cell r="U9"/>
          <cell r="V9"/>
          <cell r="W9"/>
          <cell r="X9"/>
          <cell r="Y9"/>
          <cell r="Z9"/>
          <cell r="AA9"/>
          <cell r="AB9"/>
        </row>
        <row r="10">
          <cell r="B10" t="str">
            <v>Nb SP Engagement</v>
          </cell>
          <cell r="C10"/>
          <cell r="D10">
            <v>12</v>
          </cell>
          <cell r="E10"/>
          <cell r="F10"/>
          <cell r="G10"/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  <cell r="S10"/>
          <cell r="T10"/>
          <cell r="U10"/>
          <cell r="V10"/>
          <cell r="W10"/>
          <cell r="X10"/>
          <cell r="Y10"/>
          <cell r="Z10"/>
          <cell r="AA10"/>
          <cell r="AB10"/>
        </row>
        <row r="11">
          <cell r="B11" t="str">
            <v>Vélocité (Nb SP Livré)</v>
          </cell>
          <cell r="C11"/>
          <cell r="D11">
            <v>12</v>
          </cell>
          <cell r="E11">
            <v>10</v>
          </cell>
          <cell r="F11">
            <v>11</v>
          </cell>
          <cell r="G11">
            <v>9</v>
          </cell>
          <cell r="H11">
            <v>7</v>
          </cell>
          <cell r="I11">
            <v>15</v>
          </cell>
          <cell r="J11">
            <v>13</v>
          </cell>
          <cell r="K11">
            <v>8</v>
          </cell>
          <cell r="L11">
            <v>19</v>
          </cell>
          <cell r="M11">
            <v>12</v>
          </cell>
          <cell r="N11">
            <v>23</v>
          </cell>
          <cell r="O11">
            <v>23</v>
          </cell>
          <cell r="P11">
            <v>23</v>
          </cell>
          <cell r="Q11">
            <v>12</v>
          </cell>
          <cell r="R11">
            <v>23</v>
          </cell>
          <cell r="S11"/>
          <cell r="T11"/>
          <cell r="U11"/>
          <cell r="V11"/>
          <cell r="W11"/>
          <cell r="X11"/>
          <cell r="Y11"/>
          <cell r="Z11"/>
          <cell r="AA11"/>
          <cell r="AB11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N12" t="str">
            <v/>
          </cell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/>
          <cell r="Z12"/>
          <cell r="AA12"/>
          <cell r="AB12"/>
        </row>
        <row r="13">
          <cell r="B13" t="str">
            <v>sp/j dev</v>
          </cell>
          <cell r="C13">
            <v>1.1100000000000001</v>
          </cell>
          <cell r="D13">
            <v>1.0619469026548671</v>
          </cell>
          <cell r="E13">
            <v>1.0204081632653061</v>
          </cell>
          <cell r="F13">
            <v>0.88709677419354838</v>
          </cell>
          <cell r="G13">
            <v>1.3235294117647058</v>
          </cell>
          <cell r="H13">
            <v>0.81395348837209303</v>
          </cell>
          <cell r="I13">
            <v>1.2605042016806722</v>
          </cell>
          <cell r="J13">
            <v>1.1016949152542372</v>
          </cell>
          <cell r="K13">
            <v>1.1428571428571428</v>
          </cell>
          <cell r="L13">
            <v>1.1875</v>
          </cell>
          <cell r="M13">
            <v>1.1881188118811881</v>
          </cell>
          <cell r="N13">
            <v>1.1794871794871795</v>
          </cell>
          <cell r="O13">
            <v>1.0407239819004523</v>
          </cell>
          <cell r="P13">
            <v>1.0747663551401869</v>
          </cell>
          <cell r="Q13">
            <v>1.1009174311926606</v>
          </cell>
          <cell r="R13">
            <v>0.9956709956709956</v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</row>
        <row r="14">
          <cell r="B14" t="str">
            <v>lissage 3 derniers sprints</v>
          </cell>
          <cell r="C14">
            <v>1.1100000000000001</v>
          </cell>
          <cell r="D14">
            <v>1.0641183553067244</v>
          </cell>
          <cell r="E14">
            <v>1.0641183553067244</v>
          </cell>
          <cell r="F14">
            <v>0.98981728003790714</v>
          </cell>
          <cell r="G14">
            <v>1.0770114497411869</v>
          </cell>
          <cell r="H14">
            <v>1.0081932247767824</v>
          </cell>
          <cell r="I14">
            <v>1.1326623672724903</v>
          </cell>
          <cell r="J14">
            <v>1.0587175351023344</v>
          </cell>
          <cell r="K14">
            <v>1.1683520865973507</v>
          </cell>
          <cell r="L14">
            <v>1.1440173527037933</v>
          </cell>
          <cell r="M14">
            <v>1.1728253182461101</v>
          </cell>
          <cell r="N14">
            <v>1.1000000000000001</v>
          </cell>
          <cell r="O14">
            <v>1.1361099910896066</v>
          </cell>
          <cell r="P14">
            <v>1.0983258388426063</v>
          </cell>
          <cell r="Q14">
            <v>1.0721359227444334</v>
          </cell>
          <cell r="R14">
            <v>1.0571182606679477</v>
          </cell>
          <cell r="S14">
            <v>1.0571182606679477</v>
          </cell>
          <cell r="T14">
            <v>1.0571182606679477</v>
          </cell>
          <cell r="U14">
            <v>1.0571182606679477</v>
          </cell>
          <cell r="V14">
            <v>1.0571182606679477</v>
          </cell>
          <cell r="W14">
            <v>1.0571182606679477</v>
          </cell>
          <cell r="X14">
            <v>1.0571182606679477</v>
          </cell>
          <cell r="Y14">
            <v>1.0571182606679477</v>
          </cell>
          <cell r="Z14">
            <v>1.0571182606679477</v>
          </cell>
          <cell r="AA14">
            <v>1.0571182606679477</v>
          </cell>
          <cell r="AB14">
            <v>1.0571182606679477</v>
          </cell>
        </row>
        <row r="15">
          <cell r="B15" t="str">
            <v>Vélocité du PI</v>
          </cell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 t="e">
            <v>#DIV/0!</v>
          </cell>
          <cell r="W15" t="e">
            <v>#DIV/0!</v>
          </cell>
          <cell r="X15" t="e">
            <v>#DIV/0!</v>
          </cell>
          <cell r="Y15" t="e">
            <v>#DIV/0!</v>
          </cell>
          <cell r="Z15" t="e">
            <v>#DIV/0!</v>
          </cell>
          <cell r="AA15" t="e">
            <v>#DIV/0!</v>
          </cell>
          <cell r="AB15" t="e">
            <v>#DIV/0!</v>
          </cell>
        </row>
        <row r="16">
          <cell r="B16" t="str">
            <v>Evolution</v>
          </cell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/>
          <cell r="AA16"/>
          <cell r="AB16"/>
        </row>
        <row r="17">
          <cell r="B17" t="str">
            <v>Velocité 3 derniers PI</v>
          </cell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 t="e">
            <v>#DIV/0!</v>
          </cell>
          <cell r="W17" t="e">
            <v>#DIV/0!</v>
          </cell>
          <cell r="X17" t="e">
            <v>#DIV/0!</v>
          </cell>
          <cell r="Y17"/>
          <cell r="Z17"/>
          <cell r="AA17" t="e">
            <v>#DIV/0!</v>
          </cell>
          <cell r="AB17"/>
        </row>
        <row r="18">
          <cell r="B18" t="str">
            <v>Ratio Dev</v>
          </cell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</row>
        <row r="20">
          <cell r="B20" t="str">
            <v>Predictibilité</v>
          </cell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</row>
        <row r="22">
          <cell r="B22" t="str">
            <v>Commentaire</v>
          </cell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 t="e">
            <v>#DIV/0!</v>
          </cell>
          <cell r="X2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0AAD666-0C59-49EE-943F-18F9B76867B5}" autoFormatId="16" applyNumberFormats="0" applyBorderFormats="0" applyFontFormats="0" applyPatternFormats="0" applyAlignmentFormats="0" applyWidthHeightFormats="0">
  <queryTableRefresh nextId="9">
    <queryTableFields count="8">
      <queryTableField id="1" name="Area Path" tableColumnId="1"/>
      <queryTableField id="2" name="ID" tableColumnId="2"/>
      <queryTableField id="3" name="Work Item Type" tableColumnId="3"/>
      <queryTableField id="4" name="Title 1" tableColumnId="4"/>
      <queryTableField id="5" name="Title 2" tableColumnId="5"/>
      <queryTableField id="6" name="Assigned To" tableColumnId="6"/>
      <queryTableField id="7" name="State" tableColumnId="7"/>
      <queryTableField id="8" name="Tags" tableColumnId="8"/>
    </queryTableFields>
  </queryTableRefresh>
</queryTable>
</file>

<file path=xl/tables/_rels/table7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38F3D3-1CF9-4A5C-BB66-B4645B7092E5}" name="TableauSuiviSprint" displayName="TableauSuiviSprint" ref="AE4:BD45" totalsRowCount="1">
  <autoFilter ref="AE4:BD44" xr:uid="{00000000-0009-0000-0100-000002000000}"/>
  <sortState xmlns:xlrd2="http://schemas.microsoft.com/office/spreadsheetml/2017/richdata2" ref="AE5:BD44">
    <sortCondition ref="AL4:AL44"/>
  </sortState>
  <tableColumns count="26">
    <tableColumn id="6" xr3:uid="{0CDEF405-ED66-4550-AAFE-5763FE9A6DF8}" name="Affect" dataDxfId="74"/>
    <tableColumn id="24" xr3:uid="{F7A3F23E-36C7-49DF-B2F0-0316DEE3A741}" name="Techno" dataDxfId="73"/>
    <tableColumn id="20" xr3:uid="{CCDB2627-7C1D-4F24-89B5-90F703591125}" name="Appli." dataDxfId="72"/>
    <tableColumn id="1" xr3:uid="{B458CA08-3DCE-4E79-8636-5409F24DB023}" name="Code" totalsRowLabel="Total"/>
    <tableColumn id="23" xr3:uid="{FCD0D5DA-D0A7-4758-A552-F183368B04E6}" name="N° feature"/>
    <tableColumn id="22" xr3:uid="{3071B7CB-22CC-483E-82F0-818974A0B92E}" name="Nom feature" dataDxfId="71">
      <calculatedColumnFormula>IF(TableauSuiviSprint[[#This Row],[N° feature]]&lt;&gt;"",VLOOKUP(TableauSuiviSprint[[#This Row],[N° feature]],SSG_Features[[#All],[ID]:[Tags]],3,FALSE),"")</calculatedColumnFormula>
    </tableColumn>
    <tableColumn id="18" xr3:uid="{42CEBD5C-71C3-40D7-8ACC-296C06752C56}" name="Version" dataDxfId="70"/>
    <tableColumn id="19" xr3:uid="{957C6287-BDC6-4E18-B4D3-1AF9C0D2611A}" name="Prioritaire" dataDxfId="69"/>
    <tableColumn id="3" xr3:uid="{139039C2-89AF-4716-977B-EF36711009B8}" name="Détail" dataDxfId="68"/>
    <tableColumn id="2" xr3:uid="{40577912-4906-4242-BFB9-CF2F6B01DFC3}" name="SP" totalsRowFunction="sum" dataDxfId="67"/>
    <tableColumn id="28" xr3:uid="{C8719634-1274-4091-B3DA-1E9FDAA4AA63}" name="Dev" dataDxfId="66"/>
    <tableColumn id="27" xr3:uid="{B40BCDBA-52D3-47A8-87B4-1BCE56E88EA3}" name="TC / MR" dataDxfId="65"/>
    <tableColumn id="4" xr3:uid="{E68F2931-5088-43EA-ADE8-71EBD366D828}" name="H. Dev" totalsRowFunction="sum" totalsRowDxfId="64"/>
    <tableColumn id="21" xr3:uid="{88054BA7-472C-44DA-B223-F67922F675BD}" name="Heure tot DEV_x000A_ Consommé" totalsRowFunction="sum" totalsRowDxfId="63"/>
    <tableColumn id="5" xr3:uid="{6DF5ADCD-24DA-437E-8DE6-F9AFA4FC4D17}" name="H. Qualif" totalsRowFunction="sum"/>
    <tableColumn id="17" xr3:uid="{D9716627-04FC-4375-A9AC-1449B83E147E}" name="Init" totalsRowFunction="sum" dataDxfId="62">
      <calculatedColumnFormula>TableauSuiviSprint[[#This Row],[H. Dev]]+TableauSuiviSprint[[#This Row],[H. Qualif]]</calculatedColumnFormula>
    </tableColumn>
    <tableColumn id="7" xr3:uid="{15EA3410-447F-4AE9-9F8F-F1A84F6226BF}" name="J1" totalsRowFunction="sum" dataDxfId="61">
      <calculatedColumnFormula>TableauSuiviSprint[[#This Row],[Init]]</calculatedColumnFormula>
    </tableColumn>
    <tableColumn id="8" xr3:uid="{0380DC1A-4ECE-453A-A9D7-CEBB54DD1C24}" name="J2" totalsRowFunction="sum" dataDxfId="60">
      <calculatedColumnFormula>TableauSuiviSprint[[#This Row],[Init]]</calculatedColumnFormula>
    </tableColumn>
    <tableColumn id="9" xr3:uid="{78763929-A68F-437F-8194-9FC1DEE2E086}" name="J3" totalsRowFunction="sum" dataDxfId="59">
      <calculatedColumnFormula>TableauSuiviSprint[[#This Row],[J2]]</calculatedColumnFormula>
    </tableColumn>
    <tableColumn id="10" xr3:uid="{18CD15C3-CF01-4A28-AD62-297118FD6C7E}" name="J4" totalsRowFunction="sum" dataDxfId="58">
      <calculatedColumnFormula>TableauSuiviSprint[[#This Row],[J3]]</calculatedColumnFormula>
    </tableColumn>
    <tableColumn id="11" xr3:uid="{5B106D69-6C46-4809-9BB8-9553D02AC744}" name="J5" totalsRowFunction="sum" dataDxfId="57">
      <calculatedColumnFormula>TableauSuiviSprint[[#This Row],[J4]]</calculatedColumnFormula>
    </tableColumn>
    <tableColumn id="12" xr3:uid="{770E2EC4-27D0-4C12-B315-81464CB1331F}" name="J6" totalsRowFunction="sum" dataDxfId="56">
      <calculatedColumnFormula>TableauSuiviSprint[[#This Row],[J5]]</calculatedColumnFormula>
    </tableColumn>
    <tableColumn id="13" xr3:uid="{03545B1C-1DBA-45C5-A869-BE074DD40CC8}" name="J7" totalsRowFunction="sum" dataDxfId="55">
      <calculatedColumnFormula>TableauSuiviSprint[[#This Row],[J6]]</calculatedColumnFormula>
    </tableColumn>
    <tableColumn id="14" xr3:uid="{510E2C68-A97E-4C1A-B9BF-6215C9FEB673}" name="J8" totalsRowFunction="custom" dataDxfId="54">
      <calculatedColumnFormula>TableauSuiviSprint[[#This Row],[J7]]</calculatedColumnFormula>
      <totalsRowFormula>SUBTOTAL(109,TableauSuiviSprint[J8])-BB23</totalsRowFormula>
    </tableColumn>
    <tableColumn id="15" xr3:uid="{B2B5890E-C640-4276-B7C6-5159262C8339}" name="J9" totalsRowFunction="custom" dataDxfId="53">
      <calculatedColumnFormula>TableauSuiviSprint[[#This Row],[J8]]</calculatedColumnFormula>
      <totalsRowFormula>SUBTOTAL(109,TableauSuiviSprint[J9])-BC23</totalsRowFormula>
    </tableColumn>
    <tableColumn id="16" xr3:uid="{96C400CE-B2B0-4592-A1B9-286E924CB392}" name="J10" totalsRowFunction="custom" dataDxfId="52">
      <calculatedColumnFormula>TableauSuiviSprint[[#This Row],[J9]]</calculatedColumnFormula>
      <totalsRowFormula>SUBTOTAL(109,TableauSuiviSprint[J10])-BD23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8BF9A-56D4-4BFE-A83E-CBDF60261E6D}" name="tabPlanning" displayName="tabPlanning" ref="B42:C42" headerRowCount="0" totalsRowShown="0">
  <tableColumns count="2">
    <tableColumn id="1" xr3:uid="{640C10B0-4091-4F9F-B261-FC9AAFDCDD20}" name="Colonne1" headerRowDxfId="51" dataDxfId="50"/>
    <tableColumn id="2" xr3:uid="{3B1F1D8D-59FE-4989-93E7-1997C4ED8216}" name="Colonne2" headerRowDxfId="49" dataDxfId="48">
      <calculatedColumnFormula>IF(Total_jour_presence=J43,"OK","KO")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au6" displayName="Tableau6" ref="B3:J24" totalsRowCount="1" headerRowDxfId="47">
  <autoFilter ref="B3:J23" xr:uid="{00000000-0009-0000-0100-000008000000}"/>
  <sortState xmlns:xlrd2="http://schemas.microsoft.com/office/spreadsheetml/2017/richdata2" ref="B4:J23">
    <sortCondition ref="H3:H23"/>
  </sortState>
  <tableColumns count="9">
    <tableColumn id="1" xr3:uid="{00000000-0010-0000-0100-000001000000}" name="Techno" totalsRowLabel="Total" dataDxfId="46"/>
    <tableColumn id="6" xr3:uid="{00000000-0010-0000-0100-000006000000}" name="Appli" dataDxfId="45"/>
    <tableColumn id="2" xr3:uid="{00000000-0010-0000-0100-000002000000}" name="US" dataDxfId="44"/>
    <tableColumn id="7" xr3:uid="{06BB46E2-06CE-4CAC-84CE-EB4F4A35B2F6}" name="Feature"/>
    <tableColumn id="8" xr3:uid="{5062E86E-2E1D-423D-B700-CF729D9D8C39}" name="Nom feature" dataDxfId="43"/>
    <tableColumn id="9" xr3:uid="{704D70D2-F3E9-4F29-9420-F1EB3BB2CE74}" name="Version" dataDxfId="42"/>
    <tableColumn id="3" xr3:uid="{00000000-0010-0000-0100-000003000000}" name="Priorité" dataDxfId="41"/>
    <tableColumn id="4" xr3:uid="{00000000-0010-0000-0100-000004000000}" name="Détail" dataDxfId="40" totalsRowDxfId="39"/>
    <tableColumn id="5" xr3:uid="{00000000-0010-0000-0100-000005000000}" name="SP" totalsRowFunction="sum" dataDxfId="38" totalsRowDxfId="3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B50A01-4095-43D1-95A3-D434C4B17DC2}" name="TableauFinSprint" displayName="TableauFinSprint" ref="M3:AC28" totalsRowCount="1" headerRowDxfId="36" dataDxfId="34" headerRowBorderDxfId="35" tableBorderDxfId="33">
  <autoFilter ref="M3:AC27" xr:uid="{D9B50A01-4095-43D1-95A3-D434C4B17DC2}"/>
  <sortState xmlns:xlrd2="http://schemas.microsoft.com/office/spreadsheetml/2017/richdata2" ref="M4:AC22">
    <sortCondition descending="1" ref="M3:M22"/>
    <sortCondition ref="N3:N22"/>
    <sortCondition ref="R3:R22"/>
    <sortCondition ref="AA3:AA22"/>
  </sortState>
  <tableColumns count="17">
    <tableColumn id="2" xr3:uid="{F9D79DA9-C5ED-4C88-88CD-70F3FA6601C8}" name="Techno" totalsRowLabel="Total"/>
    <tableColumn id="4" xr3:uid="{3DE09C6D-3CDE-49BF-9C00-C5CFDB3B9D2C}" name="Appli"/>
    <tableColumn id="5" xr3:uid="{8EAF713D-244C-4266-9CB1-831E99516E4C}" name="US"/>
    <tableColumn id="19" xr3:uid="{474CE7E9-0A42-4DF3-8A9A-EB70344AAC3F}" name="N° feature"/>
    <tableColumn id="11" xr3:uid="{3CAC992A-84EB-43B6-98A7-F4D5B65F68F2}" name="Nom feature" dataDxfId="32">
      <calculatedColumnFormula>IF(TableauSuiviSprint[[#This Row],[N° feature]]&lt;&gt;"",VLOOKUP(TableauSuiviSprint[[#This Row],[N° feature]],SSG_Features[[#All],[ID]:[Tags]],3,FALSE),"")</calculatedColumnFormula>
    </tableColumn>
    <tableColumn id="7" xr3:uid="{0AFEF461-0386-44D1-B909-72AAAF1078F8}" name="Version"/>
    <tableColumn id="9" xr3:uid="{E7ECCB98-6631-4B06-A7CC-F61BE5046A6D}" name="Priorité"/>
    <tableColumn id="6" xr3:uid="{7D6F377C-7E65-4339-A3B9-BFA4B159DEC1}" name="Détail" totalsRowDxfId="31"/>
    <tableColumn id="13" xr3:uid="{181C97B3-3AFC-4ED7-AA09-855F744724DB}" name="SP" totalsRowFunction="sum" totalsRowDxfId="30"/>
    <tableColumn id="14" xr3:uid="{EC60AE7C-B005-4F35-B3F6-A418176E76F2}" name="Dev " totalsRowDxfId="29"/>
    <tableColumn id="16" xr3:uid="{2ACF1D08-14EE-406C-AA50-B32D8776DD27}" name="DEV TC + MR" totalsRowDxfId="28"/>
    <tableColumn id="15" xr3:uid="{8A9D32DE-F923-4F02-B20E-2030129645AA}" name="Heures de dev totales" totalsRowDxfId="27"/>
    <tableColumn id="18" xr3:uid="{E5351E04-2FF0-44FC-95DA-62F3541657FD}" name="Heure dev consommé" totalsRowDxfId="26"/>
    <tableColumn id="12" xr3:uid="{900430F0-2A4E-4F44-BB3D-D77D6148FB4C}" name="Type" dataDxfId="25" totalsRowDxfId="24"/>
    <tableColumn id="10" xr3:uid="{CF63DA62-A3AB-405D-B27B-4994D964E23A}" name="Livré" dataDxfId="23" totalsRowDxfId="22"/>
    <tableColumn id="8" xr3:uid="{408E7F6B-20CD-4BBF-9001-66EE94EA9F7E}" name="SP Livré" totalsRowFunction="sum" dataDxfId="21">
      <calculatedColumnFormula>IF(TableauFinSprint[[#This Row],[Livré]]="N",0,TableauFinSprint[[#This Row],[SP]])</calculatedColumnFormula>
    </tableColumn>
    <tableColumn id="3" xr3:uid="{479CBAC3-73EE-47E0-955E-5F342B588E1D}" name="Jour de dev" totalsRowFunction="sum" dataDxfId="20" totalsRowDxfId="19">
      <calculatedColumnFormula>IF(TableauFinSprint[[#This Row],[Livré]]="N",0,TableauFinSprint[[#This Row],[Heures de dev totales]]/HEURES)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859C9-D7AE-4D4C-AE0D-93105067455C}" name="Tableau65" displayName="Tableau65" ref="B26:J47" totalsRowCount="1" headerRowDxfId="18">
  <autoFilter ref="B26:J46" xr:uid="{DEA859C9-D7AE-4D4C-AE0D-93105067455C}"/>
  <sortState xmlns:xlrd2="http://schemas.microsoft.com/office/spreadsheetml/2017/richdata2" ref="B27:J46">
    <sortCondition ref="H26:H46"/>
  </sortState>
  <tableColumns count="9">
    <tableColumn id="1" xr3:uid="{E9E8530F-03B6-40BD-8707-AA34E40EB5A9}" name="Techno" totalsRowLabel="Total"/>
    <tableColumn id="6" xr3:uid="{82822945-93DA-4F28-9A9C-383990B972E6}" name="Appli" dataDxfId="17"/>
    <tableColumn id="2" xr3:uid="{7975A752-5719-41E9-AA61-E80CB7877945}" name="US"/>
    <tableColumn id="7" xr3:uid="{503EB6CD-6F50-48CA-B8F7-D036E0C5E159}" name="Feature"/>
    <tableColumn id="8" xr3:uid="{1271BE94-9878-407B-A7E0-0281E062ED55}" name="Nom feature" dataDxfId="16"/>
    <tableColumn id="9" xr3:uid="{080409C2-4EE7-4720-A8EB-41093BE34E2C}" name="Version" dataDxfId="15"/>
    <tableColumn id="3" xr3:uid="{05974B64-A31F-4FF9-9BBA-87CAD11E21D6}" name="Priorité" dataDxfId="14"/>
    <tableColumn id="4" xr3:uid="{0B49D41D-CCF6-4A2F-98E1-7120A5A59624}" name="Détail" dataDxfId="13" totalsRowDxfId="12"/>
    <tableColumn id="5" xr3:uid="{760A77D1-AC57-4246-899B-AB5598677265}" name="SP" totalsRowFunction="sum" dataDxfId="11" totalsRow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au5" displayName="Tableau5" ref="B5:H7" totalsRowShown="0">
  <autoFilter ref="B5:H7" xr:uid="{00000000-0009-0000-0100-000005000000}"/>
  <tableColumns count="7">
    <tableColumn id="1" xr3:uid="{00000000-0010-0000-0600-000001000000}" name="Application"/>
    <tableColumn id="2" xr3:uid="{00000000-0010-0000-0600-000002000000}" name="ID"/>
    <tableColumn id="3" xr3:uid="{00000000-0010-0000-0600-000003000000}" name="Sprint/version"/>
    <tableColumn id="4" xr3:uid="{00000000-0010-0000-0600-000004000000}" name="Description"/>
    <tableColumn id="5" xr3:uid="{00000000-0010-0000-0600-000005000000}" name="Statut" dataDxfId="9"/>
    <tableColumn id="6" xr3:uid="{00000000-0010-0000-0600-000006000000}" name="date ouverture" dataDxfId="8"/>
    <tableColumn id="7" xr3:uid="{00000000-0010-0000-0600-000007000000}" name="Commentaire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F91A00-2564-415E-BAAB-27ED1A771051}" name="SSG_Features" displayName="SSG_Features" ref="A1:H458" tableType="queryTable" totalsRowShown="0">
  <autoFilter ref="A1:H458" xr:uid="{AAF91A00-2564-415E-BAAB-27ED1A771051}"/>
  <tableColumns count="8">
    <tableColumn id="1" xr3:uid="{B2440FC3-5C8F-4310-B603-55A1A6BDE368}" uniqueName="1" name="Area Path" queryTableFieldId="1" dataDxfId="7"/>
    <tableColumn id="2" xr3:uid="{BFA763A6-B76F-4702-A01F-70D495900B9C}" uniqueName="2" name="ID" queryTableFieldId="2"/>
    <tableColumn id="3" xr3:uid="{C2F35102-F7B9-4D60-A5F7-C7957E69D929}" uniqueName="3" name="Work Item Type" queryTableFieldId="3" dataDxfId="6"/>
    <tableColumn id="4" xr3:uid="{F0C19671-2F6C-4778-8951-9FB4486D7B27}" uniqueName="4" name="Title 1" queryTableFieldId="4" dataDxfId="5"/>
    <tableColumn id="5" xr3:uid="{633D02EB-F8C8-4142-838B-ABB0D03EE000}" uniqueName="5" name="Title 2" queryTableFieldId="5" dataDxfId="4"/>
    <tableColumn id="6" xr3:uid="{A216C6A4-8D4E-4F89-8427-35288D9D7503}" uniqueName="6" name="Assigned To" queryTableFieldId="6" dataDxfId="3"/>
    <tableColumn id="7" xr3:uid="{CC21EC14-8C0C-4420-9B2F-7F4299DB8EE3}" uniqueName="7" name="State" queryTableFieldId="7" dataDxfId="2"/>
    <tableColumn id="8" xr3:uid="{9EC2E94B-A4F0-4016-BA50-31131383BAAB}" uniqueName="8" name="Tags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4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4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ADE4-90D9-49DE-9AF1-E32DE4960F8E}">
  <dimension ref="A1:BH72"/>
  <sheetViews>
    <sheetView tabSelected="1" topLeftCell="C11" zoomScale="60" zoomScaleNormal="60" workbookViewId="0">
      <selection activeCell="AR5" sqref="AR5:AR27"/>
    </sheetView>
  </sheetViews>
  <sheetFormatPr baseColWidth="10" defaultColWidth="11.42578125" defaultRowHeight="15" x14ac:dyDescent="0.25"/>
  <cols>
    <col min="2" max="2" bestFit="1" width="21.7109375" customWidth="1"/>
    <col min="3" max="3" width="14.28515625" customWidth="1"/>
    <col min="4" max="4" width="15.28515625" customWidth="1"/>
    <col min="5" max="5" bestFit="1" width="6.28515625" customWidth="1"/>
    <col min="6" max="6" bestFit="1" width="6.7109375" customWidth="1"/>
    <col min="7" max="7" bestFit="1" width="5.28515625" customWidth="1"/>
    <col min="8" max="8" bestFit="1" width="6.7109375" customWidth="1"/>
    <col min="9" max="9" bestFit="1" width="4.7109375" customWidth="1"/>
    <col min="10" max="10" width="9" customWidth="1"/>
    <col min="11" max="11" bestFit="1" width="4.5703125" customWidth="1"/>
    <col min="12" max="12" bestFit="1" width="4.5703125" customWidth="1"/>
    <col min="13" max="13" bestFit="1" width="7.42578125" customWidth="1"/>
    <col min="14" max="14" bestFit="1" width="4.28515625" customWidth="1"/>
    <col min="15" max="15" width="7.28515625" customWidth="1"/>
    <col min="16" max="16" bestFit="1" width="4.5703125" customWidth="1"/>
    <col min="17" max="17" width="5.28515625" customWidth="1"/>
    <col min="18" max="18" bestFit="1" width="8.5703125" customWidth="1"/>
    <col min="19" max="19" bestFit="1" width="4.7109375" customWidth="1"/>
    <col min="20" max="20" bestFit="1" width="4.5703125" customWidth="1"/>
    <col min="21" max="21" bestFit="1" width="4.7109375" customWidth="1"/>
    <col min="22" max="22" bestFit="1" width="4.5703125" customWidth="1"/>
    <col min="23" max="23" width="4.5703125" customWidth="1"/>
    <col min="24" max="24" bestFit="1" width="6" customWidth="1"/>
    <col min="25" max="25" bestFit="1" width="8.28515625" customWidth="1"/>
    <col min="26" max="26" bestFit="1" width="4.5703125" customWidth="1"/>
    <col min="27" max="27" width="11.7109375" customWidth="1"/>
    <col min="28" max="28" bestFit="1" width="4.5703125" customWidth="1"/>
    <col min="29" max="29" width="6.7109375" customWidth="1"/>
    <col min="30" max="30" bestFit="1" width="6.7109375" customWidth="1"/>
    <col min="31" max="31" width="10.5703125" customWidth="1"/>
    <col min="32" max="32" bestFit="1" width="9.7109375" customWidth="1"/>
    <col min="33" max="33" bestFit="1" width="8.5703125" customWidth="1"/>
    <col min="34" max="34" width="10.28515625" customWidth="1"/>
    <col min="35" max="35" bestFit="1" width="16" customWidth="1"/>
    <col min="36" max="36" width="23.7109375" customWidth="1"/>
    <col min="37" max="37" width="10.42578125" customWidth="1"/>
    <col min="38" max="38" width="8.7109375" customWidth="1"/>
    <col min="39" max="39" width="82" customWidth="1"/>
    <col min="40" max="40" bestFit="1" width="5.7109375" customWidth="1"/>
    <col min="41" max="41" bestFit="1" width="5.7109375" customWidth="1"/>
    <col min="42" max="42" bestFit="1" width="7" customWidth="1"/>
    <col min="43" max="43" bestFit="1" width="10.42578125" customWidth="1"/>
    <col min="44" max="44" bestFit="1" width="16.28515625" customWidth="1"/>
    <col min="45" max="45" width="17" customWidth="1"/>
    <col min="46" max="46" bestFit="1" width="11" customWidth="1"/>
    <col min="47" max="47" width="7.7109375" customWidth="1"/>
    <col min="48" max="48" width="7.7109375" customWidth="1"/>
    <col min="49" max="49" width="7.7109375" customWidth="1"/>
    <col min="50" max="50" width="7.7109375" customWidth="1"/>
    <col min="51" max="51" width="7.7109375" customWidth="1"/>
    <col min="52" max="52" width="7.7109375" customWidth="1"/>
    <col min="53" max="53" width="7.7109375" customWidth="1"/>
    <col min="54" max="54" width="7.7109375" customWidth="1"/>
    <col min="55" max="56" width="7.7109375" customWidth="1"/>
    <col min="57" max="57" bestFit="1" width="7.7109375" customWidth="1"/>
    <col min="59" max="59" bestFit="1" width="1.5703125" customWidth="1"/>
  </cols>
  <sheetData>
    <row r="1" hidden="1">
      <c r="AU1" s="115">
        <f>Param!A32</f>
        <v>45138</v>
      </c>
      <c r="AV1" s="115">
        <f>AU1+1</f>
        <v>45139</v>
      </c>
      <c r="AW1" s="115">
        <f>AV1+1</f>
        <v>45140</v>
      </c>
      <c r="AX1" s="115">
        <f>AW1+1</f>
        <v>45141</v>
      </c>
      <c r="AY1" s="115">
        <f>AX1+1</f>
        <v>45142</v>
      </c>
      <c r="AZ1" s="115">
        <f>AY1+3</f>
        <v>45145</v>
      </c>
      <c r="BA1" s="115">
        <f>AZ1+1</f>
        <v>45146</v>
      </c>
      <c r="BB1" s="115">
        <f>BA1+1</f>
        <v>45147</v>
      </c>
      <c r="BC1" s="115">
        <f>BB1+1</f>
        <v>45148</v>
      </c>
      <c r="BD1" s="115">
        <f>BC1+1</f>
        <v>45149</v>
      </c>
    </row>
    <row r="2">
      <c r="B2" s="0" t="s">
        <v>0</v>
      </c>
      <c r="C2" s="0">
        <v>6</v>
      </c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F2" s="247" t="s">
        <v>1</v>
      </c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68"/>
      <c r="AR2" s="326" t="s">
        <v>2</v>
      </c>
      <c r="AS2" s="68"/>
      <c r="AU2" s="248" t="s">
        <v>3</v>
      </c>
      <c r="AV2" s="248"/>
      <c r="AW2" s="248"/>
      <c r="AX2" s="248"/>
      <c r="AY2" s="248"/>
      <c r="AZ2" s="248"/>
      <c r="BA2" s="248"/>
      <c r="BB2" s="248"/>
      <c r="BC2" s="248"/>
      <c r="BD2" s="248"/>
    </row>
    <row r="3" ht="16.5">
      <c r="E3" s="249" t="s">
        <v>4</v>
      </c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O3" s="250" t="s">
        <v>5</v>
      </c>
      <c r="AP3" s="250"/>
      <c r="AU3" s="36" t="s">
        <v>6</v>
      </c>
      <c r="AV3" s="37" t="s">
        <v>7</v>
      </c>
      <c r="AW3" s="37" t="s">
        <v>8</v>
      </c>
      <c r="AX3" s="37" t="s">
        <v>9</v>
      </c>
      <c r="AY3" s="37" t="s">
        <v>10</v>
      </c>
      <c r="AZ3" s="38" t="s">
        <v>6</v>
      </c>
      <c r="BA3" s="39" t="s">
        <v>8</v>
      </c>
      <c r="BB3" s="39" t="s">
        <v>8</v>
      </c>
      <c r="BC3" s="39" t="s">
        <v>9</v>
      </c>
      <c r="BD3" s="40" t="s">
        <v>10</v>
      </c>
    </row>
    <row r="4" ht="60.75">
      <c r="A4" s="118" t="s">
        <v>11</v>
      </c>
      <c r="D4" s="89"/>
      <c r="E4" s="251" t="s">
        <v>12</v>
      </c>
      <c r="F4" s="252"/>
      <c r="G4" s="252"/>
      <c r="H4" s="252"/>
      <c r="I4" s="253"/>
      <c r="J4" s="254">
        <f>Param!A32</f>
        <v>45138</v>
      </c>
      <c r="K4" s="245"/>
      <c r="L4" s="245" t="s">
        <v>13</v>
      </c>
      <c r="M4" s="245"/>
      <c r="N4" s="245" t="s">
        <v>14</v>
      </c>
      <c r="O4" s="245"/>
      <c r="P4" s="245" t="s">
        <v>15</v>
      </c>
      <c r="Q4" s="245"/>
      <c r="R4" s="245" t="s">
        <v>16</v>
      </c>
      <c r="S4" s="246"/>
      <c r="T4" s="254" t="s">
        <v>17</v>
      </c>
      <c r="U4" s="254"/>
      <c r="V4" s="245" t="s">
        <v>18</v>
      </c>
      <c r="W4" s="245"/>
      <c r="X4" s="245" t="s">
        <v>19</v>
      </c>
      <c r="Y4" s="245"/>
      <c r="Z4" s="245" t="s">
        <v>20</v>
      </c>
      <c r="AA4" s="245"/>
      <c r="AB4" s="245" t="s">
        <v>21</v>
      </c>
      <c r="AC4" s="246"/>
      <c r="AE4" s="0" t="s">
        <v>22</v>
      </c>
      <c r="AF4" s="0" t="s">
        <v>23</v>
      </c>
      <c r="AG4" s="0" t="s">
        <v>24</v>
      </c>
      <c r="AH4" s="0" t="s">
        <v>25</v>
      </c>
      <c r="AI4" s="0" t="s">
        <v>26</v>
      </c>
      <c r="AJ4" s="0" t="s">
        <v>27</v>
      </c>
      <c r="AK4" s="0" t="s">
        <v>28</v>
      </c>
      <c r="AL4" s="0" t="s">
        <v>29</v>
      </c>
      <c r="AM4" s="0" t="s">
        <v>30</v>
      </c>
      <c r="AN4" s="0" t="s">
        <v>31</v>
      </c>
      <c r="AO4" s="42" t="s">
        <v>32</v>
      </c>
      <c r="AP4" s="42" t="s">
        <v>33</v>
      </c>
      <c r="AQ4" s="0" t="s">
        <v>34</v>
      </c>
      <c r="AR4" s="13" t="s">
        <v>35</v>
      </c>
      <c r="AS4" s="0" t="s">
        <v>36</v>
      </c>
      <c r="AT4" s="0" t="s">
        <v>37</v>
      </c>
      <c r="AU4" s="0" t="s">
        <v>38</v>
      </c>
      <c r="AV4" s="0" t="s">
        <v>13</v>
      </c>
      <c r="AW4" s="0" t="s">
        <v>14</v>
      </c>
      <c r="AX4" s="0" t="s">
        <v>15</v>
      </c>
      <c r="AY4" s="0" t="s">
        <v>16</v>
      </c>
      <c r="AZ4" s="0" t="s">
        <v>17</v>
      </c>
      <c r="BA4" s="0" t="s">
        <v>18</v>
      </c>
      <c r="BB4" s="0" t="s">
        <v>19</v>
      </c>
      <c r="BC4" s="0" t="s">
        <v>20</v>
      </c>
      <c r="BD4" s="0" t="s">
        <v>21</v>
      </c>
    </row>
    <row r="5" ht="75.75">
      <c r="B5" s="117"/>
      <c r="D5" s="88" t="s">
        <v>39</v>
      </c>
      <c r="E5" s="103" t="s">
        <v>40</v>
      </c>
      <c r="F5" s="104" t="s">
        <v>41</v>
      </c>
      <c r="G5" s="104" t="s">
        <v>42</v>
      </c>
      <c r="H5" s="104" t="s">
        <v>43</v>
      </c>
      <c r="I5" s="105" t="s">
        <v>44</v>
      </c>
      <c r="J5" s="106" t="s">
        <v>45</v>
      </c>
      <c r="K5" s="107" t="s">
        <v>46</v>
      </c>
      <c r="L5" s="107" t="s">
        <v>45</v>
      </c>
      <c r="M5" s="107" t="s">
        <v>46</v>
      </c>
      <c r="N5" s="107" t="s">
        <v>45</v>
      </c>
      <c r="O5" s="107" t="s">
        <v>46</v>
      </c>
      <c r="P5" s="107" t="s">
        <v>45</v>
      </c>
      <c r="Q5" s="107" t="s">
        <v>46</v>
      </c>
      <c r="R5" s="107" t="s">
        <v>45</v>
      </c>
      <c r="S5" s="108" t="s">
        <v>46</v>
      </c>
      <c r="T5" s="106" t="s">
        <v>45</v>
      </c>
      <c r="U5" s="107" t="s">
        <v>46</v>
      </c>
      <c r="V5" s="107" t="s">
        <v>45</v>
      </c>
      <c r="W5" s="107" t="s">
        <v>46</v>
      </c>
      <c r="X5" s="107" t="s">
        <v>45</v>
      </c>
      <c r="Y5" s="107" t="s">
        <v>46</v>
      </c>
      <c r="Z5" s="107" t="s">
        <v>45</v>
      </c>
      <c r="AA5" s="107" t="s">
        <v>46</v>
      </c>
      <c r="AB5" s="107" t="s">
        <v>45</v>
      </c>
      <c r="AC5" s="108" t="s">
        <v>46</v>
      </c>
      <c r="AF5" s="134" t="s">
        <v>47</v>
      </c>
      <c r="AG5" s="0" t="s">
        <v>48</v>
      </c>
      <c r="AH5" s="0">
        <v>12269</v>
      </c>
      <c r="AI5" s="0">
        <v>8554</v>
      </c>
      <c r="AJ5" s="13" t="str">
        <f>IF(TABLEAUSUIVISPRINT[[#THIS ROW],[N° FEATURE]]&lt;&gt;"",VLOOKUP(TABLEAUSUIVISPRINT[[#THIS ROW],[N° FEATURE]],SSG_FEATURES[[#ALL],[ID]:[TAGS]],3,FALSE),"")</f>
        <v>[Designer] S221018_040 Demande d'évolution distribution CAP-Utilisation d'une scannette</v>
      </c>
      <c r="AK5" s="8" t="s">
        <v>49</v>
      </c>
      <c r="AL5" s="9">
        <v>1</v>
      </c>
      <c r="AM5" s="92" t="s">
        <v>50</v>
      </c>
      <c r="AN5" s="34">
        <v>2</v>
      </c>
      <c r="AO5" s="52">
        <v>9</v>
      </c>
      <c r="AP5" s="52">
        <v>2</v>
      </c>
      <c r="AQ5" s="32">
        <f>TableauSuiviSprint[[#This Row],[Dev]]+TableauSuiviSprint[[#This Row],[TC / MR]]</f>
        <v>11</v>
      </c>
      <c r="AR5" s="90">
        <v>8.5</v>
      </c>
      <c r="AS5" s="0">
        <v>3</v>
      </c>
      <c r="AT5" s="11">
        <f>TABLEAUSUIVISPRINT[[#THIS ROW],[H. DEV]]+TABLEAUSUIVISPRINT[[#THIS ROW],[H. QUALIF]]</f>
        <v>14</v>
      </c>
      <c r="AU5" s="11">
        <f>TABLEAUSUIVISPRINT[[#THIS ROW],[INIT]]</f>
        <v>12</v>
      </c>
      <c r="AV5" s="188">
        <f>TABLEAUSUIVISPRINT[[#THIS ROW],[INIT]]</f>
        <v>3</v>
      </c>
      <c r="AW5" s="188">
        <f>TABLEAUSUIVISPRINT[[#THIS ROW],[J2]]</f>
        <v>3</v>
      </c>
      <c r="AX5" s="192">
        <f>TABLEAUSUIVISPRINT[[#THIS ROW],[J3]]</f>
        <v>2</v>
      </c>
      <c r="AY5" s="193">
        <f>TABLEAUSUIVISPRINT[[#THIS ROW],[J4]]</f>
        <v>0</v>
      </c>
      <c r="AZ5" s="193">
        <f>TABLEAUSUIVISPRINT[[#THIS ROW],[J5]]</f>
        <v>0</v>
      </c>
      <c r="BA5" s="193">
        <f>TABLEAUSUIVISPRINT[[#THIS ROW],[J6]]</f>
        <v>0</v>
      </c>
      <c r="BB5" s="193">
        <f>TABLEAUSUIVISPRINT[[#THIS ROW],[J7]]</f>
        <v>0</v>
      </c>
      <c r="BC5" s="193">
        <f>TABLEAUSUIVISPRINT[[#THIS ROW],[J8]]</f>
        <v>0</v>
      </c>
      <c r="BD5" s="216">
        <f>TABLEAUSUIVISPRINT[[#THIS ROW],[J9]]</f>
        <v>0</v>
      </c>
    </row>
    <row r="6" ht="75">
      <c r="A6" s="255">
        <f>[1]Planning!$PZ$14</f>
        <v>10</v>
      </c>
      <c r="B6" s="53" t="s">
        <v>51</v>
      </c>
      <c r="C6" s="138">
        <v>0.75</v>
      </c>
      <c r="D6" s="111">
        <f>COUNTA(J6:AC6)/2 +COUNTBLANK(J6:AC6)/2 -COUNTIFS(J6:AC6,"O")/2 - COUNTIFS(J6:AC6,"A")/2</f>
        <v>10</v>
      </c>
      <c r="E6" s="127">
        <f>COUNTIF($J6:$AC6,"&lt;&gt;o" )/2*C6 -SUM($F6:$I6)</f>
        <v>0.75</v>
      </c>
      <c r="F6" s="128">
        <f>COUNTIF($J6:$AC6,"S")/2*C6</f>
        <v>0</v>
      </c>
      <c r="G6" s="128">
        <f>COUNTIF($J6:$AC6,"Q")/2*C6</f>
        <v>0</v>
      </c>
      <c r="H6" s="128">
        <f>COUNTIF($J6:$AC6,"T")/2*C6</f>
        <v>0</v>
      </c>
      <c r="I6" s="142">
        <f ref="I6:I25" t="shared" si="0">COUNTIF($J6:$AC6,"D")/2*C6</f>
        <v>6.75</v>
      </c>
      <c r="J6" s="146"/>
      <c r="K6" s="29" t="s">
        <v>52</v>
      </c>
      <c r="L6" s="29" t="s">
        <v>52</v>
      </c>
      <c r="M6" s="29" t="s">
        <v>52</v>
      </c>
      <c r="N6" s="29" t="s">
        <v>52</v>
      </c>
      <c r="O6" s="29" t="s">
        <v>52</v>
      </c>
      <c r="P6" s="29" t="s">
        <v>52</v>
      </c>
      <c r="Q6" s="29" t="s">
        <v>52</v>
      </c>
      <c r="R6" s="29" t="s">
        <v>52</v>
      </c>
      <c r="S6" s="149" t="s">
        <v>52</v>
      </c>
      <c r="T6" s="146" t="s">
        <v>52</v>
      </c>
      <c r="U6" s="29" t="s">
        <v>52</v>
      </c>
      <c r="V6" s="29" t="s">
        <v>52</v>
      </c>
      <c r="W6" s="29" t="s">
        <v>52</v>
      </c>
      <c r="X6" s="29" t="s">
        <v>52</v>
      </c>
      <c r="Y6" s="29" t="s">
        <v>52</v>
      </c>
      <c r="Z6" s="29" t="s">
        <v>52</v>
      </c>
      <c r="AA6" s="29" t="s">
        <v>52</v>
      </c>
      <c r="AB6" s="95" t="s">
        <v>52</v>
      </c>
      <c r="AC6" s="96"/>
      <c r="AF6" s="134" t="s">
        <v>47</v>
      </c>
      <c r="AG6" s="0" t="s">
        <v>48</v>
      </c>
      <c r="AH6" s="0">
        <v>12277</v>
      </c>
      <c r="AI6" s="0">
        <v>8554</v>
      </c>
      <c r="AJ6" s="13" t="str">
        <f>IF(TABLEAUSUIVISPRINT[[#THIS ROW],[N° FEATURE]]&lt;&gt;"",VLOOKUP(TABLEAUSUIVISPRINT[[#THIS ROW],[N° FEATURE]],SSG_FEATURES[[#ALL],[ID]:[TAGS]],3,FALSE),"")</f>
        <v>[Designer] S221018_040 Demande d'évolution distribution CAP-Utilisation d'une scannette</v>
      </c>
      <c r="AK6" s="8" t="s">
        <v>49</v>
      </c>
      <c r="AL6" s="9">
        <v>2</v>
      </c>
      <c r="AM6" s="13" t="s">
        <v>53</v>
      </c>
      <c r="AN6" s="34">
        <v>3</v>
      </c>
      <c r="AO6" s="52">
        <v>14</v>
      </c>
      <c r="AP6" s="52">
        <v>3</v>
      </c>
      <c r="AQ6" s="32">
        <f>TableauSuiviSprint[[#This Row],[Dev]]+TableauSuiviSprint[[#This Row],[TC / MR]]</f>
        <v>17</v>
      </c>
      <c r="AR6" s="90">
        <v>8</v>
      </c>
      <c r="AS6" s="0">
        <v>5</v>
      </c>
      <c r="AT6" s="11">
        <f>TABLEAUSUIVISPRINT[[#THIS ROW],[H. DEV]]+TABLEAUSUIVISPRINT[[#THIS ROW],[H. QUALIF]]</f>
        <v>22</v>
      </c>
      <c r="AU6" s="0">
        <f>TABLEAUSUIVISPRINT[[#THIS ROW],[INIT]]</f>
        <v>22</v>
      </c>
      <c r="AV6" s="11">
        <f>TABLEAUSUIVISPRINT[[#THIS ROW],[INIT]]</f>
        <v>21</v>
      </c>
      <c r="AW6" s="188">
        <f>TABLEAUSUIVISPRINT[[#THIS ROW],[J2]]</f>
        <v>8</v>
      </c>
      <c r="AX6" s="192">
        <f>TABLEAUSUIVISPRINT[[#THIS ROW],[J3]]</f>
        <v>3</v>
      </c>
      <c r="AY6" s="193">
        <f>TABLEAUSUIVISPRINT[[#THIS ROW],[J4]]</f>
        <v>0</v>
      </c>
      <c r="AZ6" s="193">
        <f>TABLEAUSUIVISPRINT[[#THIS ROW],[J5]]</f>
        <v>0</v>
      </c>
      <c r="BA6" s="193">
        <f>TABLEAUSUIVISPRINT[[#THIS ROW],[J6]]</f>
        <v>0</v>
      </c>
      <c r="BB6" s="193">
        <f>TABLEAUSUIVISPRINT[[#THIS ROW],[J7]]</f>
        <v>0</v>
      </c>
      <c r="BC6" s="193">
        <f>TABLEAUSUIVISPRINT[[#THIS ROW],[J8]]</f>
        <v>0</v>
      </c>
      <c r="BD6" s="216">
        <f>TABLEAUSUIVISPRINT[[#THIS ROW],[J9]]</f>
        <v>0</v>
      </c>
    </row>
    <row r="7" ht="33" customHeight="1">
      <c r="A7" s="256"/>
      <c r="B7" s="55" t="s">
        <v>51</v>
      </c>
      <c r="C7" s="139">
        <v>1</v>
      </c>
      <c r="D7" s="126"/>
      <c r="E7" s="124"/>
      <c r="F7" s="125"/>
      <c r="G7" s="125"/>
      <c r="H7" s="125"/>
      <c r="I7" s="143">
        <f t="shared" si="0"/>
        <v>0</v>
      </c>
      <c r="J7" s="133" t="s">
        <v>54</v>
      </c>
      <c r="K7" s="7" t="s">
        <v>54</v>
      </c>
      <c r="L7" s="7" t="s">
        <v>54</v>
      </c>
      <c r="M7" s="7" t="s">
        <v>54</v>
      </c>
      <c r="N7" s="7" t="s">
        <v>54</v>
      </c>
      <c r="O7" s="7" t="s">
        <v>54</v>
      </c>
      <c r="P7" s="7" t="s">
        <v>54</v>
      </c>
      <c r="Q7" s="7" t="s">
        <v>54</v>
      </c>
      <c r="R7" s="7" t="s">
        <v>54</v>
      </c>
      <c r="S7" s="150" t="s">
        <v>54</v>
      </c>
      <c r="T7" s="133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31" t="s">
        <v>54</v>
      </c>
      <c r="AC7" s="75" t="s">
        <v>54</v>
      </c>
      <c r="AF7" s="134" t="s">
        <v>47</v>
      </c>
      <c r="AG7" s="0" t="s">
        <v>55</v>
      </c>
      <c r="AH7" s="0">
        <v>10679</v>
      </c>
      <c r="AI7" s="0">
        <v>9308</v>
      </c>
      <c r="AJ7" s="13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7" s="8" t="s">
        <v>56</v>
      </c>
      <c r="AL7" s="9">
        <v>3</v>
      </c>
      <c r="AM7" s="13" t="s">
        <v>57</v>
      </c>
      <c r="AN7" s="34">
        <v>2</v>
      </c>
      <c r="AO7" s="52">
        <v>8</v>
      </c>
      <c r="AP7" s="52">
        <v>2</v>
      </c>
      <c r="AQ7" s="32">
        <v>10</v>
      </c>
      <c r="AR7" s="90">
        <v>2</v>
      </c>
      <c r="AS7" s="0">
        <v>4</v>
      </c>
      <c r="AT7" s="11">
        <f>TABLEAUSUIVISPRINT[[#THIS ROW],[H. DEV]]+TABLEAUSUIVISPRINT[[#THIS ROW],[H. QUALIF]]</f>
        <v>14</v>
      </c>
      <c r="AU7" s="179">
        <f>TABLEAUSUIVISPRINT[[#THIS ROW],[INIT]]</f>
        <v>6</v>
      </c>
      <c r="AV7" s="179">
        <f>TABLEAUSUIVISPRINT[[#THIS ROW],[INIT]]</f>
        <v>4.5</v>
      </c>
      <c r="AW7" s="179">
        <f>TABLEAUSUIVISPRINT[[#THIS ROW],[J2]]</f>
        <v>4.5</v>
      </c>
      <c r="AX7" s="192">
        <f>TABLEAUSUIVISPRINT[[#THIS ROW],[J3]]</f>
        <v>2.5</v>
      </c>
      <c r="AY7" s="193">
        <f>TABLEAUSUIVISPRINT[[#THIS ROW],[J4]]</f>
        <v>0</v>
      </c>
      <c r="AZ7" s="193">
        <f>TABLEAUSUIVISPRINT[[#THIS ROW],[J5]]</f>
        <v>0</v>
      </c>
      <c r="BA7" s="193">
        <f>TABLEAUSUIVISPRINT[[#THIS ROW],[J6]]</f>
        <v>0</v>
      </c>
      <c r="BB7" s="193">
        <f>TABLEAUSUIVISPRINT[[#THIS ROW],[J7]]</f>
        <v>0</v>
      </c>
      <c r="BC7" s="193">
        <f>TABLEAUSUIVISPRINT[[#THIS ROW],[J8]]</f>
        <v>0</v>
      </c>
      <c r="BD7" s="216">
        <f>TABLEAUSUIVISPRINT[[#THIS ROW],[J9]]</f>
        <v>0</v>
      </c>
    </row>
    <row r="8" ht="34.5" customHeight="1">
      <c r="A8" s="119">
        <f>[1]Planning!$PZ$14</f>
        <v>10</v>
      </c>
      <c r="B8" s="54" t="s">
        <v>58</v>
      </c>
      <c r="C8" s="139">
        <v>0.75</v>
      </c>
      <c r="D8" s="112">
        <f ref="D8:D25" t="shared" si="1">COUNTA(J8:AC8)/2 +COUNTBLANK(J8:AC8)/2 -COUNTIFS(J8:AC8,"O")/2 - COUNTIFS(J8:AC8,"A")/2</f>
        <v>10</v>
      </c>
      <c r="E8" s="84">
        <f ref="E8:E25" t="shared" si="2">COUNTIF($J8:$AC8,"&lt;&gt;o" )/2*C8 -SUM($F8:$I8)</f>
        <v>2.25</v>
      </c>
      <c r="F8" s="76">
        <f ref="F8:F25" t="shared" si="3">COUNTIF($J8:$AC8,"S")/2*C8</f>
        <v>0</v>
      </c>
      <c r="G8" s="76">
        <f ref="G8:G25" t="shared" si="4">COUNTIF($J8:$AC8,"Q")/2*C8</f>
        <v>0</v>
      </c>
      <c r="H8" s="76">
        <f ref="H8:H25" t="shared" si="5">COUNTIF($J8:$AC8,"T")/2*C8</f>
        <v>5.25</v>
      </c>
      <c r="I8" s="144">
        <f t="shared" si="0"/>
        <v>0</v>
      </c>
      <c r="J8" s="133"/>
      <c r="K8" s="7"/>
      <c r="L8" s="7"/>
      <c r="M8" s="7"/>
      <c r="N8" s="7" t="s">
        <v>59</v>
      </c>
      <c r="O8" s="7" t="s">
        <v>59</v>
      </c>
      <c r="P8" s="7" t="s">
        <v>59</v>
      </c>
      <c r="Q8" s="7" t="s">
        <v>59</v>
      </c>
      <c r="R8" s="7" t="s">
        <v>59</v>
      </c>
      <c r="S8" s="150" t="s">
        <v>59</v>
      </c>
      <c r="T8" s="147" t="s">
        <v>59</v>
      </c>
      <c r="U8" s="31" t="s">
        <v>59</v>
      </c>
      <c r="V8" s="31" t="s">
        <v>59</v>
      </c>
      <c r="W8" s="31" t="s">
        <v>60</v>
      </c>
      <c r="X8" s="31" t="s">
        <v>59</v>
      </c>
      <c r="Y8" s="31" t="s">
        <v>59</v>
      </c>
      <c r="Z8" s="31" t="s">
        <v>59</v>
      </c>
      <c r="AA8" s="31" t="s">
        <v>59</v>
      </c>
      <c r="AB8" s="31"/>
      <c r="AC8" s="75"/>
      <c r="AF8" s="134" t="s">
        <v>47</v>
      </c>
      <c r="AG8" s="0" t="s">
        <v>55</v>
      </c>
      <c r="AH8" s="0">
        <v>10706</v>
      </c>
      <c r="AI8" s="0">
        <v>9308</v>
      </c>
      <c r="AJ8" s="13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8" s="8" t="s">
        <v>56</v>
      </c>
      <c r="AL8" s="9">
        <v>4</v>
      </c>
      <c r="AM8" s="13" t="s">
        <v>61</v>
      </c>
      <c r="AN8" s="34">
        <v>2</v>
      </c>
      <c r="AO8" s="52">
        <v>9</v>
      </c>
      <c r="AP8" s="52">
        <v>2</v>
      </c>
      <c r="AQ8" s="32">
        <f>TableauSuiviSprint[[#This Row],[Dev]]+TableauSuiviSprint[[#This Row],[TC / MR]]</f>
        <v>11</v>
      </c>
      <c r="AR8" s="90">
        <v>6</v>
      </c>
      <c r="AS8" s="32">
        <v>2</v>
      </c>
      <c r="AT8" s="11">
        <f>TABLEAUSUIVISPRINT[[#THIS ROW],[H. DEV]]+TABLEAUSUIVISPRINT[[#THIS ROW],[H. QUALIF]]</f>
        <v>13</v>
      </c>
      <c r="AU8" s="11">
        <f>TABLEAUSUIVISPRINT[[#THIS ROW],[INIT]]</f>
        <v>9</v>
      </c>
      <c r="AV8" s="179">
        <f>TABLEAUSUIVISPRINT[[#THIS ROW],[INIT]]</f>
        <v>4</v>
      </c>
      <c r="AW8" s="179">
        <f>TABLEAUSUIVISPRINT[[#THIS ROW],[J2]]</f>
        <v>4</v>
      </c>
      <c r="AX8" s="192">
        <f>TABLEAUSUIVISPRINT[[#THIS ROW],[J3]]</f>
        <v>2</v>
      </c>
      <c r="AY8" s="193">
        <f>TABLEAUSUIVISPRINT[[#THIS ROW],[J4]]</f>
        <v>0</v>
      </c>
      <c r="AZ8" s="193">
        <f>TABLEAUSUIVISPRINT[[#THIS ROW],[J5]]</f>
        <v>0</v>
      </c>
      <c r="BA8" s="193">
        <f>TABLEAUSUIVISPRINT[[#THIS ROW],[J6]]</f>
        <v>0</v>
      </c>
      <c r="BB8" s="193">
        <f>TABLEAUSUIVISPRINT[[#THIS ROW],[J7]]</f>
        <v>0</v>
      </c>
      <c r="BC8" s="193">
        <f>TABLEAUSUIVISPRINT[[#THIS ROW],[J8]]</f>
        <v>0</v>
      </c>
      <c r="BD8" s="216">
        <f>TABLEAUSUIVISPRINT[[#THIS ROW],[J9]]</f>
        <v>0</v>
      </c>
    </row>
    <row r="9" ht="30.75" customHeight="1">
      <c r="A9" s="119"/>
      <c r="B9" s="55" t="s">
        <v>62</v>
      </c>
      <c r="C9" s="139">
        <v>1</v>
      </c>
      <c r="D9" s="112">
        <f t="shared" si="1"/>
        <v>10</v>
      </c>
      <c r="E9" s="84">
        <f t="shared" si="2"/>
        <v>9</v>
      </c>
      <c r="F9" s="76">
        <f t="shared" si="3"/>
        <v>0</v>
      </c>
      <c r="G9" s="76">
        <f t="shared" si="4"/>
        <v>0</v>
      </c>
      <c r="H9" s="76">
        <f t="shared" si="5"/>
        <v>0</v>
      </c>
      <c r="I9" s="144">
        <f t="shared" si="0"/>
        <v>1</v>
      </c>
      <c r="J9" s="133"/>
      <c r="K9" s="7"/>
      <c r="L9" s="7" t="s">
        <v>63</v>
      </c>
      <c r="M9" s="7" t="s">
        <v>63</v>
      </c>
      <c r="N9" s="7" t="s">
        <v>63</v>
      </c>
      <c r="O9" s="7" t="s">
        <v>63</v>
      </c>
      <c r="P9" s="7" t="s">
        <v>52</v>
      </c>
      <c r="Q9" s="7" t="s">
        <v>52</v>
      </c>
      <c r="R9" s="7"/>
      <c r="S9" s="150"/>
      <c r="T9" s="133"/>
      <c r="U9" s="7"/>
      <c r="V9" s="7" t="s">
        <v>63</v>
      </c>
      <c r="W9" s="7" t="s">
        <v>63</v>
      </c>
      <c r="X9" s="7" t="s">
        <v>63</v>
      </c>
      <c r="Y9" s="7" t="s">
        <v>63</v>
      </c>
      <c r="Z9" s="7"/>
      <c r="AA9" s="7"/>
      <c r="AB9" s="7"/>
      <c r="AC9" s="30"/>
      <c r="AF9" s="134" t="s">
        <v>47</v>
      </c>
      <c r="AG9" s="0" t="s">
        <v>55</v>
      </c>
      <c r="AH9" s="0">
        <v>10703</v>
      </c>
      <c r="AI9" s="0">
        <v>9308</v>
      </c>
      <c r="AJ9" s="13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9" s="8" t="s">
        <v>56</v>
      </c>
      <c r="AL9" s="9">
        <v>5</v>
      </c>
      <c r="AM9" s="13" t="s">
        <v>64</v>
      </c>
      <c r="AN9" s="34">
        <v>3</v>
      </c>
      <c r="AO9" s="52">
        <v>14</v>
      </c>
      <c r="AP9" s="52">
        <v>3</v>
      </c>
      <c r="AQ9" s="32">
        <f>TableauSuiviSprint[[#This Row],[Dev]]+TableauSuiviSprint[[#This Row],[TC / MR]]</f>
        <v>17</v>
      </c>
      <c r="AR9" s="90">
        <v>19.5</v>
      </c>
      <c r="AS9" s="32">
        <v>5</v>
      </c>
      <c r="AT9" s="11">
        <f>TABLEAUSUIVISPRINT[[#THIS ROW],[H. DEV]]+TABLEAUSUIVISPRINT[[#THIS ROW],[H. QUALIF]]</f>
        <v>22</v>
      </c>
      <c r="AU9" s="11">
        <f>TABLEAUSUIVISPRINT[[#THIS ROW],[INIT]]</f>
        <v>22</v>
      </c>
      <c r="AV9" s="11">
        <f>TABLEAUSUIVISPRINT[[#THIS ROW],[INIT]]</f>
        <v>14</v>
      </c>
      <c r="AW9" s="179">
        <f>TABLEAUSUIVISPRINT[[#THIS ROW],[J2]]</f>
        <v>7</v>
      </c>
      <c r="AX9" s="179">
        <f>TABLEAUSUIVISPRINT[[#THIS ROW],[J3]]</f>
        <v>7</v>
      </c>
      <c r="AY9" s="179">
        <f>TABLEAUSUIVISPRINT[[#THIS ROW],[J4]]</f>
        <v>7</v>
      </c>
      <c r="AZ9" s="192">
        <f>TABLEAUSUIVISPRINT[[#THIS ROW],[J5]]</f>
        <v>4</v>
      </c>
      <c r="BA9" s="192">
        <f>TABLEAUSUIVISPRINT[[#THIS ROW],[J6]]</f>
        <v>2</v>
      </c>
      <c r="BB9" s="193">
        <f>TABLEAUSUIVISPRINT[[#THIS ROW],[J7]]</f>
        <v>0</v>
      </c>
      <c r="BC9" s="193">
        <f>TABLEAUSUIVISPRINT[[#THIS ROW],[J8]]</f>
        <v>0</v>
      </c>
      <c r="BD9" s="216">
        <f>TABLEAUSUIVISPRINT[[#THIS ROW],[J9]]</f>
        <v>0</v>
      </c>
    </row>
    <row r="10" ht="34.5" customHeight="1">
      <c r="A10" s="255">
        <f>[1]Planning!$PZ$13</f>
        <v>10</v>
      </c>
      <c r="B10" s="54" t="s">
        <v>65</v>
      </c>
      <c r="C10" s="139">
        <v>0</v>
      </c>
      <c r="D10" s="112">
        <f t="shared" si="1"/>
        <v>0</v>
      </c>
      <c r="E10" s="84">
        <f t="shared" si="2"/>
        <v>0</v>
      </c>
      <c r="F10" s="76">
        <f t="shared" si="3"/>
        <v>0</v>
      </c>
      <c r="G10" s="76">
        <f t="shared" si="4"/>
        <v>0</v>
      </c>
      <c r="H10" s="76">
        <f t="shared" si="5"/>
        <v>0</v>
      </c>
      <c r="I10" s="144">
        <f t="shared" si="0"/>
        <v>0</v>
      </c>
      <c r="J10" s="147" t="s">
        <v>54</v>
      </c>
      <c r="K10" s="31" t="s">
        <v>54</v>
      </c>
      <c r="L10" s="31" t="s">
        <v>54</v>
      </c>
      <c r="M10" s="31" t="s">
        <v>54</v>
      </c>
      <c r="N10" s="31" t="s">
        <v>54</v>
      </c>
      <c r="O10" s="31" t="s">
        <v>54</v>
      </c>
      <c r="P10" s="31" t="s">
        <v>54</v>
      </c>
      <c r="Q10" s="31" t="s">
        <v>54</v>
      </c>
      <c r="R10" s="31" t="s">
        <v>54</v>
      </c>
      <c r="S10" s="151" t="s">
        <v>54</v>
      </c>
      <c r="T10" s="147" t="s">
        <v>54</v>
      </c>
      <c r="U10" s="31" t="s">
        <v>54</v>
      </c>
      <c r="V10" s="7" t="s">
        <v>54</v>
      </c>
      <c r="W10" s="31" t="s">
        <v>54</v>
      </c>
      <c r="X10" s="31" t="s">
        <v>54</v>
      </c>
      <c r="Y10" s="31" t="s">
        <v>54</v>
      </c>
      <c r="Z10" s="31" t="s">
        <v>54</v>
      </c>
      <c r="AA10" s="31" t="s">
        <v>54</v>
      </c>
      <c r="AB10" s="31" t="s">
        <v>54</v>
      </c>
      <c r="AC10" s="75" t="s">
        <v>54</v>
      </c>
      <c r="AF10" s="134" t="s">
        <v>47</v>
      </c>
      <c r="AG10" s="0" t="s">
        <v>48</v>
      </c>
      <c r="AH10" s="0">
        <v>12043</v>
      </c>
      <c r="AI10" s="0">
        <v>11918</v>
      </c>
      <c r="AJ10" s="13" t="str">
        <f>IF(TABLEAUSUIVISPRINT[[#THIS ROW],[N° FEATURE]]&lt;&gt;"",VLOOKUP(TABLEAUSUIVISPRINT[[#THIS ROW],[N° FEATURE]],SSG_FEATURES[[#ALL],[ID]:[TAGS]],3,FALSE),"")</f>
        <v>[DESIGNER] [Priorité haute] Diverses évolutions N°2 du 16/06/2023</v>
      </c>
      <c r="AK10" s="8" t="s">
        <v>66</v>
      </c>
      <c r="AL10" s="9">
        <v>6</v>
      </c>
      <c r="AM10" s="13" t="s">
        <v>67</v>
      </c>
      <c r="AN10" s="34">
        <v>5</v>
      </c>
      <c r="AO10" s="52">
        <v>23</v>
      </c>
      <c r="AP10" s="52">
        <v>6</v>
      </c>
      <c r="AQ10" s="32">
        <f>TableauSuiviSprint[[#This Row],[Dev]]+TableauSuiviSprint[[#This Row],[TC / MR]]</f>
        <v>29</v>
      </c>
      <c r="AR10" s="90">
        <v>30</v>
      </c>
      <c r="AS10" s="32">
        <v>6</v>
      </c>
      <c r="AT10" s="11">
        <f>TABLEAUSUIVISPRINT[[#THIS ROW],[H. DEV]]+TABLEAUSUIVISPRINT[[#THIS ROW],[H. QUALIF]]</f>
        <v>35</v>
      </c>
      <c r="AU10" s="11">
        <f>TABLEAUSUIVISPRINT[[#THIS ROW],[INIT]]</f>
        <v>31</v>
      </c>
      <c r="AV10" s="11">
        <f>TABLEAUSUIVISPRINT[[#THIS ROW],[INIT]]</f>
        <v>25.5</v>
      </c>
      <c r="AW10" s="11">
        <f>TABLEAUSUIVISPRINT[[#THIS ROW],[J2]]</f>
        <v>20</v>
      </c>
      <c r="AX10" s="11">
        <f>TABLEAUSUIVISPRINT[[#THIS ROW],[J3]]</f>
        <v>15</v>
      </c>
      <c r="AY10" s="188">
        <f>TABLEAUSUIVISPRINT[[#THIS ROW],[J4]]</f>
        <v>9</v>
      </c>
      <c r="AZ10" s="188">
        <f>TABLEAUSUIVISPRINT[[#THIS ROW],[J5]]</f>
        <v>4</v>
      </c>
      <c r="BA10" s="193">
        <f>TABLEAUSUIVISPRINT[[#THIS ROW],[J6]]</f>
        <v>0</v>
      </c>
      <c r="BB10" s="193">
        <f>TABLEAUSUIVISPRINT[[#THIS ROW],[J7]]</f>
        <v>0</v>
      </c>
      <c r="BC10" s="193">
        <f>TABLEAUSUIVISPRINT[[#THIS ROW],[J8]]</f>
        <v>0</v>
      </c>
      <c r="BD10" s="216">
        <f>TABLEAUSUIVISPRINT[[#THIS ROW],[J9]]</f>
        <v>0</v>
      </c>
    </row>
    <row r="11" ht="36.75" customHeight="1">
      <c r="A11" s="257"/>
      <c r="B11" s="55" t="s">
        <v>65</v>
      </c>
      <c r="C11" s="139">
        <v>0.75</v>
      </c>
      <c r="D11" s="112">
        <f t="shared" si="1"/>
        <v>10</v>
      </c>
      <c r="E11" s="84">
        <f t="shared" si="2"/>
        <v>1.5</v>
      </c>
      <c r="F11" s="76">
        <f t="shared" si="3"/>
        <v>0</v>
      </c>
      <c r="G11" s="76">
        <f t="shared" si="4"/>
        <v>0</v>
      </c>
      <c r="H11" s="76">
        <f t="shared" si="5"/>
        <v>0</v>
      </c>
      <c r="I11" s="144">
        <f t="shared" si="0"/>
        <v>6</v>
      </c>
      <c r="J11" s="133"/>
      <c r="K11" s="7">
        <v>0</v>
      </c>
      <c r="L11" s="7" t="s">
        <v>52</v>
      </c>
      <c r="M11" s="7" t="s">
        <v>52</v>
      </c>
      <c r="N11" s="7" t="s">
        <v>52</v>
      </c>
      <c r="O11" s="7" t="s">
        <v>52</v>
      </c>
      <c r="P11" s="7" t="s">
        <v>52</v>
      </c>
      <c r="Q11" s="7" t="s">
        <v>52</v>
      </c>
      <c r="R11" s="7" t="s">
        <v>52</v>
      </c>
      <c r="S11" s="150" t="s">
        <v>52</v>
      </c>
      <c r="T11" s="147" t="s">
        <v>52</v>
      </c>
      <c r="U11" s="31" t="s">
        <v>52</v>
      </c>
      <c r="V11" s="31" t="s">
        <v>52</v>
      </c>
      <c r="W11" s="31" t="s">
        <v>52</v>
      </c>
      <c r="X11" s="31" t="s">
        <v>52</v>
      </c>
      <c r="Y11" s="31" t="s">
        <v>52</v>
      </c>
      <c r="Z11" s="31" t="s">
        <v>52</v>
      </c>
      <c r="AA11" s="31" t="s">
        <v>52</v>
      </c>
      <c r="AB11" s="31"/>
      <c r="AC11" s="75"/>
      <c r="AF11" s="134" t="s">
        <v>47</v>
      </c>
      <c r="AG11" s="0" t="s">
        <v>48</v>
      </c>
      <c r="AH11" s="0">
        <v>12041</v>
      </c>
      <c r="AI11" s="0">
        <v>11918</v>
      </c>
      <c r="AJ11" s="13" t="str">
        <f>IF(TABLEAUSUIVISPRINT[[#THIS ROW],[N° FEATURE]]&lt;&gt;"",VLOOKUP(TABLEAUSUIVISPRINT[[#THIS ROW],[N° FEATURE]],SSG_FEATURES[[#ALL],[ID]:[TAGS]],3,FALSE),"")</f>
        <v>[DESIGNER] [Priorité haute] Diverses évolutions N°2 du 16/06/2023</v>
      </c>
      <c r="AK11" s="8" t="s">
        <v>66</v>
      </c>
      <c r="AL11" s="9">
        <v>7</v>
      </c>
      <c r="AM11" s="74" t="s">
        <v>68</v>
      </c>
      <c r="AN11" s="34">
        <v>1</v>
      </c>
      <c r="AO11" s="52">
        <v>5</v>
      </c>
      <c r="AP11" s="52">
        <v>1</v>
      </c>
      <c r="AQ11" s="32">
        <f>TableauSuiviSprint[[#This Row],[Dev]]+TableauSuiviSprint[[#This Row],[TC / MR]]</f>
        <v>6</v>
      </c>
      <c r="AR11" s="90">
        <v>5</v>
      </c>
      <c r="AS11" s="32">
        <v>4</v>
      </c>
      <c r="AT11" s="11">
        <f>TABLEAUSUIVISPRINT[[#THIS ROW],[H. DEV]]+TABLEAUSUIVISPRINT[[#THIS ROW],[H. QUALIF]]</f>
        <v>10</v>
      </c>
      <c r="AU11" s="0">
        <f>TABLEAUSUIVISPRINT[[#THIS ROW],[INIT]]</f>
        <v>8</v>
      </c>
      <c r="AV11" s="0">
        <f>TABLEAUSUIVISPRINT[[#THIS ROW],[INIT]]</f>
        <v>8</v>
      </c>
      <c r="AW11" s="0">
        <f>TABLEAUSUIVISPRINT[[#THIS ROW],[J2]]</f>
        <v>8</v>
      </c>
      <c r="AX11" s="0">
        <f>TABLEAUSUIVISPRINT[[#THIS ROW],[J3]]</f>
        <v>8</v>
      </c>
      <c r="AY11" s="188">
        <f>TABLEAUSUIVISPRINT[[#THIS ROW],[J4]]</f>
        <v>3</v>
      </c>
      <c r="AZ11" s="188">
        <f>TABLEAUSUIVISPRINT[[#THIS ROW],[J5]]</f>
        <v>2.5</v>
      </c>
      <c r="BA11" s="193">
        <f>TABLEAUSUIVISPRINT[[#THIS ROW],[J6]]</f>
        <v>0</v>
      </c>
      <c r="BB11" s="193">
        <f>TABLEAUSUIVISPRINT[[#THIS ROW],[J7]]</f>
        <v>0</v>
      </c>
      <c r="BC11" s="193">
        <f>TABLEAUSUIVISPRINT[[#THIS ROW],[J8]]</f>
        <v>0</v>
      </c>
      <c r="BD11" s="216">
        <f>TABLEAUSUIVISPRINT[[#THIS ROW],[J9]]</f>
        <v>0</v>
      </c>
    </row>
    <row r="12" ht="41.25" customHeight="1">
      <c r="A12" s="119">
        <f>[1]Planning!$PZ$19</f>
        <v>10</v>
      </c>
      <c r="B12" s="55" t="s">
        <v>69</v>
      </c>
      <c r="C12" s="139">
        <v>1</v>
      </c>
      <c r="D12" s="112">
        <f t="shared" si="1"/>
        <v>10</v>
      </c>
      <c r="E12" s="84">
        <f t="shared" si="2"/>
        <v>1</v>
      </c>
      <c r="F12" s="76">
        <f t="shared" si="3"/>
        <v>5.5</v>
      </c>
      <c r="G12" s="76">
        <f t="shared" si="4"/>
        <v>3.5</v>
      </c>
      <c r="H12" s="76">
        <f t="shared" si="5"/>
        <v>0</v>
      </c>
      <c r="I12" s="144">
        <f t="shared" si="0"/>
        <v>0</v>
      </c>
      <c r="J12" s="133"/>
      <c r="K12" s="7" t="s">
        <v>70</v>
      </c>
      <c r="L12" s="7" t="s">
        <v>70</v>
      </c>
      <c r="M12" s="7" t="s">
        <v>70</v>
      </c>
      <c r="N12" s="7" t="s">
        <v>70</v>
      </c>
      <c r="O12" s="7" t="s">
        <v>70</v>
      </c>
      <c r="P12" s="7" t="s">
        <v>70</v>
      </c>
      <c r="Q12" s="7" t="s">
        <v>70</v>
      </c>
      <c r="R12" s="7" t="s">
        <v>70</v>
      </c>
      <c r="S12" s="150" t="s">
        <v>70</v>
      </c>
      <c r="T12" s="133" t="s">
        <v>70</v>
      </c>
      <c r="U12" s="7" t="s">
        <v>70</v>
      </c>
      <c r="V12" s="7" t="s">
        <v>71</v>
      </c>
      <c r="W12" s="7" t="s">
        <v>71</v>
      </c>
      <c r="X12" s="7" t="s">
        <v>71</v>
      </c>
      <c r="Y12" s="7" t="s">
        <v>71</v>
      </c>
      <c r="Z12" s="7" t="s">
        <v>71</v>
      </c>
      <c r="AA12" s="7" t="s">
        <v>71</v>
      </c>
      <c r="AB12" s="7" t="s">
        <v>71</v>
      </c>
      <c r="AC12" s="75"/>
      <c r="AE12" s="180"/>
      <c r="AF12" s="181" t="s">
        <v>47</v>
      </c>
      <c r="AG12" s="180" t="s">
        <v>72</v>
      </c>
      <c r="AH12" s="180">
        <v>12462</v>
      </c>
      <c r="AI12" s="180">
        <v>12179</v>
      </c>
      <c r="AJ12" s="182" t="str">
        <f>IF(TABLEAUSUIVISPRINT[[#THIS ROW],[N° FEATURE]]&lt;&gt;"",VLOOKUP(TABLEAUSUIVISPRINT[[#THIS ROW],[N° FEATURE]],SSG_FEATURES[[#ALL],[ID]:[TAGS]],3,FALSE),"")</f>
        <v>[DESIGNER] I230630_179 Impossibilité de rééditer une partie des courriers allocataires concernant les décisions de sanction</v>
      </c>
      <c r="AK12" s="183" t="s">
        <v>73</v>
      </c>
      <c r="AL12" s="184">
        <v>8</v>
      </c>
      <c r="AM12" s="182" t="s">
        <v>74</v>
      </c>
      <c r="AN12" s="185">
        <v>1</v>
      </c>
      <c r="AO12" s="186">
        <v>5</v>
      </c>
      <c r="AP12" s="186">
        <v>1</v>
      </c>
      <c r="AQ12" s="186">
        <f>TableauSuiviSprint[[#This Row],[Dev]]+TableauSuiviSprint[[#This Row],[TC / MR]]</f>
        <v>6</v>
      </c>
      <c r="AR12" s="324" t="s">
        <v>75</v>
      </c>
      <c r="AS12" s="0">
        <v>2</v>
      </c>
      <c r="AT12" s="11">
        <f>TABLEAUSUIVISPRINT[[#THIS ROW],[H. DEV]]+TABLEAUSUIVISPRINT[[#THIS ROW],[H. QUALIF]]</f>
        <v>8</v>
      </c>
      <c r="AU12" s="0">
        <f>TABLEAUSUIVISPRINT[[#THIS ROW],[INIT]]</f>
        <v>8</v>
      </c>
      <c r="AV12" s="0">
        <f>TABLEAUSUIVISPRINT[[#THIS ROW],[INIT]]</f>
        <v>8</v>
      </c>
      <c r="AW12" s="0">
        <f>TABLEAUSUIVISPRINT[[#THIS ROW],[J2]]</f>
        <v>8</v>
      </c>
      <c r="AX12" s="0">
        <f>TABLEAUSUIVISPRINT[[#THIS ROW],[J3]]</f>
        <v>8</v>
      </c>
      <c r="AY12" s="221">
        <f>TABLEAUSUIVISPRINT[[#THIS ROW],[J4]]</f>
        <v>8</v>
      </c>
      <c r="AZ12" s="188">
        <f>TABLEAUSUIVISPRINT[[#THIS ROW],[J5]]</f>
        <v>3</v>
      </c>
      <c r="BA12" s="193">
        <f>TABLEAUSUIVISPRINT[[#THIS ROW],[J6]]</f>
        <v>0</v>
      </c>
      <c r="BB12" s="193">
        <f>TABLEAUSUIVISPRINT[[#THIS ROW],[J7]]</f>
        <v>0</v>
      </c>
      <c r="BC12" s="193">
        <f>TABLEAUSUIVISPRINT[[#THIS ROW],[J8]]</f>
        <v>0</v>
      </c>
      <c r="BD12" s="216">
        <f>TABLEAUSUIVISPRINT[[#THIS ROW],[J9]]</f>
        <v>0</v>
      </c>
    </row>
    <row r="13" ht="30.75" customHeight="1">
      <c r="A13" s="263">
        <f>[1]Planning!$PZ$9</f>
        <v>10</v>
      </c>
      <c r="B13" s="54" t="s">
        <v>76</v>
      </c>
      <c r="C13" s="139">
        <v>0.5</v>
      </c>
      <c r="D13" s="112">
        <f>COUNTA(J13:AC13)/2 +COUNTBLANK(J13:AC13)/2 -COUNTIFS(J13:AC13,"O")/2 - COUNTIFS(J13:AC13,"A")/2</f>
        <v>7.5</v>
      </c>
      <c r="E13" s="84">
        <f>COUNTIF($J13:$AC13,"&lt;&gt;o" )/2*C13 -SUM($F13:$I13)</f>
        <v>1.25</v>
      </c>
      <c r="F13" s="76">
        <f>COUNTIF($J13:$AC13,"S")/2*C13</f>
        <v>0</v>
      </c>
      <c r="G13" s="76">
        <f>COUNTIF($J13:$AC13,"Q")/2*C13</f>
        <v>0</v>
      </c>
      <c r="H13" s="76">
        <f>COUNTIF($J13:$AC13,"T")/2*C13</f>
        <v>0</v>
      </c>
      <c r="I13" s="144">
        <f>COUNTIF($J13:$AC13,"D")/2*C13</f>
        <v>2.5</v>
      </c>
      <c r="J13" s="133"/>
      <c r="K13" s="7"/>
      <c r="L13" s="7"/>
      <c r="M13" s="7"/>
      <c r="N13" s="7"/>
      <c r="O13" s="7" t="s">
        <v>52</v>
      </c>
      <c r="P13" s="7" t="s">
        <v>52</v>
      </c>
      <c r="Q13" s="7" t="s">
        <v>52</v>
      </c>
      <c r="R13" s="7" t="s">
        <v>52</v>
      </c>
      <c r="S13" s="150" t="s">
        <v>52</v>
      </c>
      <c r="T13" s="133" t="s">
        <v>52</v>
      </c>
      <c r="U13" s="7" t="s">
        <v>52</v>
      </c>
      <c r="V13" s="7" t="s">
        <v>52</v>
      </c>
      <c r="W13" s="7" t="s">
        <v>52</v>
      </c>
      <c r="X13" s="7" t="s">
        <v>52</v>
      </c>
      <c r="Y13" s="7" t="s">
        <v>54</v>
      </c>
      <c r="Z13" s="7" t="s">
        <v>54</v>
      </c>
      <c r="AA13" s="7" t="s">
        <v>54</v>
      </c>
      <c r="AB13" s="7" t="s">
        <v>54</v>
      </c>
      <c r="AC13" s="75" t="s">
        <v>54</v>
      </c>
      <c r="AF13" s="134" t="s">
        <v>47</v>
      </c>
      <c r="AG13" s="0" t="s">
        <v>55</v>
      </c>
      <c r="AH13" s="0">
        <v>10684</v>
      </c>
      <c r="AI13" s="0">
        <v>9308</v>
      </c>
      <c r="AJ13" s="13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13" s="8" t="s">
        <v>56</v>
      </c>
      <c r="AL13" s="9">
        <v>9</v>
      </c>
      <c r="AM13" s="13" t="s">
        <v>77</v>
      </c>
      <c r="AN13" s="34">
        <v>2</v>
      </c>
      <c r="AO13" s="52">
        <v>9</v>
      </c>
      <c r="AP13" s="52">
        <v>2</v>
      </c>
      <c r="AQ13" s="32">
        <f>TableauSuiviSprint[[#This Row],[Dev]]+TableauSuiviSprint[[#This Row],[TC / MR]]</f>
        <v>11</v>
      </c>
      <c r="AR13" s="90">
        <v>9</v>
      </c>
      <c r="AS13" s="0">
        <v>4</v>
      </c>
      <c r="AT13" s="11">
        <f>TABLEAUSUIVISPRINT[[#THIS ROW],[H. DEV]]+TABLEAUSUIVISPRINT[[#THIS ROW],[H. QUALIF]]</f>
        <v>15</v>
      </c>
      <c r="AU13" s="0">
        <f>TABLEAUSUIVISPRINT[[#THIS ROW],[INIT]]</f>
        <v>15</v>
      </c>
      <c r="AV13" s="0">
        <f>TABLEAUSUIVISPRINT[[#THIS ROW],[INIT]]</f>
        <v>13.5</v>
      </c>
      <c r="AW13" s="0">
        <f>TABLEAUSUIVISPRINT[[#THIS ROW],[J2]]</f>
        <v>13.5</v>
      </c>
      <c r="AX13" s="179">
        <f>TABLEAUSUIVISPRINT[[#THIS ROW],[J3]]</f>
        <v>4.5</v>
      </c>
      <c r="AY13" s="179">
        <f>TABLEAUSUIVISPRINT[[#THIS ROW],[J4]]</f>
        <v>4.5</v>
      </c>
      <c r="AZ13" s="179">
        <f>TABLEAUSUIVISPRINT[[#THIS ROW],[J5]]</f>
        <v>4.5</v>
      </c>
      <c r="BA13" s="192">
        <f>TABLEAUSUIVISPRINT[[#THIS ROW],[J6]]</f>
        <v>2.5</v>
      </c>
      <c r="BB13" s="192">
        <f>TABLEAUSUIVISPRINT[[#THIS ROW],[J7]]</f>
        <v>2.5</v>
      </c>
      <c r="BC13" s="193">
        <f>TABLEAUSUIVISPRINT[[#THIS ROW],[J8]]</f>
        <v>0</v>
      </c>
      <c r="BD13" s="216">
        <f>TABLEAUSUIVISPRINT[[#THIS ROW],[J9]]</f>
        <v>0</v>
      </c>
    </row>
    <row r="14" ht="31.5" customHeight="1">
      <c r="A14" s="263"/>
      <c r="B14" s="54" t="s">
        <v>76</v>
      </c>
      <c r="C14" s="139">
        <v>0.75</v>
      </c>
      <c r="D14" s="112">
        <f>COUNTA(J14:AC14)/2 +COUNTBLANK(J14:AC14)/2 -COUNTIFS(J14:AC14,"O")/2 - COUNTIFS(J14:AC14,"A")/2</f>
        <v>2.5</v>
      </c>
      <c r="E14" s="84">
        <f>COUNTIF($J14:$AC14,"&lt;&gt;o" )/2*C14 -SUM($F14:$I14)</f>
        <v>0.75</v>
      </c>
      <c r="F14" s="76">
        <f>COUNTIF($J14:$AC14,"S")/2*C14</f>
        <v>0</v>
      </c>
      <c r="G14" s="76">
        <f>COUNTIF($J14:$AC14,"Q")/2*C14</f>
        <v>0</v>
      </c>
      <c r="H14" s="76">
        <f>COUNTIF($J14:$AC14,"T")/2*C14</f>
        <v>1.125</v>
      </c>
      <c r="I14" s="144">
        <f>COUNTIF($J14:$AC14,"D")/2*C14</f>
        <v>0</v>
      </c>
      <c r="J14" s="147" t="s">
        <v>54</v>
      </c>
      <c r="K14" s="31" t="s">
        <v>54</v>
      </c>
      <c r="L14" s="31" t="s">
        <v>54</v>
      </c>
      <c r="M14" s="31" t="s">
        <v>54</v>
      </c>
      <c r="N14" s="31" t="s">
        <v>54</v>
      </c>
      <c r="O14" s="31" t="s">
        <v>54</v>
      </c>
      <c r="P14" s="31" t="s">
        <v>54</v>
      </c>
      <c r="Q14" s="31" t="s">
        <v>54</v>
      </c>
      <c r="R14" s="31" t="s">
        <v>54</v>
      </c>
      <c r="S14" s="151" t="s">
        <v>54</v>
      </c>
      <c r="T14" s="147" t="s">
        <v>54</v>
      </c>
      <c r="U14" s="31" t="s">
        <v>54</v>
      </c>
      <c r="V14" s="7" t="s">
        <v>54</v>
      </c>
      <c r="W14" s="31" t="s">
        <v>54</v>
      </c>
      <c r="X14" s="31" t="s">
        <v>54</v>
      </c>
      <c r="Y14" s="31" t="s">
        <v>59</v>
      </c>
      <c r="Z14" s="31" t="s">
        <v>59</v>
      </c>
      <c r="AA14" s="31" t="s">
        <v>59</v>
      </c>
      <c r="AB14" s="31"/>
      <c r="AC14" s="30"/>
      <c r="AE14" s="170"/>
      <c r="AF14" s="171" t="s">
        <v>47</v>
      </c>
      <c r="AG14" s="170" t="s">
        <v>55</v>
      </c>
      <c r="AH14" s="170">
        <v>10704</v>
      </c>
      <c r="AI14" s="170">
        <v>9308</v>
      </c>
      <c r="AJ14" s="172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14" s="173" t="s">
        <v>56</v>
      </c>
      <c r="AL14" s="174">
        <v>10</v>
      </c>
      <c r="AM14" s="172" t="s">
        <v>78</v>
      </c>
      <c r="AN14" s="175">
        <v>2</v>
      </c>
      <c r="AO14" s="176">
        <v>9</v>
      </c>
      <c r="AP14" s="176">
        <v>2</v>
      </c>
      <c r="AQ14" s="176">
        <f>TableauSuiviSprint[[#This Row],[Dev]]+TableauSuiviSprint[[#This Row],[TC / MR]]</f>
        <v>11</v>
      </c>
      <c r="AR14" s="122">
        <v>8</v>
      </c>
      <c r="AS14" s="121">
        <v>3</v>
      </c>
      <c r="AT14" s="123">
        <f>TABLEAUSUIVISPRINT[[#THIS ROW],[H. DEV]]+TABLEAUSUIVISPRINT[[#THIS ROW],[H. QUALIF]]</f>
        <v>14</v>
      </c>
      <c r="AU14" s="117">
        <f>TABLEAUSUIVISPRINT[[#THIS ROW],[INIT]]</f>
        <v>14</v>
      </c>
      <c r="AV14" s="117">
        <f>TABLEAUSUIVISPRINT[[#THIS ROW],[INIT]]</f>
        <v>14</v>
      </c>
      <c r="AW14" s="117">
        <f>TABLEAUSUIVISPRINT[[#THIS ROW],[J2]]</f>
        <v>14</v>
      </c>
      <c r="AX14" s="117">
        <f>TABLEAUSUIVISPRINT[[#THIS ROW],[J3]]</f>
        <v>14</v>
      </c>
      <c r="AY14" s="220">
        <f>TABLEAUSUIVISPRINT[[#THIS ROW],[J4]]</f>
        <v>5</v>
      </c>
      <c r="AZ14" s="220">
        <f>TABLEAUSUIVISPRINT[[#THIS ROW],[J5]]</f>
        <v>5</v>
      </c>
      <c r="BA14" s="220">
        <f>TABLEAUSUIVISPRINT[[#THIS ROW],[J6]]</f>
        <v>5</v>
      </c>
      <c r="BB14" s="232">
        <f>TABLEAUSUIVISPRINT[[#THIS ROW],[J7]]</f>
        <v>3</v>
      </c>
      <c r="BC14" s="233">
        <f>TABLEAUSUIVISPRINT[[#THIS ROW],[J8]]</f>
        <v>0</v>
      </c>
      <c r="BD14" s="236">
        <f>TABLEAUSUIVISPRINT[[#THIS ROW],[J9]]</f>
        <v>0</v>
      </c>
    </row>
    <row r="15" ht="29.25" customHeight="1" s="32" customFormat="1">
      <c r="A15" s="120">
        <f>[1]Planning!$PZ$16</f>
        <v>10</v>
      </c>
      <c r="B15" s="55" t="s">
        <v>79</v>
      </c>
      <c r="C15" s="139">
        <v>1</v>
      </c>
      <c r="D15" s="112">
        <f t="shared" si="1"/>
        <v>10</v>
      </c>
      <c r="E15" s="84">
        <f t="shared" si="2"/>
        <v>1</v>
      </c>
      <c r="F15" s="76">
        <f t="shared" si="3"/>
        <v>2.5</v>
      </c>
      <c r="G15" s="76">
        <f t="shared" si="4"/>
        <v>6.5</v>
      </c>
      <c r="H15" s="76">
        <f t="shared" si="5"/>
        <v>0</v>
      </c>
      <c r="I15" s="144">
        <f t="shared" si="0"/>
        <v>0</v>
      </c>
      <c r="J15" s="133"/>
      <c r="K15" s="7"/>
      <c r="L15" s="7" t="s">
        <v>70</v>
      </c>
      <c r="M15" s="7" t="s">
        <v>70</v>
      </c>
      <c r="N15" s="7" t="s">
        <v>70</v>
      </c>
      <c r="O15" s="7" t="s">
        <v>70</v>
      </c>
      <c r="P15" s="7" t="s">
        <v>70</v>
      </c>
      <c r="Q15" s="7" t="s">
        <v>71</v>
      </c>
      <c r="R15" s="7" t="s">
        <v>71</v>
      </c>
      <c r="S15" s="150" t="s">
        <v>71</v>
      </c>
      <c r="T15" s="133" t="s">
        <v>71</v>
      </c>
      <c r="U15" s="7" t="s">
        <v>71</v>
      </c>
      <c r="V15" s="7" t="s">
        <v>71</v>
      </c>
      <c r="W15" s="7" t="s">
        <v>71</v>
      </c>
      <c r="X15" s="7" t="s">
        <v>71</v>
      </c>
      <c r="Y15" s="7" t="s">
        <v>71</v>
      </c>
      <c r="Z15" s="7" t="s">
        <v>71</v>
      </c>
      <c r="AA15" s="7" t="s">
        <v>71</v>
      </c>
      <c r="AB15" s="7" t="s">
        <v>71</v>
      </c>
      <c r="AC15" s="30" t="s">
        <v>71</v>
      </c>
      <c r="AE15" s="32" t="s">
        <v>80</v>
      </c>
      <c r="AF15" s="32" t="s">
        <v>81</v>
      </c>
      <c r="AG15" s="32" t="s">
        <v>82</v>
      </c>
      <c r="AH15" s="32">
        <v>10799</v>
      </c>
      <c r="AI15" s="32">
        <v>9238</v>
      </c>
      <c r="AJ15" s="13" t="str">
        <f>IF(TABLEAUSUIVISPRINT[[#THIS ROW],[N° FEATURE]]&lt;&gt;"",VLOOKUP(TABLEAUSUIVISPRINT[[#THIS ROW],[N° FEATURE]],SSG_FEATURES[[#ALL],[ID]:[TAGS]],3,FALSE),"")</f>
        <v>S20221107 Tableau des effectifs - Lot 1</v>
      </c>
      <c r="AK15" s="8" t="s">
        <v>83</v>
      </c>
      <c r="AL15" s="9" t="s">
        <v>84</v>
      </c>
      <c r="AM15" s="13" t="s">
        <v>85</v>
      </c>
      <c r="AN15" s="177">
        <v>2</v>
      </c>
      <c r="AO15" s="214">
        <v>14</v>
      </c>
      <c r="AP15" s="52">
        <v>4</v>
      </c>
      <c r="AQ15" s="32">
        <f>TableauSuiviSprint[[#This Row],[Dev]]+TableauSuiviSprint[[#This Row],[TC / MR]]</f>
        <v>18</v>
      </c>
      <c r="AR15" s="90">
        <v>10</v>
      </c>
      <c r="AS15" s="32">
        <v>0</v>
      </c>
      <c r="AT15" s="11">
        <f>TABLEAUSUIVISPRINT[[#THIS ROW],[H. DEV]]+TABLEAUSUIVISPRINT[[#THIS ROW],[H. QUALIF]]</f>
        <v>18</v>
      </c>
      <c r="AU15" s="191">
        <f>TABLEAUSUIVISPRINT[[#THIS ROW],[INIT]]</f>
        <v>13</v>
      </c>
      <c r="AV15" s="187">
        <f>TABLEAUSUIVISPRINT[[#THIS ROW],[INIT]]</f>
        <v>2</v>
      </c>
      <c r="AW15" s="187">
        <f>TABLEAUSUIVISPRINT[[#THIS ROW],[J2]]</f>
        <v>1</v>
      </c>
      <c r="AX15" s="193">
        <f>TABLEAUSUIVISPRINT[[#THIS ROW],[J3]]</f>
        <v>0</v>
      </c>
      <c r="AY15" s="193">
        <f>TABLEAUSUIVISPRINT[[#THIS ROW],[J4]]</f>
        <v>0</v>
      </c>
      <c r="AZ15" s="193">
        <f>TABLEAUSUIVISPRINT[[#THIS ROW],[J5]]</f>
        <v>0</v>
      </c>
      <c r="BA15" s="193">
        <f>TABLEAUSUIVISPRINT[[#THIS ROW],[J6]]</f>
        <v>0</v>
      </c>
      <c r="BB15" s="193">
        <f>TABLEAUSUIVISPRINT[[#THIS ROW],[J7]]</f>
        <v>0</v>
      </c>
      <c r="BC15" s="193">
        <f>TABLEAUSUIVISPRINT[[#THIS ROW],[J8]]</f>
        <v>0</v>
      </c>
      <c r="BD15" s="241">
        <f>TABLEAUSUIVISPRINT[[#THIS ROW],[J9]]</f>
        <v>0</v>
      </c>
    </row>
    <row r="16" ht="60" s="32" customFormat="1">
      <c r="A16" s="120">
        <f>[1]Planning!$PZ$12</f>
        <v>1</v>
      </c>
      <c r="B16" s="55" t="s">
        <v>86</v>
      </c>
      <c r="C16" s="139">
        <v>1</v>
      </c>
      <c r="D16" s="112">
        <f t="shared" si="1"/>
        <v>1</v>
      </c>
      <c r="E16" s="84">
        <f t="shared" si="2"/>
        <v>9</v>
      </c>
      <c r="F16" s="76">
        <f t="shared" si="3"/>
        <v>0</v>
      </c>
      <c r="G16" s="76">
        <f t="shared" si="4"/>
        <v>0</v>
      </c>
      <c r="H16" s="76">
        <f t="shared" si="5"/>
        <v>1</v>
      </c>
      <c r="I16" s="144">
        <f t="shared" si="0"/>
        <v>0</v>
      </c>
      <c r="J16" s="133" t="s">
        <v>87</v>
      </c>
      <c r="K16" s="7" t="s">
        <v>87</v>
      </c>
      <c r="L16" s="7" t="s">
        <v>87</v>
      </c>
      <c r="M16" s="7" t="s">
        <v>87</v>
      </c>
      <c r="N16" s="7" t="s">
        <v>87</v>
      </c>
      <c r="O16" s="7" t="s">
        <v>87</v>
      </c>
      <c r="P16" s="7" t="s">
        <v>87</v>
      </c>
      <c r="Q16" s="7" t="s">
        <v>87</v>
      </c>
      <c r="R16" s="7" t="s">
        <v>87</v>
      </c>
      <c r="S16" s="150" t="s">
        <v>87</v>
      </c>
      <c r="T16" s="133" t="s">
        <v>87</v>
      </c>
      <c r="U16" s="7" t="s">
        <v>87</v>
      </c>
      <c r="V16" s="7" t="s">
        <v>87</v>
      </c>
      <c r="W16" s="7" t="s">
        <v>87</v>
      </c>
      <c r="X16" s="7" t="s">
        <v>87</v>
      </c>
      <c r="Y16" s="7" t="s">
        <v>87</v>
      </c>
      <c r="Z16" s="7" t="s">
        <v>60</v>
      </c>
      <c r="AA16" s="7" t="s">
        <v>60</v>
      </c>
      <c r="AB16" s="7" t="s">
        <v>87</v>
      </c>
      <c r="AC16" s="30" t="s">
        <v>87</v>
      </c>
      <c r="AE16" s="32" t="s">
        <v>88</v>
      </c>
      <c r="AF16" s="32" t="s">
        <v>81</v>
      </c>
      <c r="AG16" s="32" t="s">
        <v>89</v>
      </c>
      <c r="AH16" s="32">
        <v>12346</v>
      </c>
      <c r="AI16" s="32">
        <v>9576</v>
      </c>
      <c r="AJ16" s="13" t="str">
        <f>IF(TABLEAUSUIVISPRINT[[#THIS ROW],[N° FEATURE]]&lt;&gt;"",VLOOKUP(TABLEAUSUIVISPRINT[[#THIS ROW],[N° FEATURE]],SSG_FEATURES[[#ALL],[ID]:[TAGS]],3,FALSE),"")</f>
        <v>S230109_256 : Lot 1 - Ecran statistiques + Enrichir l'écran de détail de l'adhérent</v>
      </c>
      <c r="AK16" s="8" t="s">
        <v>90</v>
      </c>
      <c r="AL16" s="9" t="s">
        <v>84</v>
      </c>
      <c r="AM16" s="13" t="s">
        <v>91</v>
      </c>
      <c r="AN16" s="129">
        <v>0</v>
      </c>
      <c r="AO16" s="52">
        <v>3</v>
      </c>
      <c r="AP16" s="52">
        <v>1</v>
      </c>
      <c r="AQ16" s="32">
        <f>TableauSuiviSprint[[#This Row],[Dev]]+TableauSuiviSprint[[#This Row],[TC / MR]]</f>
        <v>4</v>
      </c>
      <c r="AR16" s="90">
        <v>2</v>
      </c>
      <c r="AS16" s="32">
        <v>2</v>
      </c>
      <c r="AT16" s="11">
        <f>TABLEAUSUIVISPRINT[[#THIS ROW],[H. DEV]]+TABLEAUSUIVISPRINT[[#THIS ROW],[H. QUALIF]]</f>
        <v>6</v>
      </c>
      <c r="AU16" s="192">
        <f>TABLEAUSUIVISPRINT[[#THIS ROW],[INIT]]</f>
        <v>0.5</v>
      </c>
      <c r="AV16" s="193">
        <f>TABLEAUSUIVISPRINT[[#THIS ROW],[INIT]]</f>
        <v>0</v>
      </c>
      <c r="AW16" s="193">
        <f>TABLEAUSUIVISPRINT[[#THIS ROW],[J2]]</f>
        <v>0</v>
      </c>
      <c r="AX16" s="193">
        <f>TABLEAUSUIVISPRINT[[#THIS ROW],[J3]]</f>
        <v>0</v>
      </c>
      <c r="AY16" s="193">
        <f>TABLEAUSUIVISPRINT[[#THIS ROW],[J4]]</f>
        <v>0</v>
      </c>
      <c r="AZ16" s="193">
        <f>TABLEAUSUIVISPRINT[[#THIS ROW],[J5]]</f>
        <v>0</v>
      </c>
      <c r="BA16" s="193">
        <f>TABLEAUSUIVISPRINT[[#THIS ROW],[J6]]</f>
        <v>0</v>
      </c>
      <c r="BB16" s="193">
        <f>TABLEAUSUIVISPRINT[[#THIS ROW],[J7]]</f>
        <v>0</v>
      </c>
      <c r="BC16" s="193">
        <f>TABLEAUSUIVISPRINT[[#THIS ROW],[J8]]</f>
        <v>0</v>
      </c>
      <c r="BD16" s="241">
        <f>TABLEAUSUIVISPRINT[[#THIS ROW],[J9]]</f>
        <v>0</v>
      </c>
    </row>
    <row r="17" ht="30">
      <c r="A17" s="119">
        <f>[1]Planning!$PZ$10</f>
        <v>0</v>
      </c>
      <c r="B17" s="55" t="s">
        <v>92</v>
      </c>
      <c r="C17" s="139">
        <v>0.75</v>
      </c>
      <c r="D17" s="112">
        <f t="shared" si="1"/>
        <v>0</v>
      </c>
      <c r="E17" s="84">
        <f t="shared" si="2"/>
        <v>0</v>
      </c>
      <c r="F17" s="76">
        <f t="shared" si="3"/>
        <v>0</v>
      </c>
      <c r="G17" s="76">
        <f t="shared" si="4"/>
        <v>0</v>
      </c>
      <c r="H17" s="76">
        <f t="shared" si="5"/>
        <v>0</v>
      </c>
      <c r="I17" s="144">
        <f t="shared" si="0"/>
        <v>0</v>
      </c>
      <c r="J17" s="133" t="s">
        <v>54</v>
      </c>
      <c r="K17" s="7" t="s">
        <v>54</v>
      </c>
      <c r="L17" s="7" t="s">
        <v>54</v>
      </c>
      <c r="M17" s="7" t="s">
        <v>54</v>
      </c>
      <c r="N17" s="7" t="s">
        <v>54</v>
      </c>
      <c r="O17" s="7" t="s">
        <v>54</v>
      </c>
      <c r="P17" s="7" t="s">
        <v>54</v>
      </c>
      <c r="Q17" s="7" t="s">
        <v>54</v>
      </c>
      <c r="R17" s="7" t="s">
        <v>54</v>
      </c>
      <c r="S17" s="150" t="s">
        <v>54</v>
      </c>
      <c r="T17" s="133" t="s">
        <v>54</v>
      </c>
      <c r="U17" s="7" t="s">
        <v>54</v>
      </c>
      <c r="V17" s="7" t="s">
        <v>54</v>
      </c>
      <c r="W17" s="7" t="s">
        <v>54</v>
      </c>
      <c r="X17" s="7" t="s">
        <v>54</v>
      </c>
      <c r="Y17" s="7" t="s">
        <v>54</v>
      </c>
      <c r="Z17" s="7" t="s">
        <v>54</v>
      </c>
      <c r="AA17" s="7" t="s">
        <v>54</v>
      </c>
      <c r="AB17" s="7" t="s">
        <v>54</v>
      </c>
      <c r="AC17" s="30" t="s">
        <v>54</v>
      </c>
      <c r="AE17" s="4" t="s">
        <v>93</v>
      </c>
      <c r="AF17" s="153" t="s">
        <v>81</v>
      </c>
      <c r="AG17" s="4" t="s">
        <v>94</v>
      </c>
      <c r="AH17" s="4">
        <v>11950</v>
      </c>
      <c r="AI17" s="4">
        <v>5159</v>
      </c>
      <c r="AJ17" s="154" t="str">
        <f>IF(TABLEAUSUIVISPRINT[[#THIS ROW],[N° FEATURE]]&lt;&gt;"",VLOOKUP(TABLEAUSUIVISPRINT[[#THIS ROW],[N° FEATURE]],SSG_FEATURES[[#ALL],[ID]:[TAGS]],3,FALSE),"")</f>
        <v>[WEB] GÉRER LES UTILISATEURS</v>
      </c>
      <c r="AK17" s="155" t="s">
        <v>95</v>
      </c>
      <c r="AL17" s="156" t="s">
        <v>96</v>
      </c>
      <c r="AM17" s="154" t="s">
        <v>97</v>
      </c>
      <c r="AN17" s="157">
        <v>2</v>
      </c>
      <c r="AO17" s="158">
        <v>8</v>
      </c>
      <c r="AP17" s="159">
        <v>3</v>
      </c>
      <c r="AQ17" s="160">
        <f>TableauSuiviSprint[[#This Row],[Dev]]+TableauSuiviSprint[[#This Row],[TC / MR]]</f>
        <v>11</v>
      </c>
      <c r="AR17" s="90">
        <v>28</v>
      </c>
      <c r="AS17" s="0">
        <v>0</v>
      </c>
      <c r="AT17" s="11">
        <f>TABLEAUSUIVISPRINT[[#THIS ROW],[H. DEV]]+TABLEAUSUIVISPRINT[[#THIS ROW],[H. QUALIF]]</f>
        <v>11</v>
      </c>
      <c r="AU17" s="11">
        <f>TABLEAUSUIVISPRINT[[#THIS ROW],[INIT]]</f>
        <v>11</v>
      </c>
      <c r="AV17" s="11">
        <f>TABLEAUSUIVISPRINT[[#THIS ROW],[INIT]]</f>
        <v>11</v>
      </c>
      <c r="AW17" s="11">
        <f>TABLEAUSUIVISPRINT[[#THIS ROW],[J2]]</f>
        <v>11</v>
      </c>
      <c r="AX17" s="11">
        <f>TABLEAUSUIVISPRINT[[#THIS ROW],[J3]]</f>
        <v>11</v>
      </c>
      <c r="AY17" s="11">
        <f>TABLEAUSUIVISPRINT[[#THIS ROW],[J4]]</f>
        <v>11</v>
      </c>
      <c r="AZ17" s="11">
        <f>TABLEAUSUIVISPRINT[[#THIS ROW],[J5]]</f>
        <v>11</v>
      </c>
      <c r="BA17" s="221">
        <f>TABLEAUSUIVISPRINT[[#THIS ROW],[J6]]</f>
        <v>11</v>
      </c>
      <c r="BB17" s="221">
        <f>TABLEAUSUIVISPRINT[[#THIS ROW],[J7]]</f>
        <v>11</v>
      </c>
      <c r="BC17" s="221">
        <f>TABLEAUSUIVISPRINT[[#THIS ROW],[J8]]</f>
        <v>11</v>
      </c>
      <c r="BD17" s="221">
        <f>TABLEAUSUIVISPRINT[[#THIS ROW],[J9]]</f>
        <v>11</v>
      </c>
    </row>
    <row r="18" ht="39" customHeight="1">
      <c r="A18" s="119">
        <f>[1]Planning!$PZ$11</f>
        <v>8</v>
      </c>
      <c r="B18" s="55" t="s">
        <v>98</v>
      </c>
      <c r="C18" s="139">
        <v>1</v>
      </c>
      <c r="D18" s="112">
        <f t="shared" si="1"/>
        <v>8</v>
      </c>
      <c r="E18" s="84">
        <f t="shared" si="2"/>
        <v>8</v>
      </c>
      <c r="F18" s="76">
        <f t="shared" si="3"/>
        <v>0</v>
      </c>
      <c r="G18" s="76">
        <f t="shared" si="4"/>
        <v>0</v>
      </c>
      <c r="H18" s="76">
        <f t="shared" si="5"/>
        <v>0</v>
      </c>
      <c r="I18" s="144">
        <f t="shared" si="0"/>
        <v>0</v>
      </c>
      <c r="J18" s="133"/>
      <c r="K18" s="7"/>
      <c r="L18" s="7"/>
      <c r="M18" s="7"/>
      <c r="N18" s="7" t="s">
        <v>54</v>
      </c>
      <c r="O18" s="7" t="s">
        <v>54</v>
      </c>
      <c r="P18" s="7"/>
      <c r="Q18" s="7"/>
      <c r="R18" s="7"/>
      <c r="S18" s="150"/>
      <c r="T18" s="133"/>
      <c r="U18" s="7"/>
      <c r="V18" s="7" t="s">
        <v>99</v>
      </c>
      <c r="W18" s="7" t="s">
        <v>99</v>
      </c>
      <c r="X18" s="7" t="s">
        <v>54</v>
      </c>
      <c r="Y18" s="7" t="s">
        <v>54</v>
      </c>
      <c r="Z18" s="7" t="s">
        <v>99</v>
      </c>
      <c r="AA18" s="7" t="s">
        <v>99</v>
      </c>
      <c r="AB18" s="7"/>
      <c r="AC18" s="30"/>
      <c r="AE18" s="0" t="s">
        <v>100</v>
      </c>
      <c r="AF18" s="0" t="s">
        <v>81</v>
      </c>
      <c r="AG18" s="32" t="s">
        <v>82</v>
      </c>
      <c r="AH18" s="0">
        <v>12281</v>
      </c>
      <c r="AI18" s="0">
        <v>9238</v>
      </c>
      <c r="AJ18" s="13" t="str">
        <f>IF(TABLEAUSUIVISPRINT[[#THIS ROW],[N° FEATURE]]&lt;&gt;"",VLOOKUP(TABLEAUSUIVISPRINT[[#THIS ROW],[N° FEATURE]],SSG_FEATURES[[#ALL],[ID]:[TAGS]],3,FALSE),"")</f>
        <v>S20221107 Tableau des effectifs - Lot 1</v>
      </c>
      <c r="AK18" s="8" t="s">
        <v>83</v>
      </c>
      <c r="AL18" s="9" t="s">
        <v>101</v>
      </c>
      <c r="AM18" s="13" t="s">
        <v>102</v>
      </c>
      <c r="AN18" s="34">
        <v>1</v>
      </c>
      <c r="AO18" s="34">
        <v>7</v>
      </c>
      <c r="AP18" s="52">
        <v>2</v>
      </c>
      <c r="AQ18" s="32">
        <f>TableauSuiviSprint[[#This Row],[Dev]]+TableauSuiviSprint[[#This Row],[TC / MR]]</f>
        <v>9</v>
      </c>
      <c r="AR18" s="90">
        <v>2</v>
      </c>
      <c r="AS18" s="32">
        <v>2</v>
      </c>
      <c r="AT18" s="11">
        <f>TABLEAUSUIVISPRINT[[#THIS ROW],[H. DEV]]+TABLEAUSUIVISPRINT[[#THIS ROW],[H. QUALIF]]</f>
        <v>11</v>
      </c>
      <c r="AU18" s="187">
        <f>TABLEAUSUIVISPRINT[[#THIS ROW],[INIT]]</f>
        <v>3</v>
      </c>
      <c r="AV18" s="187">
        <f>TABLEAUSUIVISPRINT[[#THIS ROW],[INIT]]</f>
        <v>1</v>
      </c>
      <c r="AW18" s="195">
        <f>TABLEAUSUIVISPRINT[[#THIS ROW],[J2]]</f>
        <v>1</v>
      </c>
      <c r="AX18" s="195">
        <f>TABLEAUSUIVISPRINT[[#THIS ROW],[J3]]</f>
        <v>1</v>
      </c>
      <c r="AY18" s="195">
        <f>TABLEAUSUIVISPRINT[[#THIS ROW],[J4]]</f>
        <v>1</v>
      </c>
      <c r="AZ18" s="195">
        <f>TABLEAUSUIVISPRINT[[#THIS ROW],[J5]]</f>
        <v>1</v>
      </c>
      <c r="BA18" s="224">
        <f>TABLEAUSUIVISPRINT[[#THIS ROW],[J6]]</f>
        <v>1</v>
      </c>
      <c r="BB18" s="193">
        <f>TABLEAUSUIVISPRINT[[#THIS ROW],[J7]]</f>
        <v>0</v>
      </c>
      <c r="BC18" s="193">
        <f>TABLEAUSUIVISPRINT[[#THIS ROW],[J8]]</f>
        <v>0</v>
      </c>
      <c r="BD18" s="241">
        <f>TABLEAUSUIVISPRINT[[#THIS ROW],[J9]]</f>
        <v>0</v>
      </c>
    </row>
    <row r="19" ht="75">
      <c r="A19" s="255">
        <f>[1]Planning!$PZ$15</f>
        <v>10</v>
      </c>
      <c r="B19" s="54" t="s">
        <v>103</v>
      </c>
      <c r="C19" s="139">
        <v>0.5</v>
      </c>
      <c r="D19" s="112">
        <f>COUNTA(J19:AC19)/2 +COUNTBLANK(J19:AC19)/2 -COUNTIFS(J19:AC19,"O")/2 - COUNTIFS(J19:AC19,"A")/2</f>
        <v>0</v>
      </c>
      <c r="E19" s="109">
        <f>COUNTIF($J19:$AC19,"&lt;&gt;o" )/2*C19 -SUM($F19:$I19)</f>
        <v>0</v>
      </c>
      <c r="F19" s="76">
        <f>COUNTIF($J19:$AC19,"S")/2*C19</f>
        <v>0</v>
      </c>
      <c r="G19" s="87">
        <f>COUNTIF($J19:$AC19,"Q")/2*C19</f>
        <v>0</v>
      </c>
      <c r="H19" s="87">
        <f>COUNTIF($J19:$AC19,"T")/2*C19</f>
        <v>0</v>
      </c>
      <c r="I19" s="132">
        <f>COUNTIF($J19:$AC19,"D")/2*C19</f>
        <v>0</v>
      </c>
      <c r="J19" s="133" t="s">
        <v>54</v>
      </c>
      <c r="K19" s="7" t="s">
        <v>54</v>
      </c>
      <c r="L19" s="7" t="s">
        <v>54</v>
      </c>
      <c r="M19" s="7" t="s">
        <v>54</v>
      </c>
      <c r="N19" s="7" t="s">
        <v>54</v>
      </c>
      <c r="O19" s="7" t="s">
        <v>54</v>
      </c>
      <c r="P19" s="7" t="s">
        <v>54</v>
      </c>
      <c r="Q19" s="7" t="s">
        <v>54</v>
      </c>
      <c r="R19" s="7" t="s">
        <v>54</v>
      </c>
      <c r="S19" s="150" t="s">
        <v>54</v>
      </c>
      <c r="T19" s="147" t="s">
        <v>54</v>
      </c>
      <c r="U19" s="31" t="s">
        <v>54</v>
      </c>
      <c r="V19" s="31" t="s">
        <v>54</v>
      </c>
      <c r="W19" s="31" t="s">
        <v>54</v>
      </c>
      <c r="X19" s="31" t="s">
        <v>54</v>
      </c>
      <c r="Y19" s="31" t="s">
        <v>54</v>
      </c>
      <c r="Z19" s="31" t="s">
        <v>54</v>
      </c>
      <c r="AA19" s="31" t="s">
        <v>54</v>
      </c>
      <c r="AB19" s="31" t="s">
        <v>54</v>
      </c>
      <c r="AC19" s="75" t="s">
        <v>54</v>
      </c>
      <c r="AE19" s="0" t="s">
        <v>104</v>
      </c>
      <c r="AF19" s="0" t="s">
        <v>81</v>
      </c>
      <c r="AG19" s="32" t="s">
        <v>105</v>
      </c>
      <c r="AH19" s="0">
        <v>9317</v>
      </c>
      <c r="AI19" s="0">
        <v>7936</v>
      </c>
      <c r="AJ19" s="13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AK19" s="8" t="s">
        <v>90</v>
      </c>
      <c r="AL19" s="9" t="s">
        <v>52</v>
      </c>
      <c r="AM19" s="13" t="s">
        <v>106</v>
      </c>
      <c r="AN19" s="34">
        <v>2</v>
      </c>
      <c r="AO19" s="34">
        <v>14</v>
      </c>
      <c r="AP19" s="52">
        <v>4</v>
      </c>
      <c r="AQ19" s="32">
        <f>TableauSuiviSprint[[#This Row],[Dev]]+TableauSuiviSprint[[#This Row],[TC / MR]]</f>
        <v>18</v>
      </c>
      <c r="AR19" s="90">
        <v>17</v>
      </c>
      <c r="AS19" s="0">
        <v>13</v>
      </c>
      <c r="AT19" s="11">
        <f>TABLEAUSUIVISPRINT[[#THIS ROW],[H. DEV]]+TABLEAUSUIVISPRINT[[#THIS ROW],[H. QUALIF]]</f>
        <v>31</v>
      </c>
      <c r="AU19" s="135">
        <f>TABLEAUSUIVISPRINT[[#THIS ROW],[INIT]]</f>
        <v>23</v>
      </c>
      <c r="AV19" s="189">
        <f>TABLEAUSUIVISPRINT[[#THIS ROW],[INIT]]</f>
        <v>17</v>
      </c>
      <c r="AW19" s="195">
        <f>TABLEAUSUIVISPRINT[[#THIS ROW],[J2]]</f>
        <v>13</v>
      </c>
      <c r="AX19" s="195">
        <f>TABLEAUSUIVISPRINT[[#THIS ROW],[J3]]</f>
        <v>13</v>
      </c>
      <c r="AY19" s="195">
        <f>TABLEAUSUIVISPRINT[[#THIS ROW],[J4]]</f>
        <v>13</v>
      </c>
      <c r="AZ19" s="195">
        <f>TABLEAUSUIVISPRINT[[#THIS ROW],[J5]]</f>
        <v>6</v>
      </c>
      <c r="BA19" s="195">
        <f>TABLEAUSUIVISPRINT[[#THIS ROW],[J6]]</f>
        <v>6</v>
      </c>
      <c r="BB19" s="195">
        <f>TABLEAUSUIVISPRINT[[#THIS ROW],[J7]]</f>
        <v>5</v>
      </c>
      <c r="BC19" s="234">
        <f>TABLEAUSUIVISPRINT[[#THIS ROW],[J8]]</f>
        <v>2</v>
      </c>
      <c r="BD19" s="241">
        <f>TABLEAUSUIVISPRINT[[#THIS ROW],[J9]]</f>
        <v>0</v>
      </c>
    </row>
    <row r="20" ht="75">
      <c r="A20" s="255"/>
      <c r="B20" s="54" t="s">
        <v>103</v>
      </c>
      <c r="C20" s="139">
        <v>0.75</v>
      </c>
      <c r="D20" s="112">
        <f t="shared" si="1"/>
        <v>10</v>
      </c>
      <c r="E20" s="109">
        <f t="shared" si="2"/>
        <v>0.75</v>
      </c>
      <c r="F20" s="76">
        <f t="shared" si="3"/>
        <v>0</v>
      </c>
      <c r="G20" s="87">
        <f t="shared" si="4"/>
        <v>0</v>
      </c>
      <c r="H20" s="87">
        <f t="shared" si="5"/>
        <v>6.75</v>
      </c>
      <c r="I20" s="132">
        <f t="shared" si="0"/>
        <v>0</v>
      </c>
      <c r="J20" s="133"/>
      <c r="K20" s="7" t="s">
        <v>59</v>
      </c>
      <c r="L20" s="7" t="s">
        <v>60</v>
      </c>
      <c r="M20" s="7" t="s">
        <v>60</v>
      </c>
      <c r="N20" s="7" t="s">
        <v>60</v>
      </c>
      <c r="O20" s="7" t="s">
        <v>60</v>
      </c>
      <c r="P20" s="7" t="s">
        <v>60</v>
      </c>
      <c r="Q20" s="7" t="s">
        <v>59</v>
      </c>
      <c r="R20" s="7" t="s">
        <v>59</v>
      </c>
      <c r="S20" s="150" t="s">
        <v>59</v>
      </c>
      <c r="T20" s="147" t="s">
        <v>59</v>
      </c>
      <c r="U20" s="31" t="s">
        <v>59</v>
      </c>
      <c r="V20" s="31" t="s">
        <v>59</v>
      </c>
      <c r="W20" s="31" t="s">
        <v>59</v>
      </c>
      <c r="X20" s="31" t="s">
        <v>59</v>
      </c>
      <c r="Y20" s="31" t="s">
        <v>59</v>
      </c>
      <c r="Z20" s="31" t="s">
        <v>59</v>
      </c>
      <c r="AA20" s="31" t="s">
        <v>59</v>
      </c>
      <c r="AB20" s="31" t="s">
        <v>59</v>
      </c>
      <c r="AC20" s="75"/>
      <c r="AE20" s="0" t="s">
        <v>107</v>
      </c>
      <c r="AF20" s="0" t="s">
        <v>81</v>
      </c>
      <c r="AG20" s="32" t="s">
        <v>105</v>
      </c>
      <c r="AH20" s="0">
        <v>9318</v>
      </c>
      <c r="AI20" s="0">
        <v>7936</v>
      </c>
      <c r="AJ20" s="13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AK20" s="8" t="s">
        <v>90</v>
      </c>
      <c r="AL20" s="9" t="s">
        <v>108</v>
      </c>
      <c r="AM20" s="13" t="s">
        <v>109</v>
      </c>
      <c r="AN20" s="34">
        <v>1</v>
      </c>
      <c r="AO20" s="34">
        <v>7</v>
      </c>
      <c r="AP20" s="52">
        <v>2</v>
      </c>
      <c r="AQ20" s="32">
        <f>TableauSuiviSprint[[#This Row],[Dev]]+TableauSuiviSprint[[#This Row],[TC / MR]]</f>
        <v>9</v>
      </c>
      <c r="AR20" s="90">
        <v>8</v>
      </c>
      <c r="AS20" s="32">
        <v>3</v>
      </c>
      <c r="AT20" s="11">
        <f>TABLEAUSUIVISPRINT[[#THIS ROW],[H. DEV]]+TABLEAUSUIVISPRINT[[#THIS ROW],[H. QUALIF]]</f>
        <v>12</v>
      </c>
      <c r="AU20" s="0">
        <f>TABLEAUSUIVISPRINT[[#THIS ROW],[INIT]]</f>
        <v>12</v>
      </c>
      <c r="AV20" s="135">
        <f>TABLEAUSUIVISPRINT[[#THIS ROW],[INIT]]</f>
        <v>8</v>
      </c>
      <c r="AW20" s="189">
        <f>TABLEAUSUIVISPRINT[[#THIS ROW],[J2]]</f>
        <v>1</v>
      </c>
      <c r="AX20" s="195">
        <f>TABLEAUSUIVISPRINT[[#THIS ROW],[J3]]</f>
        <v>1</v>
      </c>
      <c r="AY20" s="195">
        <f>TABLEAUSUIVISPRINT[[#THIS ROW],[J4]]</f>
        <v>1</v>
      </c>
      <c r="AZ20" s="195">
        <f>TABLEAUSUIVISPRINT[[#THIS ROW],[J5]]</f>
        <v>1</v>
      </c>
      <c r="BA20" s="136">
        <f>TABLEAUSUIVISPRINT[[#THIS ROW],[J6]]</f>
        <v>1</v>
      </c>
      <c r="BB20" s="195">
        <f>TABLEAUSUIVISPRINT[[#THIS ROW],[J7]]</f>
        <v>1</v>
      </c>
      <c r="BC20" s="193">
        <f>TABLEAUSUIVISPRINT[[#THIS ROW],[J8]]</f>
        <v>0</v>
      </c>
      <c r="BD20" s="241">
        <f>TABLEAUSUIVISPRINT[[#THIS ROW],[J9]]</f>
        <v>0</v>
      </c>
    </row>
    <row r="21" ht="30">
      <c r="A21" s="119">
        <f>[1]Planning!$PZ$22</f>
        <v>10</v>
      </c>
      <c r="B21" s="54" t="s">
        <v>110</v>
      </c>
      <c r="C21" s="139">
        <v>1</v>
      </c>
      <c r="D21" s="112">
        <f t="shared" si="1"/>
        <v>10</v>
      </c>
      <c r="E21" s="109">
        <f t="shared" si="2"/>
        <v>1</v>
      </c>
      <c r="F21" s="76">
        <f t="shared" si="3"/>
        <v>0</v>
      </c>
      <c r="G21" s="87">
        <f t="shared" si="4"/>
        <v>0</v>
      </c>
      <c r="H21" s="87">
        <f t="shared" si="5"/>
        <v>9</v>
      </c>
      <c r="I21" s="132">
        <f t="shared" si="0"/>
        <v>0</v>
      </c>
      <c r="J21" s="133"/>
      <c r="K21" s="7" t="s">
        <v>59</v>
      </c>
      <c r="L21" s="7" t="s">
        <v>59</v>
      </c>
      <c r="M21" s="7" t="s">
        <v>59</v>
      </c>
      <c r="N21" s="7" t="s">
        <v>59</v>
      </c>
      <c r="O21" s="7" t="s">
        <v>59</v>
      </c>
      <c r="P21" s="7" t="s">
        <v>59</v>
      </c>
      <c r="Q21" s="7" t="s">
        <v>59</v>
      </c>
      <c r="R21" s="7" t="s">
        <v>59</v>
      </c>
      <c r="S21" s="150" t="s">
        <v>59</v>
      </c>
      <c r="T21" s="133" t="s">
        <v>59</v>
      </c>
      <c r="U21" s="7" t="s">
        <v>59</v>
      </c>
      <c r="V21" s="7" t="s">
        <v>59</v>
      </c>
      <c r="W21" s="7" t="s">
        <v>59</v>
      </c>
      <c r="X21" s="7" t="s">
        <v>59</v>
      </c>
      <c r="Y21" s="7" t="s">
        <v>59</v>
      </c>
      <c r="Z21" s="7" t="s">
        <v>59</v>
      </c>
      <c r="AA21" s="31" t="s">
        <v>59</v>
      </c>
      <c r="AB21" s="31" t="s">
        <v>59</v>
      </c>
      <c r="AC21" s="75"/>
      <c r="AE21" s="0" t="s">
        <v>111</v>
      </c>
      <c r="AF21" s="0" t="s">
        <v>81</v>
      </c>
      <c r="AG21" s="32" t="s">
        <v>82</v>
      </c>
      <c r="AH21" s="0">
        <v>10800</v>
      </c>
      <c r="AI21" s="0">
        <v>9238</v>
      </c>
      <c r="AJ21" s="13" t="str">
        <f>IF(TABLEAUSUIVISPRINT[[#THIS ROW],[N° FEATURE]]&lt;&gt;"",VLOOKUP(TABLEAUSUIVISPRINT[[#THIS ROW],[N° FEATURE]],SSG_FEATURES[[#ALL],[ID]:[TAGS]],3,FALSE),"")</f>
        <v>S20221107 Tableau des effectifs - Lot 1</v>
      </c>
      <c r="AK21" s="8" t="s">
        <v>83</v>
      </c>
      <c r="AL21" s="9" t="s">
        <v>112</v>
      </c>
      <c r="AM21" s="13" t="s">
        <v>113</v>
      </c>
      <c r="AN21" s="34">
        <v>2</v>
      </c>
      <c r="AO21" s="34">
        <v>14</v>
      </c>
      <c r="AP21" s="52">
        <v>4</v>
      </c>
      <c r="AQ21" s="32">
        <f>TableauSuiviSprint[[#This Row],[Dev]]+TableauSuiviSprint[[#This Row],[TC / MR]]</f>
        <v>18</v>
      </c>
      <c r="AR21" s="90">
        <v>6</v>
      </c>
      <c r="AS21" s="32">
        <v>4</v>
      </c>
      <c r="AT21" s="11">
        <f>TABLEAUSUIVISPRINT[[#THIS ROW],[H. DEV]]+TABLEAUSUIVISPRINT[[#THIS ROW],[H. QUALIF]]</f>
        <v>22</v>
      </c>
      <c r="AU21" s="0">
        <f>TABLEAUSUIVISPRINT[[#THIS ROW],[INIT]]</f>
        <v>20</v>
      </c>
      <c r="AV21" s="0">
        <f>TABLEAUSUIVISPRINT[[#THIS ROW],[INIT]]</f>
        <v>20</v>
      </c>
      <c r="AW21" s="190">
        <f>TABLEAUSUIVISPRINT[[#THIS ROW],[J2]]</f>
        <v>7</v>
      </c>
      <c r="AX21" s="195">
        <f>TABLEAUSUIVISPRINT[[#THIS ROW],[J3]]</f>
        <v>2</v>
      </c>
      <c r="AY21" s="195">
        <f>TABLEAUSUIVISPRINT[[#THIS ROW],[J4]]</f>
        <v>2</v>
      </c>
      <c r="AZ21" s="195">
        <f>TABLEAUSUIVISPRINT[[#THIS ROW],[J5]]</f>
        <v>1</v>
      </c>
      <c r="BA21" s="224">
        <f>TABLEAUSUIVISPRINT[[#THIS ROW],[J6]]</f>
        <v>1</v>
      </c>
      <c r="BB21" s="193">
        <f>TABLEAUSUIVISPRINT[[#THIS ROW],[J7]]</f>
        <v>0</v>
      </c>
      <c r="BC21" s="193">
        <f>TABLEAUSUIVISPRINT[[#THIS ROW],[J8]]</f>
        <v>0</v>
      </c>
      <c r="BD21" s="241">
        <f>TABLEAUSUIVISPRINT[[#THIS ROW],[J9]]</f>
        <v>0</v>
      </c>
    </row>
    <row r="22" ht="30">
      <c r="A22" s="119">
        <f>[1]Planning!$PZ$21</f>
        <v>10</v>
      </c>
      <c r="B22" s="55" t="s">
        <v>114</v>
      </c>
      <c r="C22" s="139">
        <v>0.75</v>
      </c>
      <c r="D22" s="112">
        <f t="shared" si="1"/>
        <v>10</v>
      </c>
      <c r="E22" s="109">
        <f t="shared" si="2"/>
        <v>0.75</v>
      </c>
      <c r="F22" s="87">
        <f t="shared" si="3"/>
        <v>0</v>
      </c>
      <c r="G22" s="87">
        <f t="shared" si="4"/>
        <v>0</v>
      </c>
      <c r="H22" s="76">
        <f t="shared" si="5"/>
        <v>0</v>
      </c>
      <c r="I22" s="132">
        <f t="shared" si="0"/>
        <v>6.75</v>
      </c>
      <c r="J22" s="133"/>
      <c r="K22" s="7" t="s">
        <v>52</v>
      </c>
      <c r="L22" s="7" t="s">
        <v>52</v>
      </c>
      <c r="M22" s="7" t="s">
        <v>52</v>
      </c>
      <c r="N22" s="7" t="s">
        <v>52</v>
      </c>
      <c r="O22" s="7" t="s">
        <v>52</v>
      </c>
      <c r="P22" s="7" t="s">
        <v>52</v>
      </c>
      <c r="Q22" s="7" t="s">
        <v>52</v>
      </c>
      <c r="R22" s="7" t="s">
        <v>52</v>
      </c>
      <c r="S22" s="150" t="s">
        <v>52</v>
      </c>
      <c r="T22" s="133" t="s">
        <v>52</v>
      </c>
      <c r="U22" s="7" t="s">
        <v>52</v>
      </c>
      <c r="V22" s="7" t="s">
        <v>52</v>
      </c>
      <c r="W22" s="7" t="s">
        <v>52</v>
      </c>
      <c r="X22" s="7" t="s">
        <v>52</v>
      </c>
      <c r="Y22" s="7" t="s">
        <v>52</v>
      </c>
      <c r="Z22" s="7" t="s">
        <v>52</v>
      </c>
      <c r="AA22" s="7" t="s">
        <v>52</v>
      </c>
      <c r="AB22" s="7" t="s">
        <v>52</v>
      </c>
      <c r="AC22" s="30"/>
      <c r="AE22" s="0" t="s">
        <v>115</v>
      </c>
      <c r="AF22" s="0" t="s">
        <v>81</v>
      </c>
      <c r="AG22" s="32" t="s">
        <v>82</v>
      </c>
      <c r="AH22" s="0">
        <v>10738</v>
      </c>
      <c r="AI22" s="0">
        <v>9238</v>
      </c>
      <c r="AJ22" s="13" t="str">
        <f>IF(TABLEAUSUIVISPRINT[[#THIS ROW],[N° FEATURE]]&lt;&gt;"",VLOOKUP(TABLEAUSUIVISPRINT[[#THIS ROW],[N° FEATURE]],SSG_FEATURES[[#ALL],[ID]:[TAGS]],3,FALSE),"")</f>
        <v>S20221107 Tableau des effectifs - Lot 1</v>
      </c>
      <c r="AK22" s="8" t="s">
        <v>83</v>
      </c>
      <c r="AL22" s="9" t="s">
        <v>116</v>
      </c>
      <c r="AM22" s="13" t="s">
        <v>117</v>
      </c>
      <c r="AN22" s="34">
        <v>2</v>
      </c>
      <c r="AO22" s="34">
        <v>14</v>
      </c>
      <c r="AP22" s="52">
        <v>4</v>
      </c>
      <c r="AQ22" s="32">
        <f>TableauSuiviSprint[[#This Row],[Dev]]+TableauSuiviSprint[[#This Row],[TC / MR]]</f>
        <v>18</v>
      </c>
      <c r="AR22" s="90">
        <v>10</v>
      </c>
      <c r="AS22" s="0">
        <v>3</v>
      </c>
      <c r="AT22" s="11">
        <f>TABLEAUSUIVISPRINT[[#THIS ROW],[H. DEV]]+TABLEAUSUIVISPRINT[[#THIS ROW],[H. QUALIF]]</f>
        <v>21</v>
      </c>
      <c r="AU22" s="0">
        <f>TABLEAUSUIVISPRINT[[#THIS ROW],[INIT]]</f>
        <v>20</v>
      </c>
      <c r="AV22" s="0">
        <f>TABLEAUSUIVISPRINT[[#THIS ROW],[INIT]]</f>
        <v>20</v>
      </c>
      <c r="AW22" s="0">
        <f>TABLEAUSUIVISPRINT[[#THIS ROW],[J2]]</f>
        <v>20</v>
      </c>
      <c r="AX22" s="11">
        <f>TABLEAUSUIVISPRINT[[#THIS ROW],[J3]]</f>
        <v>17</v>
      </c>
      <c r="AY22" s="11">
        <f>TABLEAUSUIVISPRINT[[#THIS ROW],[J4]]</f>
        <v>12</v>
      </c>
      <c r="AZ22" s="188">
        <f>TABLEAUSUIVISPRINT[[#THIS ROW],[J5]]</f>
        <v>6</v>
      </c>
      <c r="BA22" s="224">
        <f>TABLEAUSUIVISPRINT[[#THIS ROW],[J6]]</f>
        <v>1</v>
      </c>
      <c r="BB22" s="193">
        <f>TABLEAUSUIVISPRINT[[#THIS ROW],[J7]]</f>
        <v>0</v>
      </c>
      <c r="BC22" s="193">
        <f>TABLEAUSUIVISPRINT[[#THIS ROW],[J8]]</f>
        <v>0</v>
      </c>
      <c r="BD22" s="241">
        <f>TABLEAUSUIVISPRINT[[#THIS ROW],[J9]]</f>
        <v>0</v>
      </c>
    </row>
    <row r="23" ht="75">
      <c r="A23" s="119">
        <f>[1]Planning!$PZ$23</f>
        <v>10</v>
      </c>
      <c r="B23" s="55" t="s">
        <v>118</v>
      </c>
      <c r="C23" s="139">
        <v>0.75</v>
      </c>
      <c r="D23" s="112">
        <f t="shared" si="1"/>
        <v>10</v>
      </c>
      <c r="E23" s="109">
        <f t="shared" si="2"/>
        <v>0.375</v>
      </c>
      <c r="F23" s="87">
        <f t="shared" si="3"/>
        <v>2.625</v>
      </c>
      <c r="G23" s="87">
        <f t="shared" si="4"/>
        <v>4.5</v>
      </c>
      <c r="H23" s="76">
        <f t="shared" si="5"/>
        <v>0</v>
      </c>
      <c r="I23" s="132">
        <f t="shared" si="0"/>
        <v>0</v>
      </c>
      <c r="J23" s="133"/>
      <c r="K23" s="7" t="s">
        <v>70</v>
      </c>
      <c r="L23" s="7" t="s">
        <v>70</v>
      </c>
      <c r="M23" s="7" t="s">
        <v>70</v>
      </c>
      <c r="N23" s="7" t="s">
        <v>70</v>
      </c>
      <c r="O23" s="7" t="s">
        <v>70</v>
      </c>
      <c r="P23" s="7" t="s">
        <v>70</v>
      </c>
      <c r="Q23" s="7" t="s">
        <v>70</v>
      </c>
      <c r="R23" s="7" t="s">
        <v>71</v>
      </c>
      <c r="S23" s="150" t="s">
        <v>71</v>
      </c>
      <c r="T23" s="133" t="s">
        <v>71</v>
      </c>
      <c r="U23" s="7" t="s">
        <v>71</v>
      </c>
      <c r="V23" s="7" t="s">
        <v>71</v>
      </c>
      <c r="W23" s="7" t="s">
        <v>71</v>
      </c>
      <c r="X23" s="7" t="s">
        <v>71</v>
      </c>
      <c r="Y23" s="7" t="s">
        <v>71</v>
      </c>
      <c r="Z23" s="7" t="s">
        <v>71</v>
      </c>
      <c r="AA23" s="7" t="s">
        <v>71</v>
      </c>
      <c r="AB23" s="7" t="s">
        <v>71</v>
      </c>
      <c r="AC23" s="30" t="s">
        <v>71</v>
      </c>
      <c r="AE23" s="5" t="s">
        <v>119</v>
      </c>
      <c r="AF23" s="5" t="s">
        <v>81</v>
      </c>
      <c r="AG23" s="225" t="s">
        <v>105</v>
      </c>
      <c r="AH23" s="5">
        <v>9605</v>
      </c>
      <c r="AI23" s="5">
        <v>7936</v>
      </c>
      <c r="AJ23" s="226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AK23" s="227" t="s">
        <v>90</v>
      </c>
      <c r="AL23" s="228" t="s">
        <v>120</v>
      </c>
      <c r="AM23" s="226" t="s">
        <v>121</v>
      </c>
      <c r="AN23" s="229">
        <v>3</v>
      </c>
      <c r="AO23" s="229">
        <v>21</v>
      </c>
      <c r="AP23" s="230">
        <v>6</v>
      </c>
      <c r="AQ23" s="225">
        <f>TableauSuiviSprint[[#This Row],[Dev]]+TableauSuiviSprint[[#This Row],[TC / MR]]</f>
        <v>27</v>
      </c>
      <c r="AR23" s="90">
        <v>45</v>
      </c>
      <c r="AS23" s="32">
        <v>8</v>
      </c>
      <c r="AT23" s="11">
        <f>TABLEAUSUIVISPRINT[[#THIS ROW],[H. DEV]]+TABLEAUSUIVISPRINT[[#THIS ROW],[H. QUALIF]]</f>
        <v>35</v>
      </c>
      <c r="AU23" s="0">
        <f>TABLEAUSUIVISPRINT[[#THIS ROW],[INIT]]</f>
        <v>35</v>
      </c>
      <c r="AV23" s="190">
        <f>TABLEAUSUIVISPRINT[[#THIS ROW],[INIT]]</f>
        <v>32</v>
      </c>
      <c r="AW23" s="190">
        <f>TABLEAUSUIVISPRINT[[#THIS ROW],[J2]]</f>
        <v>28</v>
      </c>
      <c r="AX23" s="190">
        <f>TABLEAUSUIVISPRINT[[#THIS ROW],[J3]]</f>
        <v>22</v>
      </c>
      <c r="AY23" s="190">
        <f>TABLEAUSUIVISPRINT[[#THIS ROW],[J4]]</f>
        <v>20</v>
      </c>
      <c r="AZ23" s="190">
        <f>TABLEAUSUIVISPRINT[[#THIS ROW],[J5]]</f>
        <v>20</v>
      </c>
      <c r="BA23" s="190">
        <f>TABLEAUSUIVISPRINT[[#THIS ROW],[J6]]</f>
        <v>17</v>
      </c>
      <c r="BB23" s="190">
        <f>TABLEAUSUIVISPRINT[[#THIS ROW],[J7]]</f>
        <v>17</v>
      </c>
      <c r="BC23" s="190">
        <f>TABLEAUSUIVISPRINT[[#THIS ROW],[J8]]</f>
        <v>17</v>
      </c>
      <c r="BD23" s="190">
        <f>TABLEAUSUIVISPRINT[[#THIS ROW],[J9]]</f>
        <v>17</v>
      </c>
    </row>
    <row r="24" ht="60">
      <c r="A24" s="119">
        <f>[1]Planning!$PZ$25</f>
        <v>8</v>
      </c>
      <c r="B24" s="55" t="s">
        <v>122</v>
      </c>
      <c r="C24" s="139">
        <v>0.75</v>
      </c>
      <c r="D24" s="112">
        <f t="shared" si="1"/>
        <v>8</v>
      </c>
      <c r="E24" s="109">
        <f t="shared" si="2"/>
        <v>0</v>
      </c>
      <c r="F24" s="87">
        <f>COUNTIF($J24:$AC24,"S")/2*C24</f>
        <v>2.25</v>
      </c>
      <c r="G24" s="87">
        <f>COUNTIF($J24:$AC24,"Q")/2*C24</f>
        <v>3.75</v>
      </c>
      <c r="H24" s="76">
        <f>COUNTIF($J24:$AC24,"T")/2*C24</f>
        <v>0</v>
      </c>
      <c r="I24" s="132">
        <f>COUNTIF($J24:$AC24,"D")/2*C24</f>
        <v>0</v>
      </c>
      <c r="J24" s="133" t="s">
        <v>70</v>
      </c>
      <c r="K24" s="7" t="s">
        <v>70</v>
      </c>
      <c r="L24" s="7" t="s">
        <v>70</v>
      </c>
      <c r="M24" s="7" t="s">
        <v>70</v>
      </c>
      <c r="N24" s="7" t="s">
        <v>70</v>
      </c>
      <c r="O24" s="7" t="s">
        <v>70</v>
      </c>
      <c r="P24" s="7" t="s">
        <v>54</v>
      </c>
      <c r="Q24" s="7" t="s">
        <v>54</v>
      </c>
      <c r="R24" s="7" t="s">
        <v>54</v>
      </c>
      <c r="S24" s="150" t="s">
        <v>54</v>
      </c>
      <c r="T24" s="133" t="s">
        <v>71</v>
      </c>
      <c r="U24" s="7" t="s">
        <v>71</v>
      </c>
      <c r="V24" s="7" t="s">
        <v>71</v>
      </c>
      <c r="W24" s="7" t="s">
        <v>71</v>
      </c>
      <c r="X24" s="7" t="s">
        <v>71</v>
      </c>
      <c r="Y24" s="7" t="s">
        <v>71</v>
      </c>
      <c r="Z24" s="7" t="s">
        <v>71</v>
      </c>
      <c r="AA24" s="7" t="s">
        <v>71</v>
      </c>
      <c r="AB24" s="7" t="s">
        <v>71</v>
      </c>
      <c r="AC24" s="30" t="s">
        <v>71</v>
      </c>
      <c r="AE24" s="48" t="s">
        <v>123</v>
      </c>
      <c r="AF24" s="48" t="s">
        <v>81</v>
      </c>
      <c r="AG24" s="203" t="s">
        <v>124</v>
      </c>
      <c r="AH24" s="48">
        <v>12547</v>
      </c>
      <c r="AI24" s="48">
        <v>12550</v>
      </c>
      <c r="AJ24" s="204" t="str">
        <f>IF(TABLEAUSUIVISPRINT[[#THIS ROW],[N° FEATURE]]&lt;&gt;"",VLOOKUP(TABLEAUSUIVISPRINT[[#THIS ROW],[N° FEATURE]],SSG_FEATURES[[#ALL],[ID]:[TAGS]],3,FALSE),"")</f>
        <v>[I230720_058]  Erreur génération automatique du bulletin de situation de l’agent</v>
      </c>
      <c r="AK24" s="205" t="s">
        <v>125</v>
      </c>
      <c r="AL24" s="206" t="s">
        <v>126</v>
      </c>
      <c r="AM24" s="204" t="s">
        <v>127</v>
      </c>
      <c r="AN24" s="215">
        <v>2</v>
      </c>
      <c r="AO24" s="207">
        <v>12</v>
      </c>
      <c r="AP24" s="207">
        <v>4</v>
      </c>
      <c r="AQ24" s="203">
        <f>TableauSuiviSprint[[#This Row],[Dev]]+TableauSuiviSprint[[#This Row],[TC / MR]]</f>
        <v>16</v>
      </c>
      <c r="AR24" s="90">
        <v>28</v>
      </c>
      <c r="AS24" s="0">
        <v>3</v>
      </c>
      <c r="AT24" s="11">
        <f>TABLEAUSUIVISPRINT[[#THIS ROW],[H. DEV]]+TABLEAUSUIVISPRINT[[#THIS ROW],[H. QUALIF]]</f>
      </c>
      <c r="AU24" s="0">
        <f>TABLEAUSUIVISPRINT[[#THIS ROW],[INIT]]</f>
      </c>
      <c r="AV24" s="0">
        <f>TABLEAUSUIVISPRINT[[#THIS ROW],[INIT]]</f>
      </c>
      <c r="AW24" s="0">
        <f>TABLEAUSUIVISPRINT[[#THIS ROW],[J2]]</f>
        <v>19</v>
      </c>
      <c r="AX24" s="187">
        <f>TABLEAUSUIVISPRINT[[#THIS ROW],[J3]]</f>
        <v>7</v>
      </c>
      <c r="AY24" s="195">
        <f>TABLEAUSUIVISPRINT[[#THIS ROW],[J4]]</f>
        <v>2</v>
      </c>
      <c r="AZ24" s="216">
        <f>TABLEAUSUIVISPRINT[[#THIS ROW],[J5]]</f>
        <v>0</v>
      </c>
      <c r="BA24" s="216">
        <f>TABLEAUSUIVISPRINT[[#THIS ROW],[J6]]</f>
        <v>0</v>
      </c>
      <c r="BB24" s="216">
        <f>TABLEAUSUIVISPRINT[[#THIS ROW],[J7]]</f>
        <v>0</v>
      </c>
      <c r="BC24" s="216">
        <f>TABLEAUSUIVISPRINT[[#THIS ROW],[J8]]</f>
        <v>0</v>
      </c>
      <c r="BD24" s="216">
        <f>TABLEAUSUIVISPRINT[[#THIS ROW],[J9]]</f>
        <v>0</v>
      </c>
    </row>
    <row r="25" ht="31.5" customHeight="1">
      <c r="B25" s="140" t="s">
        <v>128</v>
      </c>
      <c r="C25" s="141">
        <v>1</v>
      </c>
      <c r="D25" s="113">
        <f t="shared" si="1"/>
        <v>0</v>
      </c>
      <c r="E25" s="85">
        <f t="shared" si="2"/>
        <v>0</v>
      </c>
      <c r="F25" s="86">
        <f t="shared" si="3"/>
        <v>0</v>
      </c>
      <c r="G25" s="86">
        <f t="shared" si="4"/>
        <v>0</v>
      </c>
      <c r="H25" s="86">
        <f t="shared" si="5"/>
        <v>0</v>
      </c>
      <c r="I25" s="145">
        <f t="shared" si="0"/>
        <v>0</v>
      </c>
      <c r="J25" s="17" t="s">
        <v>54</v>
      </c>
      <c r="K25" s="148" t="s">
        <v>54</v>
      </c>
      <c r="L25" s="148" t="s">
        <v>129</v>
      </c>
      <c r="M25" s="148" t="s">
        <v>129</v>
      </c>
      <c r="N25" s="148" t="s">
        <v>129</v>
      </c>
      <c r="O25" s="148" t="s">
        <v>129</v>
      </c>
      <c r="P25" s="148" t="s">
        <v>129</v>
      </c>
      <c r="Q25" s="148" t="s">
        <v>129</v>
      </c>
      <c r="R25" s="148" t="s">
        <v>129</v>
      </c>
      <c r="S25" s="152" t="s">
        <v>129</v>
      </c>
      <c r="T25" s="17" t="s">
        <v>129</v>
      </c>
      <c r="U25" s="148" t="s">
        <v>129</v>
      </c>
      <c r="V25" s="148" t="s">
        <v>129</v>
      </c>
      <c r="W25" s="148" t="s">
        <v>129</v>
      </c>
      <c r="X25" s="148" t="s">
        <v>129</v>
      </c>
      <c r="Y25" s="148" t="s">
        <v>129</v>
      </c>
      <c r="Z25" s="148" t="s">
        <v>129</v>
      </c>
      <c r="AA25" s="148" t="s">
        <v>129</v>
      </c>
      <c r="AB25" s="148" t="s">
        <v>129</v>
      </c>
      <c r="AC25" s="22" t="s">
        <v>129</v>
      </c>
      <c r="AE25" s="48" t="s">
        <v>80</v>
      </c>
      <c r="AF25" s="48" t="s">
        <v>81</v>
      </c>
      <c r="AG25" s="203" t="s">
        <v>124</v>
      </c>
      <c r="AH25" s="48">
        <v>12597</v>
      </c>
      <c r="AI25" s="48">
        <v>12550</v>
      </c>
      <c r="AJ25" s="204" t="str">
        <f>IF(TABLEAUSUIVISPRINT[[#THIS ROW],[N° FEATURE]]&lt;&gt;"",VLOOKUP(TABLEAUSUIVISPRINT[[#THIS ROW],[N° FEATURE]],SSG_FEATURES[[#ALL],[ID]:[TAGS]],3,FALSE),"")</f>
        <v>[I230720_058]  Erreur génération automatique du bulletin de situation de l’agent</v>
      </c>
      <c r="AK25" s="205" t="s">
        <v>125</v>
      </c>
      <c r="AL25" s="206" t="s">
        <v>130</v>
      </c>
      <c r="AM25" s="204" t="s">
        <v>131</v>
      </c>
      <c r="AN25" s="215">
        <v>2</v>
      </c>
      <c r="AO25" s="207">
        <v>8</v>
      </c>
      <c r="AP25" s="207">
        <v>4</v>
      </c>
      <c r="AQ25" s="203">
        <f>TableauSuiviSprint[[#This Row],[Dev]]+TableauSuiviSprint[[#This Row],[TC / MR]]</f>
        <v>12</v>
      </c>
      <c r="AR25" s="90">
        <v>19</v>
      </c>
      <c r="AS25" s="0">
        <v>4</v>
      </c>
      <c r="AT25" s="11">
        <f>TABLEAUSUIVISPRINT[[#THIS ROW],[H. DEV]]+TABLEAUSUIVISPRINT[[#THIS ROW],[H. QUALIF]]</f>
      </c>
      <c r="AU25" s="0">
        <f>TABLEAUSUIVISPRINT[[#THIS ROW],[INIT]]</f>
        <v>0</v>
      </c>
      <c r="AV25" s="0">
        <f>TABLEAUSUIVISPRINT[[#THIS ROW],[INIT]]</f>
        <v>0</v>
      </c>
      <c r="AW25" s="0">
        <f>TABLEAUSUIVISPRINT[[#THIS ROW],[J2]]</f>
        <v>0</v>
      </c>
      <c r="AX25" s="180">
        <f>TABLEAUSUIVISPRINT[[#THIS ROW],[J3]]</f>
        <v>0</v>
      </c>
      <c r="AY25" s="180">
        <f>TABLEAUSUIVISPRINT[[#THIS ROW],[J4]]</f>
        <v>0</v>
      </c>
      <c r="AZ25" s="0">
        <f>TABLEAUSUIVISPRINT[[#THIS ROW],[J5]]</f>
        <v>0</v>
      </c>
      <c r="BA25" s="0">
        <f>TABLEAUSUIVISPRINT[[#THIS ROW],[J6]]</f>
        <v>16</v>
      </c>
      <c r="BB25" s="195">
        <f>TABLEAUSUIVISPRINT[[#THIS ROW],[J7]]</f>
        <v>3.5</v>
      </c>
      <c r="BC25" s="216">
        <f>TABLEAUSUIVISPRINT[[#THIS ROW],[J8]]</f>
        <v>0</v>
      </c>
      <c r="BD25" s="216">
        <f>TABLEAUSUIVISPRINT[[#THIS ROW],[J9]]</f>
        <v>0</v>
      </c>
    </row>
    <row r="26" ht="57.6" customHeight="1">
      <c r="B26" s="258" t="s">
        <v>132</v>
      </c>
      <c r="C26" s="259"/>
      <c r="D26" s="260"/>
      <c r="E26" s="261">
        <f>SUM(J26:AC26)</f>
        <v>46.125</v>
      </c>
      <c r="F26" s="261"/>
      <c r="G26" s="261"/>
      <c r="H26" s="261"/>
      <c r="I26" s="261"/>
      <c r="J26" s="262">
        <f ref="J26:J26" t="array">SUMPRODUCT((UPPER(J$6:K$25)="D")*($C$6:$C$25)*0.5)+SUMPRODUCT((UPPER(J$6:K$25)="T")*($C$6:$C$25)*0.5)</f>
        <v>1.625</v>
      </c>
      <c r="K26" s="262"/>
      <c r="L26" s="262">
        <f ref="L26:L26" t="array">SUMPRODUCT((UPPER(L$6:M$25)="D")*($C$6:$C$25)*0.5)+SUMPRODUCT((UPPER(L$6:M$25)="T")*($C$6:$C$25)*0.5)</f>
        <v>4</v>
      </c>
      <c r="M26" s="262"/>
      <c r="N26" s="262">
        <f ref="N26:N26" t="array">SUMPRODUCT((UPPER(N$6:O$25)="D")*($C$6:$C$25)*0.5)+SUMPRODUCT((UPPER(N$6:O$25)="T")*($C$6:$C$25)*0.5)</f>
        <v>5</v>
      </c>
      <c r="O26" s="262"/>
      <c r="P26" s="262">
        <f ref="P26:P26" t="array">SUMPRODUCT((UPPER(P$6:Q$25)="D")*($C$6:$C$25)*0.5)+SUMPRODUCT((UPPER(P$6:Q$25)="T")*($C$6:$C$25)*0.5)</f>
        <v>6.25</v>
      </c>
      <c r="Q26" s="262"/>
      <c r="R26" s="262">
        <f ref="R26:R26" t="array">SUMPRODUCT((UPPER(R$6:S$25)="D")*($C$6:$C$25)*0.5)+SUMPRODUCT((UPPER(R$6:S$25)="T")*($C$6:$C$25)*0.5)</f>
        <v>5.25</v>
      </c>
      <c r="S26" s="262"/>
      <c r="T26" s="272">
        <f ref="T26:T26" t="array">SUMPRODUCT((UPPER(T$6:U$25)="D")*($C$6:$C$25)*0.5)+SUMPRODUCT((UPPER(T$6:U$25)="T")*($C$6:$C$25)*0.5)</f>
        <v>5.25</v>
      </c>
      <c r="U26" s="272"/>
      <c r="V26" s="272">
        <f ref="V26:V26" t="array">SUMPRODUCT((UPPER(V$6:W$25)="D")*($C$6:$C$25)*0.5)+SUMPRODUCT((UPPER(V$6:W$25)="T")*($C$6:$C$25)*0.5)</f>
        <v>5.25</v>
      </c>
      <c r="W26" s="272"/>
      <c r="X26" s="272">
        <f ref="X26:X26" t="array">SUMPRODUCT((UPPER(X$6:Y$25)="D")*($C$6:$C$25)*0.5)+SUMPRODUCT((UPPER(X$6:Y$25)="T")*($C$6:$C$25)*0.5)</f>
        <v>5.375</v>
      </c>
      <c r="Y26" s="272"/>
      <c r="Z26" s="272">
        <f ref="Z26:Z26" t="array">SUMPRODUCT((UPPER(Z$6:AA$25)="D")*($C$6:$C$25)*0.5)+SUMPRODUCT((UPPER(Z$6:AA$25)="T")*($C$6:$C$25)*0.5)</f>
        <v>6.5</v>
      </c>
      <c r="AA26" s="272"/>
      <c r="AB26" s="272">
        <f ref="AB26:AB26" t="array">SUMPRODUCT((UPPER(AB$6:AC$25)="D")*($C$6:$C$25)*0.5)+SUMPRODUCT((UPPER(AB$6:AC$25)="T")*($C$6:$C$25)*0.5)</f>
        <v>1.625</v>
      </c>
      <c r="AC26" s="273"/>
      <c r="AE26" s="208" t="s">
        <v>133</v>
      </c>
      <c r="AF26" s="208" t="s">
        <v>81</v>
      </c>
      <c r="AG26" s="209" t="s">
        <v>105</v>
      </c>
      <c r="AH26" s="208">
        <v>9319</v>
      </c>
      <c r="AI26" s="208">
        <v>7936</v>
      </c>
      <c r="AJ26" s="210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AK26" s="211" t="s">
        <v>90</v>
      </c>
      <c r="AL26" s="212" t="s">
        <v>60</v>
      </c>
      <c r="AM26" s="210" t="s">
        <v>134</v>
      </c>
      <c r="AN26" s="213">
        <v>2</v>
      </c>
      <c r="AO26" s="209">
        <v>14</v>
      </c>
      <c r="AP26" s="209">
        <v>4</v>
      </c>
      <c r="AQ26" s="209">
        <f>TableauSuiviSprint[[#This Row],[Dev]]+TableauSuiviSprint[[#This Row],[TC / MR]]</f>
        <v>18</v>
      </c>
      <c r="AR26" s="90"/>
      <c r="AS26" s="0">
        <v>4</v>
      </c>
      <c r="AT26" s="11">
        <f>TABLEAUSUIVISPRINT[[#THIS ROW],[H. DEV]]+TABLEAUSUIVISPRINT[[#THIS ROW],[H. QUALIF]]</f>
        <v>22</v>
      </c>
      <c r="AU26" s="0">
        <f>TABLEAUSUIVISPRINT[[#THIS ROW],[INIT]]</f>
        <v>22</v>
      </c>
      <c r="AV26" s="0">
        <f>TABLEAUSUIVISPRINT[[#THIS ROW],[INIT]]</f>
        <v>22</v>
      </c>
      <c r="AW26" s="0">
        <f>TABLEAUSUIVISPRINT[[#THIS ROW],[J2]]</f>
        <v>22</v>
      </c>
      <c r="AX26" s="0">
        <f>TABLEAUSUIVISPRINT[[#THIS ROW],[J3]]</f>
        <v>0</v>
      </c>
      <c r="AY26" s="0">
        <f>TABLEAUSUIVISPRINT[[#THIS ROW],[J4]]</f>
        <v>0</v>
      </c>
      <c r="AZ26" s="0">
        <f>TABLEAUSUIVISPRINT[[#THIS ROW],[J5]]</f>
        <v>0</v>
      </c>
      <c r="BA26" s="0">
        <f>TABLEAUSUIVISPRINT[[#THIS ROW],[J6]]</f>
        <v>0</v>
      </c>
      <c r="BB26" s="0">
        <f>TABLEAUSUIVISPRINT[[#THIS ROW],[J7]]</f>
        <v>0</v>
      </c>
      <c r="BC26" s="0">
        <f>TABLEAUSUIVISPRINT[[#THIS ROW],[J8]]</f>
        <v>0</v>
      </c>
      <c r="BD26" s="0">
        <f>TABLEAUSUIVISPRINT[[#THIS ROW],[J9]]</f>
        <v>0</v>
      </c>
    </row>
    <row r="27" ht="75.75">
      <c r="B27" s="264" t="s">
        <v>135</v>
      </c>
      <c r="C27" s="265"/>
      <c r="D27" s="274"/>
      <c r="E27" s="261">
        <f>SUM(J27:AC27)</f>
        <v>23.125</v>
      </c>
      <c r="F27" s="261"/>
      <c r="G27" s="261"/>
      <c r="H27" s="261"/>
      <c r="I27" s="261"/>
      <c r="J27" s="275">
        <f>SUMPRODUCT((UPPER(J$6:K$25)="T")*($C$6:$C$25)*0.5)</f>
        <v>0.875</v>
      </c>
      <c r="K27" s="275"/>
      <c r="L27" s="275">
        <f>SUMPRODUCT((UPPER(L$6:M$25)="T")*($C$6:$C$25)*0.5)</f>
        <v>1.75</v>
      </c>
      <c r="M27" s="275"/>
      <c r="N27" s="275">
        <f>SUMPRODUCT((UPPER(N$6:O$25)="T")*($C$6:$C$25)*0.5)</f>
        <v>2.5</v>
      </c>
      <c r="O27" s="275"/>
      <c r="P27" s="275">
        <f>SUMPRODUCT((UPPER(P$6:Q$25)="T")*($C$6:$C$25)*0.5)</f>
        <v>2.5</v>
      </c>
      <c r="Q27" s="275"/>
      <c r="R27" s="275">
        <f>SUMPRODUCT((UPPER(R$6:S$25)="T")*($C$6:$C$25)*0.5)</f>
        <v>2.5</v>
      </c>
      <c r="S27" s="275"/>
      <c r="T27" s="275">
        <f>SUMPRODUCT((UPPER(T$6:U$25)="T")*($C$6:$C$25)*0.5)</f>
        <v>2.5</v>
      </c>
      <c r="U27" s="275"/>
      <c r="V27" s="275">
        <f>SUMPRODUCT((UPPER(V$6:W$25)="T")*($C$6:$C$25)*0.5)</f>
        <v>2.5</v>
      </c>
      <c r="W27" s="275"/>
      <c r="X27" s="275">
        <f>SUMPRODUCT((UPPER(X$6:Y$25)="T")*($C$6:$C$25)*0.5)</f>
        <v>2.875</v>
      </c>
      <c r="Y27" s="275"/>
      <c r="Z27" s="275">
        <f>SUMPRODUCT((UPPER(Z$6:AA$25)="T")*($C$6:$C$25)*0.5)</f>
        <v>4.25</v>
      </c>
      <c r="AA27" s="275"/>
      <c r="AB27" s="275">
        <f>SUMPRODUCT((UPPER(AB$6:AC$25)="T")*($C$6:$C$25)*0.5)</f>
        <v>0.875</v>
      </c>
      <c r="AC27" s="276"/>
      <c r="AE27" s="194" t="s">
        <v>136</v>
      </c>
      <c r="AF27" s="194" t="s">
        <v>81</v>
      </c>
      <c r="AG27" s="194" t="s">
        <v>137</v>
      </c>
      <c r="AH27" s="202">
        <v>12531</v>
      </c>
      <c r="AI27" s="202">
        <v>12533</v>
      </c>
      <c r="AJ27" s="197" t="str">
        <f>IF(TABLEAUSUIVISPRINT[[#THIS ROW],[N° FEATURE]]&lt;&gt;"",VLOOKUP(TABLEAUSUIVISPRINT[[#THIS ROW],[N° FEATURE]],SSG_FEATURES[[#ALL],[ID]:[TAGS]],3,FALSE),"")</f>
        <v>[I230718_143] Problème de création du client Keycloak  lors du déploiement via la pipeline</v>
      </c>
      <c r="AK27" s="198"/>
      <c r="AL27" s="199"/>
      <c r="AM27" s="197" t="s">
        <v>138</v>
      </c>
      <c r="AN27" s="200">
        <v>1</v>
      </c>
      <c r="AO27" s="201">
        <v>6</v>
      </c>
      <c r="AP27" s="201">
        <v>0</v>
      </c>
      <c r="AQ27" s="201">
        <f>TableauSuiviSprint[[#This Row],[Dev]]+TableauSuiviSprint[[#This Row],[TC / MR]]</f>
        <v>6</v>
      </c>
      <c r="AR27" s="90">
        <v>3</v>
      </c>
      <c r="AS27" s="32">
        <v>0</v>
      </c>
      <c r="AT27" s="11">
        <f>TABLEAUSUIVISPRINT[[#THIS ROW],[H. DEV]]+TABLEAUSUIVISPRINT[[#THIS ROW],[H. QUALIF]]</f>
      </c>
      <c r="AU27" s="0">
        <f>TABLEAUSUIVISPRINT[[#THIS ROW],[INIT]]</f>
      </c>
      <c r="AV27" s="0">
        <f>TABLEAUSUIVISPRINT[[#THIS ROW],[INIT]]</f>
        <v>6</v>
      </c>
      <c r="AW27" s="216">
        <f>TABLEAUSUIVISPRINT[[#THIS ROW],[J2]]</f>
        <v>0</v>
      </c>
      <c r="AX27" s="217">
        <f>TABLEAUSUIVISPRINT[[#THIS ROW],[J3]]</f>
        <v>0</v>
      </c>
      <c r="AY27" s="217">
        <f>TABLEAUSUIVISPRINT[[#THIS ROW],[J4]]</f>
        <v>0</v>
      </c>
      <c r="AZ27" s="217">
        <f>TABLEAUSUIVISPRINT[[#THIS ROW],[J5]]</f>
        <v>0</v>
      </c>
      <c r="BA27" s="217">
        <f>TABLEAUSUIVISPRINT[[#THIS ROW],[J6]]</f>
        <v>0</v>
      </c>
      <c r="BB27" s="217">
        <f>TABLEAUSUIVISPRINT[[#THIS ROW],[J7]]</f>
        <v>0</v>
      </c>
      <c r="BC27" s="217">
        <f>TABLEAUSUIVISPRINT[[#THIS ROW],[J8]]</f>
        <v>0</v>
      </c>
      <c r="BD27" s="217">
        <f>TABLEAUSUIVISPRINT[[#THIS ROW],[J9]]</f>
        <v>0</v>
      </c>
    </row>
    <row r="28" ht="15" customHeight="1">
      <c r="B28" s="264" t="s">
        <v>139</v>
      </c>
      <c r="C28" s="265"/>
      <c r="D28" s="266"/>
      <c r="E28" s="267">
        <f>SUM(J28:AC28)</f>
        <v>23</v>
      </c>
      <c r="F28" s="268"/>
      <c r="G28" s="268"/>
      <c r="H28" s="268"/>
      <c r="I28" s="269"/>
      <c r="J28" s="270">
        <f>SUMPRODUCT((UPPER(J$6:K$25)="D")*($C$6:$C$25)*0.5)</f>
        <v>0.75</v>
      </c>
      <c r="K28" s="271"/>
      <c r="L28" s="270">
        <f>SUMPRODUCT((UPPER(L$6:M$25)="D")*($C$6:$C$25)*0.5)</f>
        <v>2.25</v>
      </c>
      <c r="M28" s="271"/>
      <c r="N28" s="270">
        <f>SUMPRODUCT((UPPER(N$6:O$25)="D")*($C$6:$C$25)*0.5)</f>
        <v>2.5</v>
      </c>
      <c r="O28" s="271"/>
      <c r="P28" s="270">
        <f>SUMPRODUCT((UPPER(P$6:Q$25)="D")*($C$6:$C$25)*0.5)</f>
        <v>3.75</v>
      </c>
      <c r="Q28" s="271"/>
      <c r="R28" s="270">
        <f>SUMPRODUCT((UPPER(R$6:S$25)="D")*($C$6:$C$25)*0.5)</f>
        <v>2.75</v>
      </c>
      <c r="S28" s="271"/>
      <c r="T28" s="270">
        <f>SUMPRODUCT((UPPER(T$6:U$25)="D")*($C$6:$C$25)*0.5)</f>
        <v>2.75</v>
      </c>
      <c r="U28" s="271"/>
      <c r="V28" s="270">
        <f>SUMPRODUCT((UPPER(V$6:W$25)="D")*($C$6:$C$25)*0.5)</f>
        <v>2.75</v>
      </c>
      <c r="W28" s="271"/>
      <c r="X28" s="270">
        <f>SUMPRODUCT((UPPER(X$6:Y$25)="D")*($C$6:$C$25)*0.5)</f>
        <v>2.5</v>
      </c>
      <c r="Y28" s="271"/>
      <c r="Z28" s="270">
        <f>SUMPRODUCT((UPPER(Z$6:AA$25)="D")*($C$6:$C$25)*0.5)</f>
        <v>2.25</v>
      </c>
      <c r="AA28" s="271"/>
      <c r="AB28" s="270">
        <f>SUMPRODUCT((UPPER(AB$6:AC$25)="D")*($C$6:$C$25)*0.5)</f>
        <v>0.75</v>
      </c>
      <c r="AC28" s="271"/>
      <c r="AE28" s="48" t="s">
        <v>140</v>
      </c>
      <c r="AF28" s="48" t="s">
        <v>141</v>
      </c>
      <c r="AG28" s="48" t="s">
        <v>142</v>
      </c>
      <c r="AH28" s="48">
        <v>12603</v>
      </c>
      <c r="AI28" s="48">
        <v>12604</v>
      </c>
      <c r="AJ28" s="197" t="str">
        <f>IF(TABLEAUSUIVISPRINT[[#THIS ROW],[N° FEATURE]]&lt;&gt;"",VLOOKUP(TABLEAUSUIVISPRINT[[#THIS ROW],[N° FEATURE]],SSG_FEATURES[[#ALL],[ID]:[TAGS]],3,FALSE),"")</f>
        <v>Problème sur les listes des OMP</v>
      </c>
      <c r="AK28" s="205" t="s">
        <v>143</v>
      </c>
      <c r="AL28" s="206"/>
      <c r="AM28" s="204" t="s">
        <v>144</v>
      </c>
      <c r="AN28" s="231">
        <v>1</v>
      </c>
      <c r="AO28" s="231">
        <v>6</v>
      </c>
      <c r="AP28" s="207"/>
      <c r="AQ28" s="203">
        <f>TableauSuiviSprint[[#This Row],[Dev]]+TableauSuiviSprint[[#This Row],[TC / MR]]</f>
        <v>6</v>
      </c>
      <c r="AR28" s="325" t="s">
        <v>75</v>
      </c>
      <c r="AS28" s="32">
        <v>3</v>
      </c>
      <c r="AT28" s="11">
        <f>TABLEAUSUIVISPRINT[[#THIS ROW],[H. DEV]]+TABLEAUSUIVISPRINT[[#THIS ROW],[H. QUALIF]]</f>
      </c>
      <c r="AU28" s="0">
        <f>TABLEAUSUIVISPRINT[[#THIS ROW],[INIT]]</f>
        <v>0</v>
      </c>
      <c r="AV28" s="0">
        <f>TABLEAUSUIVISPRINT[[#THIS ROW],[INIT]]</f>
        <v>0</v>
      </c>
      <c r="AW28" s="0">
        <f>TABLEAUSUIVISPRINT[[#THIS ROW],[J2]]</f>
        <v>0</v>
      </c>
      <c r="AX28" s="0">
        <f>TABLEAUSUIVISPRINT[[#THIS ROW],[J3]]</f>
        <v>0</v>
      </c>
      <c r="AY28" s="0">
        <f>TABLEAUSUIVISPRINT[[#THIS ROW],[J4]]</f>
        <v>0</v>
      </c>
      <c r="AZ28" s="0">
        <f>TABLEAUSUIVISPRINT[[#THIS ROW],[J5]]</f>
        <v>0</v>
      </c>
      <c r="BA28" s="0">
        <f>TABLEAUSUIVISPRINT[[#THIS ROW],[J6]]</f>
        <v>0</v>
      </c>
      <c r="BB28" s="0">
        <f>TABLEAUSUIVISPRINT[[#THIS ROW],[J7]]</f>
        <v>9</v>
      </c>
      <c r="BC28" s="0">
        <f>TABLEAUSUIVISPRINT[[#THIS ROW],[J8]]</f>
        <v>9</v>
      </c>
      <c r="BD28" s="0">
        <f>TABLEAUSUIVISPRINT[[#THIS ROW],[J9]]</f>
        <v>9</v>
      </c>
    </row>
    <row r="29">
      <c r="B29" s="264" t="s">
        <v>145</v>
      </c>
      <c r="C29" s="265"/>
      <c r="D29" s="274"/>
      <c r="E29" s="277">
        <f>SUM(J29:AC29)</f>
        <v>18.25</v>
      </c>
      <c r="F29" s="277"/>
      <c r="G29" s="277"/>
      <c r="H29" s="277"/>
      <c r="I29" s="277"/>
      <c r="J29" s="275">
        <f ref="J29:J29" t="array">SUMPRODUCT((UPPER(J$6:K$25)="Q")*($C$6:$C$25)*0.5)</f>
        <v>0</v>
      </c>
      <c r="K29" s="275"/>
      <c r="L29" s="275">
        <f ref="L29:L29" t="array">SUMPRODUCT((UPPER(L$6:M$25)="Q")*($C$6:$C$25)*0.5)</f>
        <v>0</v>
      </c>
      <c r="M29" s="275"/>
      <c r="N29" s="275">
        <f ref="N29:N29" t="array">SUMPRODUCT((UPPER(N$6:O$25)="Q")*($C$6:$C$25)*0.5)</f>
        <v>0</v>
      </c>
      <c r="O29" s="275"/>
      <c r="P29" s="275">
        <f ref="P29:P29" t="array">SUMPRODUCT((UPPER(P$6:Q$25)="Q")*($C$6:$C$25)*0.5)</f>
        <v>0.5</v>
      </c>
      <c r="Q29" s="275"/>
      <c r="R29" s="275">
        <f ref="R29:R29" t="array">SUMPRODUCT((UPPER(R$6:S$25)="Q")*($C$6:$C$25)*0.5)</f>
        <v>1.75</v>
      </c>
      <c r="S29" s="275"/>
      <c r="T29" s="275">
        <f ref="T29:T29" t="array">SUMPRODUCT((UPPER(T$6:U$25)="Q")*($C$6:$C$25)*0.5)</f>
        <v>2.5</v>
      </c>
      <c r="U29" s="275"/>
      <c r="V29" s="275">
        <f ref="V29:V29" t="array">SUMPRODUCT((UPPER(V$6:W$25)="Q")*($C$6:$C$25)*0.5)</f>
        <v>3.5</v>
      </c>
      <c r="W29" s="275"/>
      <c r="X29" s="275">
        <f ref="X29:X29" t="array">SUMPRODUCT((UPPER(X$6:Y$25)="Q")*($C$6:$C$25)*0.5)</f>
        <v>3.5</v>
      </c>
      <c r="Y29" s="275"/>
      <c r="Z29" s="275">
        <f ref="Z29:Z29" t="array">SUMPRODUCT((UPPER(Z$6:AA$25)="Q")*($C$6:$C$25)*0.5)</f>
        <v>3.5</v>
      </c>
      <c r="AA29" s="275"/>
      <c r="AB29" s="275">
        <f ref="AB29:AB29" t="array">SUMPRODUCT((UPPER(AB$6:AC$25)="Q")*($C$6:$C$25)*0.5)</f>
        <v>3</v>
      </c>
      <c r="AC29" s="276"/>
      <c r="AJ29" s="0">
        <f>IF(TABLEAUSUIVISPRINT[[#THIS ROW],[N° FEATURE]]&lt;&gt;"",VLOOKUP(TABLEAUSUIVISPRINT[[#THIS ROW],[N° FEATURE]],SSG_FEATURES[[#ALL],[ID]:[TAGS]],3,FALSE),"")</f>
      </c>
      <c r="AK29" s="8"/>
      <c r="AL29" s="9"/>
      <c r="AM29" s="13"/>
      <c r="AN29" s="34"/>
      <c r="AO29" s="34"/>
      <c r="AP29" s="52"/>
      <c r="AQ29" s="32">
        <f>TableauSuiviSprint[[#This Row],[Dev]]+TableauSuiviSprint[[#This Row],[TC / MR]]</f>
        <v>0</v>
      </c>
      <c r="AR29" s="90"/>
      <c r="AS29" s="32"/>
      <c r="AT29" s="11">
        <f>TABLEAUSUIVISPRINT[[#THIS ROW],[H. DEV]]+TABLEAUSUIVISPRINT[[#THIS ROW],[H. QUALIF]]</f>
        <v>0</v>
      </c>
      <c r="AU29" s="0">
        <f>TABLEAUSUIVISPRINT[[#THIS ROW],[INIT]]</f>
        <v>0</v>
      </c>
      <c r="AV29" s="0">
        <f>TABLEAUSUIVISPRINT[[#THIS ROW],[INIT]]</f>
        <v>0</v>
      </c>
      <c r="AW29" s="0">
        <f>TABLEAUSUIVISPRINT[[#THIS ROW],[J2]]</f>
        <v>0</v>
      </c>
      <c r="AX29" s="0">
        <f>TABLEAUSUIVISPRINT[[#THIS ROW],[J3]]</f>
        <v>0</v>
      </c>
      <c r="AY29" s="0">
        <f>TABLEAUSUIVISPRINT[[#THIS ROW],[J4]]</f>
        <v>0</v>
      </c>
      <c r="AZ29" s="0">
        <f>TABLEAUSUIVISPRINT[[#THIS ROW],[J5]]</f>
        <v>0</v>
      </c>
      <c r="BA29" s="0">
        <f>TABLEAUSUIVISPRINT[[#THIS ROW],[J6]]</f>
        <v>0</v>
      </c>
      <c r="BB29" s="0">
        <f>TABLEAUSUIVISPRINT[[#THIS ROW],[J7]]</f>
        <v>0</v>
      </c>
      <c r="BC29" s="0">
        <f>TABLEAUSUIVISPRINT[[#THIS ROW],[J8]]</f>
        <v>0</v>
      </c>
      <c r="BD29" s="0">
        <f>TABLEAUSUIVISPRINT[[#THIS ROW],[J9]]</f>
        <v>0</v>
      </c>
    </row>
    <row r="30" ht="40.5" customHeight="1">
      <c r="B30" s="264" t="s">
        <v>146</v>
      </c>
      <c r="C30" s="265"/>
      <c r="D30" s="274"/>
      <c r="E30" s="277">
        <f>SUM(J30:AC30)</f>
        <v>12.875</v>
      </c>
      <c r="F30" s="277"/>
      <c r="G30" s="277"/>
      <c r="H30" s="277"/>
      <c r="I30" s="277"/>
      <c r="J30" s="275">
        <f ref="J30:J30" t="array">SUMPRODUCT((UPPER(J$6:K$25)="S")*($C$6:$C$25)*0.5)</f>
        <v>1.625</v>
      </c>
      <c r="K30" s="275"/>
      <c r="L30" s="275">
        <f ref="L30:L30" t="array">SUMPRODUCT((UPPER(L$6:M$25)="S")*($C$6:$C$25)*0.5)</f>
        <v>3.5</v>
      </c>
      <c r="M30" s="275"/>
      <c r="N30" s="275">
        <f ref="N30:N30" t="array">SUMPRODUCT((UPPER(N$6:O$25)="S")*($C$6:$C$25)*0.5)</f>
        <v>3.5</v>
      </c>
      <c r="O30" s="275"/>
      <c r="P30" s="275">
        <f ref="P30:P30" t="array">SUMPRODUCT((UPPER(P$6:Q$25)="S")*($C$6:$C$25)*0.5)</f>
        <v>2.25</v>
      </c>
      <c r="Q30" s="275"/>
      <c r="R30" s="275">
        <f ref="R30:R30" t="array">SUMPRODUCT((UPPER(R$6:S$25)="S")*($C$6:$C$25)*0.5)</f>
        <v>1</v>
      </c>
      <c r="S30" s="275"/>
      <c r="T30" s="275">
        <f ref="T30:T30" t="array">SUMPRODUCT((UPPER(T$6:U$25)="S")*($C$6:$C$25)*0.5)</f>
        <v>1</v>
      </c>
      <c r="U30" s="275"/>
      <c r="V30" s="275">
        <f ref="V30:V30" t="array">SUMPRODUCT((UPPER(V$6:W$25)="S")*($C$6:$C$25)*0.5)</f>
        <v>0</v>
      </c>
      <c r="W30" s="275"/>
      <c r="X30" s="275">
        <f ref="X30:X30" t="array">SUMPRODUCT((UPPER(X$6:Y$25)="S")*($C$6:$C$25)*0.5)</f>
        <v>0</v>
      </c>
      <c r="Y30" s="275"/>
      <c r="Z30" s="275">
        <f ref="Z30:Z30" t="array">SUMPRODUCT((UPPER(Z$6:AA$25)="S")*($C$6:$C$25)*0.5)</f>
        <v>0</v>
      </c>
      <c r="AA30" s="275"/>
      <c r="AB30" s="275">
        <f ref="AB30:AB30" t="array">SUMPRODUCT((UPPER(AB$6:AC$25)="S")*($C$6:$C$25)*0.5)</f>
        <v>0</v>
      </c>
      <c r="AC30" s="276"/>
      <c r="AE30" s="0" t="s">
        <v>147</v>
      </c>
      <c r="AF30" s="0" t="s">
        <v>81</v>
      </c>
      <c r="AG30" s="0" t="s">
        <v>82</v>
      </c>
      <c r="AH30" s="0" t="s">
        <v>148</v>
      </c>
      <c r="AI30" s="0" t="s">
        <v>149</v>
      </c>
      <c r="AJ30" s="13" t="e">
        <f>IF(TABLEAUSUIVISPRINT[[#THIS ROW],[N° FEATURE]]&lt;&gt;"",VLOOKUP(TABLEAUSUIVISPRINT[[#THIS ROW],[N° FEATURE]],SSG_FEATURES[[#ALL],[ID]:[TAGS]],3,FALSE),"")</f>
        <v>#N/A</v>
      </c>
      <c r="AK30" s="8"/>
      <c r="AL30" s="9"/>
      <c r="AM30" s="13" t="s">
        <v>150</v>
      </c>
      <c r="AN30" s="34"/>
      <c r="AO30" s="34"/>
      <c r="AP30" s="52"/>
      <c r="AQ30" s="32">
        <f>TableauSuiviSprint[[#This Row],[Dev]]+TableauSuiviSprint[[#This Row],[TC / MR]]</f>
        <v>0</v>
      </c>
      <c r="AR30" s="90"/>
      <c r="AT30" s="11">
        <f>TABLEAUSUIVISPRINT[[#THIS ROW],[H. DEV]]+TABLEAUSUIVISPRINT[[#THIS ROW],[H. QUALIF]]</f>
        <v>0</v>
      </c>
      <c r="AU30" s="0">
        <f>TABLEAUSUIVISPRINT[[#THIS ROW],[INIT]]</f>
        <v>0</v>
      </c>
      <c r="AV30" s="0">
        <f>TABLEAUSUIVISPRINT[[#THIS ROW],[INIT]]</f>
        <v>0</v>
      </c>
      <c r="AW30" s="0">
        <f>TABLEAUSUIVISPRINT[[#THIS ROW],[J2]]</f>
        <v>0</v>
      </c>
      <c r="AX30" s="0">
        <f>TABLEAUSUIVISPRINT[[#THIS ROW],[J3]]</f>
        <v>0</v>
      </c>
      <c r="AY30" s="0">
        <f>TABLEAUSUIVISPRINT[[#THIS ROW],[J4]]</f>
        <v>0</v>
      </c>
      <c r="AZ30" s="0">
        <f>TABLEAUSUIVISPRINT[[#THIS ROW],[J5]]</f>
        <v>0</v>
      </c>
      <c r="BA30" s="0">
        <f>TABLEAUSUIVISPRINT[[#THIS ROW],[J6]]</f>
        <v>0</v>
      </c>
      <c r="BB30" s="192">
        <f>TABLEAUSUIVISPRINT[[#THIS ROW],[J7]]</f>
        <v>0</v>
      </c>
      <c r="BC30" s="235">
        <f>TABLEAUSUIVISPRINT[[#THIS ROW],[J8]]</f>
        <v>0</v>
      </c>
      <c r="BD30" s="241">
        <f>TABLEAUSUIVISPRINT[[#THIS ROW],[J9]]</f>
        <v>0</v>
      </c>
    </row>
    <row r="31" ht="33.75" customHeight="1">
      <c r="B31" s="264" t="s">
        <v>151</v>
      </c>
      <c r="C31" s="265"/>
      <c r="D31" s="274"/>
      <c r="E31" s="267">
        <f>E29+E30</f>
        <v>31.125</v>
      </c>
      <c r="F31" s="267"/>
      <c r="G31" s="267"/>
      <c r="H31" s="267"/>
      <c r="I31" s="267"/>
      <c r="J31" s="275">
        <f>J29+J30</f>
        <v>1.625</v>
      </c>
      <c r="K31" s="275"/>
      <c r="L31" s="275">
        <f>L29+L30</f>
        <v>3.5</v>
      </c>
      <c r="M31" s="275"/>
      <c r="N31" s="275">
        <f>N29+N30</f>
        <v>3.5</v>
      </c>
      <c r="O31" s="275"/>
      <c r="P31" s="275">
        <f>P29+P30</f>
        <v>2.75</v>
      </c>
      <c r="Q31" s="275"/>
      <c r="R31" s="275">
        <f>R29+R30</f>
        <v>2.75</v>
      </c>
      <c r="S31" s="275"/>
      <c r="T31" s="275">
        <f>T29+T30</f>
        <v>3.5</v>
      </c>
      <c r="U31" s="275"/>
      <c r="V31" s="275">
        <f>V29+V30</f>
        <v>3.5</v>
      </c>
      <c r="W31" s="275"/>
      <c r="X31" s="275">
        <f>X29+X30</f>
        <v>3.5</v>
      </c>
      <c r="Y31" s="275"/>
      <c r="Z31" s="275">
        <f>Z29+Z30</f>
        <v>3.5</v>
      </c>
      <c r="AA31" s="275"/>
      <c r="AB31" s="275">
        <f>AB29+AB30</f>
        <v>3</v>
      </c>
      <c r="AC31" s="276"/>
      <c r="AE31" s="0" t="s">
        <v>93</v>
      </c>
      <c r="AF31" s="0" t="s">
        <v>81</v>
      </c>
      <c r="AG31" s="0" t="s">
        <v>105</v>
      </c>
      <c r="AH31" s="0" t="s">
        <v>152</v>
      </c>
      <c r="AJ31" s="13">
        <f>IF(TABLEAUSUIVISPRINT[[#THIS ROW],[N° FEATURE]]&lt;&gt;"",VLOOKUP(TABLEAUSUIVISPRINT[[#THIS ROW],[N° FEATURE]],SSG_FEATURES[[#ALL],[ID]:[TAGS]],3,FALSE),"")</f>
      </c>
      <c r="AK31" s="8"/>
      <c r="AL31" s="9"/>
      <c r="AM31" s="13" t="s">
        <v>153</v>
      </c>
      <c r="AN31" s="34"/>
      <c r="AO31" s="131"/>
      <c r="AP31" s="52"/>
      <c r="AQ31" s="32">
        <f>TableauSuiviSprint[[#This Row],[Dev]]+TableauSuiviSprint[[#This Row],[TC / MR]]</f>
        <v>0</v>
      </c>
      <c r="AR31" s="90"/>
      <c r="AT31" s="11">
        <f>TABLEAUSUIVISPRINT[[#THIS ROW],[H. DEV]]+TABLEAUSUIVISPRINT[[#THIS ROW],[H. QUALIF]]</f>
        <v>0</v>
      </c>
      <c r="AU31" s="0">
        <f>TABLEAUSUIVISPRINT[[#THIS ROW],[INIT]]</f>
        <v>0</v>
      </c>
      <c r="AV31" s="0">
        <f>TABLEAUSUIVISPRINT[[#THIS ROW],[INIT]]</f>
        <v>0</v>
      </c>
      <c r="AW31" s="0">
        <f>TABLEAUSUIVISPRINT[[#THIS ROW],[J2]]</f>
        <v>0</v>
      </c>
      <c r="AX31" s="0">
        <f>TABLEAUSUIVISPRINT[[#THIS ROW],[J3]]</f>
        <v>0</v>
      </c>
      <c r="AY31" s="0">
        <f>TABLEAUSUIVISPRINT[[#THIS ROW],[J4]]</f>
        <v>0</v>
      </c>
      <c r="AZ31" s="0">
        <f>TABLEAUSUIVISPRINT[[#THIS ROW],[J5]]</f>
        <v>0</v>
      </c>
      <c r="BA31" s="0">
        <f>TABLEAUSUIVISPRINT[[#THIS ROW],[J6]]</f>
        <v>0</v>
      </c>
      <c r="BB31" s="0">
        <f>TABLEAUSUIVISPRINT[[#THIS ROW],[J7]]</f>
        <v>0</v>
      </c>
      <c r="BC31" s="0">
        <f>TABLEAUSUIVISPRINT[[#THIS ROW],[J8]]</f>
        <v>0</v>
      </c>
      <c r="BD31" s="0">
        <f>TABLEAUSUIVISPRINT[[#THIS ROW],[J9]]</f>
        <v>0</v>
      </c>
    </row>
    <row r="32" ht="23.25" customHeight="1">
      <c r="B32" s="264" t="s">
        <v>154</v>
      </c>
      <c r="C32" s="265"/>
      <c r="D32" s="274"/>
      <c r="E32" s="280">
        <f>SUM(J32:AC32)</f>
        <v>77.25</v>
      </c>
      <c r="F32" s="280"/>
      <c r="G32" s="280"/>
      <c r="H32" s="280"/>
      <c r="I32" s="281"/>
      <c r="J32" s="282">
        <f>J26+J29+J30</f>
        <v>3.25</v>
      </c>
      <c r="K32" s="283"/>
      <c r="L32" s="278">
        <f>L26+L29+L30</f>
        <v>7.5</v>
      </c>
      <c r="M32" s="278"/>
      <c r="N32" s="278">
        <f>N26+N29+N30</f>
        <v>8.5</v>
      </c>
      <c r="O32" s="278"/>
      <c r="P32" s="278">
        <f>P26+P29+P30</f>
        <v>9</v>
      </c>
      <c r="Q32" s="278"/>
      <c r="R32" s="278">
        <f>R26+R29+R30</f>
        <v>8</v>
      </c>
      <c r="S32" s="278"/>
      <c r="T32" s="278">
        <f>T26+T29+T30</f>
        <v>8.75</v>
      </c>
      <c r="U32" s="278"/>
      <c r="V32" s="278">
        <f>V26+V29+V30</f>
        <v>8.75</v>
      </c>
      <c r="W32" s="278"/>
      <c r="X32" s="278">
        <f>X26+X29+X30</f>
        <v>8.875</v>
      </c>
      <c r="Y32" s="278"/>
      <c r="Z32" s="278">
        <f>Z26+Z29+Z30</f>
        <v>10</v>
      </c>
      <c r="AA32" s="278"/>
      <c r="AB32" s="278">
        <f>AB26+AB29+AB30</f>
        <v>4.625</v>
      </c>
      <c r="AC32" s="279"/>
      <c r="AE32" s="0" t="s">
        <v>80</v>
      </c>
      <c r="AF32" s="0" t="s">
        <v>81</v>
      </c>
      <c r="AG32" s="0" t="s">
        <v>155</v>
      </c>
      <c r="AH32" s="0" t="s">
        <v>156</v>
      </c>
      <c r="AJ32" s="13">
        <f>IF(TABLEAUSUIVISPRINT[[#THIS ROW],[N° FEATURE]]&lt;&gt;"",VLOOKUP(TABLEAUSUIVISPRINT[[#THIS ROW],[N° FEATURE]],SSG_FEATURES[[#ALL],[ID]:[TAGS]],3,FALSE),"")</f>
      </c>
      <c r="AK32" s="8"/>
      <c r="AL32" s="9"/>
      <c r="AM32" s="13" t="s">
        <v>157</v>
      </c>
      <c r="AN32" s="177"/>
      <c r="AO32" s="177"/>
      <c r="AP32" s="52"/>
      <c r="AQ32" s="32">
        <f>TableauSuiviSprint[[#This Row],[Dev]]+TableauSuiviSprint[[#This Row],[TC / MR]]</f>
        <v>0</v>
      </c>
      <c r="AR32" s="90"/>
      <c r="AT32" s="11">
        <f>TABLEAUSUIVISPRINT[[#THIS ROW],[H. DEV]]+TABLEAUSUIVISPRINT[[#THIS ROW],[H. QUALIF]]</f>
        <v>0</v>
      </c>
      <c r="AU32" s="0">
        <f>TABLEAUSUIVISPRINT[[#THIS ROW],[INIT]]</f>
        <v>0</v>
      </c>
      <c r="AV32" s="0">
        <f>TABLEAUSUIVISPRINT[[#THIS ROW],[INIT]]</f>
        <v>0</v>
      </c>
      <c r="AW32" s="0">
        <f>TABLEAUSUIVISPRINT[[#THIS ROW],[J2]]</f>
        <v>0</v>
      </c>
      <c r="AX32" s="0">
        <f>TABLEAUSUIVISPRINT[[#THIS ROW],[J3]]</f>
        <v>0</v>
      </c>
      <c r="AY32" s="0">
        <f>TABLEAUSUIVISPRINT[[#THIS ROW],[J4]]</f>
        <v>0</v>
      </c>
      <c r="AZ32" s="0">
        <f>TABLEAUSUIVISPRINT[[#THIS ROW],[J5]]</f>
        <v>0</v>
      </c>
      <c r="BA32" s="0">
        <f>TABLEAUSUIVISPRINT[[#THIS ROW],[J6]]</f>
        <v>0</v>
      </c>
      <c r="BB32" s="0">
        <f>TABLEAUSUIVISPRINT[[#THIS ROW],[J7]]</f>
        <v>0</v>
      </c>
      <c r="BC32" s="0">
        <f>TABLEAUSUIVISPRINT[[#THIS ROW],[J8]]</f>
        <v>0</v>
      </c>
      <c r="BD32" s="0">
        <f>TABLEAUSUIVISPRINT[[#THIS ROW],[J9]]</f>
        <v>0</v>
      </c>
    </row>
    <row r="33" ht="15.75">
      <c r="B33" s="288" t="s">
        <v>158</v>
      </c>
      <c r="C33" s="289"/>
      <c r="D33" s="290"/>
      <c r="E33" s="291">
        <f>E32+SUM(E5:E25)</f>
        <v>114.625</v>
      </c>
      <c r="F33" s="292"/>
      <c r="G33" s="292"/>
      <c r="H33" s="292"/>
      <c r="I33" s="29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E33" s="0" t="s">
        <v>80</v>
      </c>
      <c r="AF33" s="0" t="s">
        <v>81</v>
      </c>
      <c r="AG33" s="0" t="s">
        <v>89</v>
      </c>
      <c r="AH33" s="0" t="s">
        <v>159</v>
      </c>
      <c r="AJ33" s="13">
        <f>IF(TABLEAUSUIVISPRINT[[#THIS ROW],[N° FEATURE]]&lt;&gt;"",VLOOKUP(TABLEAUSUIVISPRINT[[#THIS ROW],[N° FEATURE]],SSG_FEATURES[[#ALL],[ID]:[TAGS]],3,FALSE),"")</f>
      </c>
      <c r="AK33" s="8"/>
      <c r="AL33" s="9"/>
      <c r="AM33" s="13" t="s">
        <v>160</v>
      </c>
      <c r="AN33" s="177"/>
      <c r="AO33" s="214"/>
      <c r="AP33" s="52"/>
      <c r="AQ33" s="32">
        <f>TableauSuiviSprint[[#This Row],[Dev]]+TableauSuiviSprint[[#This Row],[TC / MR]]</f>
        <v>0</v>
      </c>
      <c r="AR33" s="90"/>
      <c r="AT33" s="11">
        <f>TABLEAUSUIVISPRINT[[#THIS ROW],[H. DEV]]+TABLEAUSUIVISPRINT[[#THIS ROW],[H. QUALIF]]</f>
        <v>0</v>
      </c>
      <c r="AU33" s="0">
        <f>TABLEAUSUIVISPRINT[[#THIS ROW],[INIT]]</f>
        <v>0</v>
      </c>
      <c r="AV33" s="0">
        <f>TABLEAUSUIVISPRINT[[#THIS ROW],[INIT]]</f>
        <v>0</v>
      </c>
      <c r="AW33" s="0">
        <f>TABLEAUSUIVISPRINT[[#THIS ROW],[J2]]</f>
        <v>0</v>
      </c>
      <c r="AX33" s="0">
        <f>TABLEAUSUIVISPRINT[[#THIS ROW],[J3]]</f>
        <v>0</v>
      </c>
      <c r="AY33" s="0">
        <f>TABLEAUSUIVISPRINT[[#THIS ROW],[J4]]</f>
        <v>0</v>
      </c>
      <c r="AZ33" s="0">
        <f>TABLEAUSUIVISPRINT[[#THIS ROW],[J5]]</f>
        <v>0</v>
      </c>
      <c r="BA33" s="0">
        <f>TABLEAUSUIVISPRINT[[#THIS ROW],[J6]]</f>
        <v>0</v>
      </c>
      <c r="BB33" s="0">
        <f>TABLEAUSUIVISPRINT[[#THIS ROW],[J7]]</f>
        <v>0</v>
      </c>
      <c r="BC33" s="0">
        <f>TABLEAUSUIVISPRINT[[#THIS ROW],[J8]]</f>
        <v>0</v>
      </c>
      <c r="BD33" s="0">
        <f>TABLEAUSUIVISPRINT[[#THIS ROW],[J9]]</f>
        <v>0</v>
      </c>
    </row>
    <row r="34">
      <c r="J34" s="294" t="s">
        <v>161</v>
      </c>
      <c r="K34" s="294"/>
      <c r="L34" s="294" t="s">
        <v>162</v>
      </c>
      <c r="M34" s="294"/>
      <c r="N34" s="294" t="s">
        <v>163</v>
      </c>
      <c r="O34" s="294"/>
      <c r="P34" s="294" t="s">
        <v>164</v>
      </c>
      <c r="Q34" s="294"/>
      <c r="R34" s="56" t="s">
        <v>164</v>
      </c>
      <c r="T34" s="284" t="s">
        <v>165</v>
      </c>
      <c r="U34" s="284"/>
      <c r="W34" s="23" t="s">
        <v>166</v>
      </c>
      <c r="AC34" s="83"/>
      <c r="AG34" s="32"/>
      <c r="AJ34" s="13">
        <f>IF(TABLEAUSUIVISPRINT[[#THIS ROW],[N° FEATURE]]&lt;&gt;"",VLOOKUP(TABLEAUSUIVISPRINT[[#THIS ROW],[N° FEATURE]],SSG_FEATURES[[#ALL],[ID]:[TAGS]],3,FALSE),"")</f>
      </c>
      <c r="AK34" s="8"/>
      <c r="AL34" s="9"/>
      <c r="AM34" s="13"/>
      <c r="AN34" s="34"/>
      <c r="AO34" s="131"/>
      <c r="AP34" s="52"/>
      <c r="AQ34" s="32">
        <f>TableauSuiviSprint[[#This Row],[Dev]]+TableauSuiviSprint[[#This Row],[TC / MR]]</f>
        <v>0</v>
      </c>
      <c r="AR34" s="90"/>
      <c r="AT34" s="11">
        <f>TABLEAUSUIVISPRINT[[#THIS ROW],[H. DEV]]+TABLEAUSUIVISPRINT[[#THIS ROW],[H. QUALIF]]</f>
        <v>0</v>
      </c>
      <c r="AU34" s="0">
        <f>TABLEAUSUIVISPRINT[[#THIS ROW],[INIT]]</f>
        <v>0</v>
      </c>
      <c r="AV34" s="0">
        <f>TABLEAUSUIVISPRINT[[#THIS ROW],[INIT]]</f>
        <v>0</v>
      </c>
      <c r="AW34" s="0">
        <f>TABLEAUSUIVISPRINT[[#THIS ROW],[J2]]</f>
        <v>0</v>
      </c>
      <c r="AX34" s="0">
        <f>TABLEAUSUIVISPRINT[[#THIS ROW],[J3]]</f>
        <v>0</v>
      </c>
      <c r="AY34" s="0">
        <f>TABLEAUSUIVISPRINT[[#THIS ROW],[J4]]</f>
        <v>0</v>
      </c>
      <c r="AZ34" s="0">
        <f>TABLEAUSUIVISPRINT[[#THIS ROW],[J5]]</f>
        <v>0</v>
      </c>
      <c r="BA34" s="0">
        <f>TABLEAUSUIVISPRINT[[#THIS ROW],[J6]]</f>
        <v>0</v>
      </c>
      <c r="BB34" s="0">
        <f>TABLEAUSUIVISPRINT[[#THIS ROW],[J7]]</f>
        <v>0</v>
      </c>
      <c r="BC34" s="0">
        <f>TABLEAUSUIVISPRINT[[#THIS ROW],[J8]]</f>
        <v>0</v>
      </c>
      <c r="BD34" s="0">
        <f>TABLEAUSUIVISPRINT[[#THIS ROW],[J9]]</f>
        <v>0</v>
      </c>
    </row>
    <row r="35">
      <c r="B35" s="3" t="s">
        <v>167</v>
      </c>
      <c r="C35" s="3"/>
      <c r="D35" s="3"/>
      <c r="E35" s="3"/>
      <c r="F35" s="3"/>
      <c r="G35" s="3"/>
      <c r="H35" s="3"/>
      <c r="I35" s="3"/>
      <c r="J35" s="285">
        <f>SUM(F5:F25)</f>
        <v>12.875</v>
      </c>
      <c r="K35" s="285"/>
      <c r="L35" s="285">
        <f>J35*HEURES</f>
        <v>77.25</v>
      </c>
      <c r="M35" s="285"/>
      <c r="N35" s="285" t="s">
        <v>168</v>
      </c>
      <c r="O35" s="285"/>
      <c r="P35" s="286" t="s">
        <v>168</v>
      </c>
      <c r="Q35" s="286"/>
      <c r="R35" s="57" t="s">
        <v>32</v>
      </c>
      <c r="T35" s="287">
        <f>$L35/SUM($L$36:$M$39)</f>
        <v>0.11063372717508056</v>
      </c>
      <c r="U35" s="287"/>
      <c r="W35" s="300">
        <v>0.4</v>
      </c>
      <c r="X35" s="300"/>
      <c r="Y35" s="301"/>
      <c r="Z35" s="301"/>
      <c r="AA35" s="91"/>
      <c r="AF35" s="0" t="s">
        <v>47</v>
      </c>
      <c r="AG35" s="0" t="s">
        <v>48</v>
      </c>
      <c r="AH35" s="0" t="s">
        <v>169</v>
      </c>
      <c r="AJ35" s="13">
        <f>IF(TABLEAUSUIVISPRINT[[#THIS ROW],[N° FEATURE]]&lt;&gt;"",VLOOKUP(TABLEAUSUIVISPRINT[[#THIS ROW],[N° FEATURE]],SSG_FEATURES[[#ALL],[ID]:[TAGS]],3,FALSE),"")</f>
      </c>
      <c r="AK35" s="8"/>
      <c r="AL35" s="9"/>
      <c r="AM35" s="13"/>
      <c r="AN35" s="34"/>
      <c r="AO35" s="52"/>
      <c r="AP35" s="52"/>
      <c r="AQ35" s="32">
        <f>TableauSuiviSprint[[#This Row],[Dev]]+TableauSuiviSprint[[#This Row],[TC / MR]]</f>
        <v>0</v>
      </c>
      <c r="AR35" s="90"/>
      <c r="AS35" s="32"/>
      <c r="AT35" s="11">
        <f>TABLEAUSUIVISPRINT[[#THIS ROW],[H. DEV]]+TABLEAUSUIVISPRINT[[#THIS ROW],[H. QUALIF]]</f>
        <v>0</v>
      </c>
      <c r="AU35" s="0">
        <f>TABLEAUSUIVISPRINT[[#THIS ROW],[INIT]]</f>
        <v>0</v>
      </c>
      <c r="AV35" s="0">
        <f>TABLEAUSUIVISPRINT[[#THIS ROW],[INIT]]</f>
        <v>0</v>
      </c>
      <c r="AW35" s="0">
        <f>TABLEAUSUIVISPRINT[[#THIS ROW],[J2]]</f>
        <v>0</v>
      </c>
      <c r="AX35" s="0">
        <f>TABLEAUSUIVISPRINT[[#THIS ROW],[J3]]</f>
        <v>0</v>
      </c>
      <c r="AY35" s="0">
        <f>TABLEAUSUIVISPRINT[[#THIS ROW],[J4]]</f>
        <v>0</v>
      </c>
      <c r="AZ35" s="0">
        <f>TABLEAUSUIVISPRINT[[#THIS ROW],[J5]]</f>
        <v>0</v>
      </c>
      <c r="BA35" s="0">
        <f>TABLEAUSUIVISPRINT[[#THIS ROW],[J6]]</f>
        <v>0</v>
      </c>
      <c r="BB35" s="0">
        <f>TABLEAUSUIVISPRINT[[#THIS ROW],[J7]]</f>
        <v>0</v>
      </c>
      <c r="BC35" s="0">
        <f>TABLEAUSUIVISPRINT[[#THIS ROW],[J8]]</f>
        <v>0</v>
      </c>
      <c r="BD35" s="0">
        <f>TABLEAUSUIVISPRINT[[#THIS ROW],[J9]]</f>
        <v>0</v>
      </c>
      <c r="BG35" s="0" t="s">
        <v>170</v>
      </c>
    </row>
    <row r="36">
      <c r="B36" s="4" t="s">
        <v>171</v>
      </c>
      <c r="C36" s="4"/>
      <c r="D36" s="4"/>
      <c r="E36" s="4"/>
      <c r="F36" s="4"/>
      <c r="G36" s="4"/>
      <c r="H36" s="4"/>
      <c r="I36" s="4"/>
      <c r="J36" s="302">
        <f>SUM(I5:I25)</f>
        <v>23</v>
      </c>
      <c r="K36" s="302"/>
      <c r="L36" s="285">
        <f>J36*HEURES</f>
        <v>138</v>
      </c>
      <c r="M36" s="285"/>
      <c r="N36" s="303">
        <f>SUMIF(TableauSuiviSprint[Techno],".NET",TableauSuiviSprint[H. Dev])</f>
        <v>184</v>
      </c>
      <c r="O36" s="303"/>
      <c r="P36" s="299">
        <f>N36/L36</f>
        <v>1.3333333333333333</v>
      </c>
      <c r="Q36" s="299"/>
      <c r="R36" s="304">
        <f>(N36+N37)/(L36+L37)</f>
        <v>1.1526648599819331</v>
      </c>
      <c r="T36" s="287">
        <f>$L36/SUM($L$36:$M$39)</f>
        <v>0.19763694951664876</v>
      </c>
      <c r="U36" s="287"/>
      <c r="W36" s="306">
        <f>(L36+L37)*40%</f>
        <v>110.7</v>
      </c>
      <c r="X36" s="306"/>
      <c r="Y36" s="295"/>
      <c r="Z36" s="295"/>
      <c r="AA36" s="295"/>
      <c r="AB36" s="295"/>
      <c r="AJ36" s="13">
        <f>IF(TABLEAUSUIVISPRINT[[#THIS ROW],[N° FEATURE]]&lt;&gt;"",VLOOKUP(TABLEAUSUIVISPRINT[[#THIS ROW],[N° FEATURE]],SSG_FEATURES[[#ALL],[ID]:[TAGS]],3,FALSE),"")</f>
      </c>
      <c r="AK36" s="8"/>
      <c r="AL36" s="9"/>
      <c r="AM36" s="13"/>
      <c r="AN36" s="34"/>
      <c r="AO36" s="52"/>
      <c r="AP36" s="52"/>
      <c r="AQ36" s="32">
        <f>TableauSuiviSprint[[#This Row],[Dev]]+TableauSuiviSprint[[#This Row],[TC / MR]]</f>
        <v>0</v>
      </c>
      <c r="AR36" s="90"/>
      <c r="AS36" s="32"/>
      <c r="AT36" s="11">
        <f>TABLEAUSUIVISPRINT[[#THIS ROW],[H. DEV]]+TABLEAUSUIVISPRINT[[#THIS ROW],[H. QUALIF]]</f>
        <v>0</v>
      </c>
      <c r="AU36" s="0">
        <f>TABLEAUSUIVISPRINT[[#THIS ROW],[INIT]]</f>
        <v>0</v>
      </c>
      <c r="AV36" s="0">
        <f>TABLEAUSUIVISPRINT[[#THIS ROW],[INIT]]</f>
        <v>0</v>
      </c>
      <c r="AW36" s="0">
        <f>TABLEAUSUIVISPRINT[[#THIS ROW],[J2]]</f>
        <v>0</v>
      </c>
      <c r="AX36" s="0">
        <f>TABLEAUSUIVISPRINT[[#THIS ROW],[J3]]</f>
        <v>0</v>
      </c>
      <c r="AY36" s="0">
        <f>TABLEAUSUIVISPRINT[[#THIS ROW],[J4]]</f>
        <v>0</v>
      </c>
      <c r="AZ36" s="0">
        <f>TABLEAUSUIVISPRINT[[#THIS ROW],[J5]]</f>
        <v>0</v>
      </c>
      <c r="BA36" s="0">
        <f>TABLEAUSUIVISPRINT[[#THIS ROW],[J6]]</f>
        <v>0</v>
      </c>
      <c r="BB36" s="0">
        <f>TABLEAUSUIVISPRINT[[#THIS ROW],[J7]]</f>
        <v>0</v>
      </c>
      <c r="BC36" s="0">
        <f>TABLEAUSUIVISPRINT[[#THIS ROW],[J8]]</f>
        <v>0</v>
      </c>
      <c r="BD36" s="0">
        <f>TABLEAUSUIVISPRINT[[#THIS ROW],[J9]]</f>
        <v>0</v>
      </c>
      <c r="BE36" s="68"/>
      <c r="BH36" s="8"/>
    </row>
    <row r="37" ht="15.75">
      <c r="B37" s="49" t="s">
        <v>172</v>
      </c>
      <c r="C37" s="49"/>
      <c r="D37" s="49"/>
      <c r="E37" s="49"/>
      <c r="F37" s="49"/>
      <c r="G37" s="49"/>
      <c r="H37" s="49"/>
      <c r="I37" s="49"/>
      <c r="J37" s="296">
        <f>SUM(H5:H25)</f>
        <v>23.125</v>
      </c>
      <c r="K37" s="296"/>
      <c r="L37" s="297">
        <f>J37*HEURES</f>
        <v>138.75</v>
      </c>
      <c r="M37" s="297"/>
      <c r="N37" s="298">
        <f>SUMIF(TableauSuiviSprint[Techno],"&lt;&gt;.NET",TableauSuiviSprint[H. Dev])-AQ44</f>
        <v>135</v>
      </c>
      <c r="O37" s="298"/>
      <c r="P37" s="299">
        <f>N37/L37</f>
        <v>0.972972972972973</v>
      </c>
      <c r="Q37" s="299"/>
      <c r="R37" s="305"/>
      <c r="T37" s="287">
        <f>$L38/SUM($L$36:$M$39)</f>
        <v>0.15682062298603652</v>
      </c>
      <c r="U37" s="287"/>
      <c r="AE37" s="0" t="s">
        <v>80</v>
      </c>
      <c r="AF37" s="0" t="s">
        <v>81</v>
      </c>
      <c r="AG37" s="0" t="s">
        <v>105</v>
      </c>
      <c r="AH37" s="0" t="s">
        <v>173</v>
      </c>
      <c r="AJ37" s="13">
        <f>IF(TABLEAUSUIVISPRINT[[#THIS ROW],[N° FEATURE]]&lt;&gt;"",VLOOKUP(TABLEAUSUIVISPRINT[[#THIS ROW],[N° FEATURE]],SSG_FEATURES[[#ALL],[ID]:[TAGS]],3,FALSE),"")</f>
      </c>
      <c r="AK37" s="8"/>
      <c r="AL37" s="9"/>
      <c r="AM37" s="13" t="s">
        <v>174</v>
      </c>
      <c r="AN37" s="34"/>
      <c r="AO37" s="52"/>
      <c r="AP37" s="52"/>
      <c r="AQ37" s="32">
        <f>TableauSuiviSprint[[#This Row],[Dev]]+TableauSuiviSprint[[#This Row],[TC / MR]]</f>
        <v>0</v>
      </c>
      <c r="AR37" s="90"/>
      <c r="AS37" s="32"/>
      <c r="AT37" s="11">
        <f>TABLEAUSUIVISPRINT[[#THIS ROW],[H. DEV]]+TABLEAUSUIVISPRINT[[#THIS ROW],[H. QUALIF]]</f>
        <v>0</v>
      </c>
      <c r="AU37" s="0">
        <f>TABLEAUSUIVISPRINT[[#THIS ROW],[INIT]]</f>
        <v>0</v>
      </c>
      <c r="AV37" s="0">
        <f>TABLEAUSUIVISPRINT[[#THIS ROW],[INIT]]</f>
        <v>0</v>
      </c>
      <c r="AW37" s="0">
        <f>TABLEAUSUIVISPRINT[[#THIS ROW],[J2]]</f>
        <v>0</v>
      </c>
      <c r="AX37" s="0">
        <f>TABLEAUSUIVISPRINT[[#THIS ROW],[J3]]</f>
        <v>0</v>
      </c>
      <c r="AY37" s="0">
        <f>TABLEAUSUIVISPRINT[[#THIS ROW],[J4]]</f>
        <v>0</v>
      </c>
      <c r="AZ37" s="0">
        <f>TABLEAUSUIVISPRINT[[#THIS ROW],[J5]]</f>
        <v>0</v>
      </c>
      <c r="BA37" s="0">
        <f>TABLEAUSUIVISPRINT[[#THIS ROW],[J6]]</f>
        <v>0</v>
      </c>
      <c r="BB37" s="0">
        <f>TABLEAUSUIVISPRINT[[#THIS ROW],[J7]]</f>
        <v>0</v>
      </c>
      <c r="BC37" s="0">
        <f>TABLEAUSUIVISPRINT[[#THIS ROW],[J8]]</f>
        <v>0</v>
      </c>
      <c r="BD37" s="0">
        <f>TABLEAUSUIVISPRINT[[#THIS ROW],[J9]]</f>
        <v>0</v>
      </c>
      <c r="BE37" s="68"/>
      <c r="BH37" s="8"/>
    </row>
    <row r="38">
      <c r="B38" s="5" t="s">
        <v>175</v>
      </c>
      <c r="C38" s="5"/>
      <c r="D38" s="5"/>
      <c r="E38" s="5"/>
      <c r="F38" s="5"/>
      <c r="G38" s="5"/>
      <c r="H38" s="5"/>
      <c r="I38" s="5"/>
      <c r="J38" s="285">
        <f>SUM(G5:G25)</f>
        <v>18.25</v>
      </c>
      <c r="K38" s="307"/>
      <c r="L38" s="285">
        <f>J38*HEURES</f>
        <v>109.5</v>
      </c>
      <c r="M38" s="307"/>
      <c r="N38" s="285">
        <f>TableauSuiviSprint[[#Totals],[H. Qualif]]</f>
        <v>87</v>
      </c>
      <c r="O38" s="307"/>
      <c r="P38" s="299">
        <f>N38/L38</f>
        <v>0.79452054794520544</v>
      </c>
      <c r="Q38" s="314"/>
      <c r="AE38" s="0" t="s">
        <v>80</v>
      </c>
      <c r="AF38" s="0" t="s">
        <v>81</v>
      </c>
      <c r="AG38" s="0" t="s">
        <v>105</v>
      </c>
      <c r="AH38" s="0" t="s">
        <v>176</v>
      </c>
      <c r="AJ38" s="13">
        <f>IF(TABLEAUSUIVISPRINT[[#THIS ROW],[N° FEATURE]]&lt;&gt;"",VLOOKUP(TABLEAUSUIVISPRINT[[#THIS ROW],[N° FEATURE]],SSG_FEATURES[[#ALL],[ID]:[TAGS]],3,FALSE),"")</f>
      </c>
      <c r="AK38" s="8"/>
      <c r="AL38" s="9"/>
      <c r="AM38" s="13" t="s">
        <v>177</v>
      </c>
      <c r="AN38" s="34"/>
      <c r="AO38" s="52"/>
      <c r="AP38" s="52"/>
      <c r="AQ38" s="32">
        <f>TableauSuiviSprint[[#This Row],[Dev]]+TableauSuiviSprint[[#This Row],[TC / MR]]</f>
        <v>0</v>
      </c>
      <c r="AR38" s="90"/>
      <c r="AT38" s="11">
        <f>TABLEAUSUIVISPRINT[[#THIS ROW],[H. DEV]]+TABLEAUSUIVISPRINT[[#THIS ROW],[H. QUALIF]]</f>
        <v>0</v>
      </c>
      <c r="AU38" s="0">
        <f>TABLEAUSUIVISPRINT[[#THIS ROW],[INIT]]</f>
        <v>0</v>
      </c>
      <c r="AV38" s="0">
        <f>TABLEAUSUIVISPRINT[[#THIS ROW],[INIT]]</f>
        <v>0</v>
      </c>
      <c r="AW38" s="0">
        <f>TABLEAUSUIVISPRINT[[#THIS ROW],[J2]]</f>
        <v>0</v>
      </c>
      <c r="AX38" s="0">
        <f>TABLEAUSUIVISPRINT[[#THIS ROW],[J3]]</f>
        <v>0</v>
      </c>
      <c r="AY38" s="0">
        <f>TABLEAUSUIVISPRINT[[#THIS ROW],[J4]]</f>
        <v>0</v>
      </c>
      <c r="AZ38" s="0">
        <f>TABLEAUSUIVISPRINT[[#THIS ROW],[J5]]</f>
        <v>0</v>
      </c>
      <c r="BA38" s="0">
        <f>TABLEAUSUIVISPRINT[[#THIS ROW],[J6]]</f>
        <v>0</v>
      </c>
      <c r="BB38" s="0">
        <f>TABLEAUSUIVISPRINT[[#THIS ROW],[J7]]</f>
        <v>0</v>
      </c>
      <c r="BC38" s="0">
        <f>TABLEAUSUIVISPRINT[[#THIS ROW],[J8]]</f>
        <v>0</v>
      </c>
      <c r="BD38" s="0">
        <f>TABLEAUSUIVISPRINT[[#THIS ROW],[J9]]</f>
        <v>0</v>
      </c>
      <c r="BH38" s="8"/>
    </row>
    <row r="39" ht="22.5" customHeight="1">
      <c r="B39" s="6" t="s">
        <v>178</v>
      </c>
      <c r="C39" s="6"/>
      <c r="D39" s="6"/>
      <c r="E39" s="6"/>
      <c r="F39" s="6"/>
      <c r="G39" s="6"/>
      <c r="H39" s="6"/>
      <c r="I39" s="6"/>
      <c r="J39" s="285">
        <f>(COUNTIF($J$6:$AC$20,"O")/2)</f>
        <v>52</v>
      </c>
      <c r="K39" s="307"/>
      <c r="L39" s="285">
        <f>J39*HEURES</f>
        <v>312</v>
      </c>
      <c r="M39" s="307"/>
      <c r="N39" s="285" t="s">
        <v>168</v>
      </c>
      <c r="O39" s="307"/>
      <c r="P39" s="286" t="s">
        <v>168</v>
      </c>
      <c r="Q39" s="315"/>
      <c r="AE39" s="0" t="s">
        <v>80</v>
      </c>
      <c r="AF39" s="0" t="s">
        <v>81</v>
      </c>
      <c r="AG39" s="0" t="s">
        <v>124</v>
      </c>
      <c r="AH39" s="0" t="s">
        <v>159</v>
      </c>
      <c r="AJ39" s="13">
        <f>IF(TABLEAUSUIVISPRINT[[#THIS ROW],[N° FEATURE]]&lt;&gt;"",VLOOKUP(TABLEAUSUIVISPRINT[[#THIS ROW],[N° FEATURE]],SSG_FEATURES[[#ALL],[ID]:[TAGS]],3,FALSE),"")</f>
      </c>
      <c r="AK39" s="8"/>
      <c r="AL39" s="9"/>
      <c r="AM39" s="13" t="s">
        <v>179</v>
      </c>
      <c r="AN39" s="34"/>
      <c r="AO39" s="52"/>
      <c r="AP39" s="52"/>
      <c r="AQ39" s="32">
        <f>TableauSuiviSprint[[#This Row],[Dev]]+TableauSuiviSprint[[#This Row],[TC / MR]]</f>
        <v>0</v>
      </c>
      <c r="AR39" s="90"/>
      <c r="AT39" s="11">
        <f>TABLEAUSUIVISPRINT[[#THIS ROW],[H. DEV]]+TABLEAUSUIVISPRINT[[#THIS ROW],[H. QUALIF]]</f>
        <v>0</v>
      </c>
      <c r="AU39" s="0">
        <f>TABLEAUSUIVISPRINT[[#THIS ROW],[INIT]]</f>
        <v>0</v>
      </c>
      <c r="AV39" s="0">
        <f>TABLEAUSUIVISPRINT[[#THIS ROW],[INIT]]</f>
        <v>0</v>
      </c>
      <c r="AW39" s="0">
        <f>TABLEAUSUIVISPRINT[[#THIS ROW],[J2]]</f>
        <v>0</v>
      </c>
      <c r="AX39" s="0">
        <f>TABLEAUSUIVISPRINT[[#THIS ROW],[J3]]</f>
        <v>0</v>
      </c>
      <c r="AY39" s="0">
        <f>TABLEAUSUIVISPRINT[[#THIS ROW],[J4]]</f>
        <v>0</v>
      </c>
      <c r="AZ39" s="0">
        <f>TABLEAUSUIVISPRINT[[#THIS ROW],[J5]]</f>
        <v>0</v>
      </c>
      <c r="BA39" s="0">
        <f>TABLEAUSUIVISPRINT[[#THIS ROW],[J6]]</f>
        <v>0</v>
      </c>
      <c r="BB39" s="0">
        <f>TABLEAUSUIVISPRINT[[#THIS ROW],[J7]]</f>
        <v>0</v>
      </c>
      <c r="BC39" s="0">
        <f>TABLEAUSUIVISPRINT[[#THIS ROW],[J8]]</f>
        <v>0</v>
      </c>
      <c r="BD39" s="0">
        <f>TABLEAUSUIVISPRINT[[#THIS ROW],[J9]]</f>
        <v>0</v>
      </c>
      <c r="BG39" s="8"/>
    </row>
    <row r="40" ht="27.75" customHeight="1">
      <c r="B40" s="48" t="s">
        <v>180</v>
      </c>
      <c r="C40" s="48"/>
      <c r="D40" s="48"/>
      <c r="E40" s="48"/>
      <c r="F40" s="48"/>
      <c r="G40" s="48"/>
      <c r="H40" s="48"/>
      <c r="I40" s="48"/>
      <c r="J40" s="285">
        <f>(COUNTIF($J$6:$AC$20,"A")/2)</f>
        <v>9</v>
      </c>
      <c r="K40" s="307"/>
      <c r="AJ40" s="13">
        <f>IF(TABLEAUSUIVISPRINT[[#THIS ROW],[N° FEATURE]]&lt;&gt;"",VLOOKUP(TABLEAUSUIVISPRINT[[#THIS ROW],[N° FEATURE]],SSG_FEATURES[[#ALL],[ID]:[TAGS]],3,FALSE),"")</f>
      </c>
      <c r="AK40" s="8"/>
      <c r="AL40" s="9"/>
      <c r="AM40" s="13"/>
      <c r="AN40" s="34"/>
      <c r="AO40" s="52"/>
      <c r="AP40" s="52"/>
      <c r="AQ40" s="32">
        <f>TableauSuiviSprint[[#This Row],[Dev]]+TableauSuiviSprint[[#This Row],[TC / MR]]</f>
        <v>0</v>
      </c>
      <c r="AR40" s="90"/>
      <c r="AT40" s="11">
        <f>TABLEAUSUIVISPRINT[[#THIS ROW],[H. DEV]]+TABLEAUSUIVISPRINT[[#THIS ROW],[H. QUALIF]]</f>
        <v>0</v>
      </c>
      <c r="AU40" s="0">
        <f>TABLEAUSUIVISPRINT[[#THIS ROW],[INIT]]</f>
        <v>0</v>
      </c>
      <c r="AV40" s="0">
        <f>TABLEAUSUIVISPRINT[[#THIS ROW],[INIT]]</f>
        <v>0</v>
      </c>
      <c r="AW40" s="0">
        <f>TABLEAUSUIVISPRINT[[#THIS ROW],[J2]]</f>
        <v>0</v>
      </c>
      <c r="AX40" s="0">
        <f>TABLEAUSUIVISPRINT[[#THIS ROW],[J3]]</f>
        <v>0</v>
      </c>
      <c r="AY40" s="0">
        <f>TABLEAUSUIVISPRINT[[#THIS ROW],[J4]]</f>
        <v>0</v>
      </c>
      <c r="AZ40" s="0">
        <f>TABLEAUSUIVISPRINT[[#THIS ROW],[J5]]</f>
        <v>0</v>
      </c>
      <c r="BA40" s="0">
        <f>TABLEAUSUIVISPRINT[[#THIS ROW],[J6]]</f>
        <v>0</v>
      </c>
      <c r="BB40" s="0">
        <f>TABLEAUSUIVISPRINT[[#THIS ROW],[J7]]</f>
        <v>0</v>
      </c>
      <c r="BC40" s="0">
        <f>TABLEAUSUIVISPRINT[[#THIS ROW],[J8]]</f>
        <v>0</v>
      </c>
      <c r="BD40" s="0">
        <f>TABLEAUSUIVISPRINT[[#THIS ROW],[J9]]</f>
        <v>0</v>
      </c>
    </row>
    <row r="41">
      <c r="B41" s="308" t="s">
        <v>181</v>
      </c>
      <c r="C41" s="308"/>
      <c r="D41" s="308"/>
      <c r="E41" s="308"/>
      <c r="F41" s="308"/>
      <c r="G41" s="308"/>
      <c r="H41" s="308"/>
      <c r="I41" s="308"/>
      <c r="J41" s="309">
        <f>SUM(D6:D25)</f>
        <v>127</v>
      </c>
      <c r="K41" s="310"/>
      <c r="AJ41" s="13">
        <f>IF(TABLEAUSUIVISPRINT[[#THIS ROW],[N° FEATURE]]&lt;&gt;"",VLOOKUP(TABLEAUSUIVISPRINT[[#THIS ROW],[N° FEATURE]],SSG_FEATURES[[#ALL],[ID]:[TAGS]],3,FALSE),"")</f>
      </c>
      <c r="AK41" s="8"/>
      <c r="AL41" s="9"/>
      <c r="AM41" s="13"/>
      <c r="AN41" s="34"/>
      <c r="AO41" s="52"/>
      <c r="AP41" s="52"/>
      <c r="AQ41" s="32">
        <f>TableauSuiviSprint[[#This Row],[Dev]]+TableauSuiviSprint[[#This Row],[TC / MR]]</f>
        <v>0</v>
      </c>
      <c r="AR41" s="90"/>
      <c r="AT41" s="11">
        <f>TABLEAUSUIVISPRINT[[#THIS ROW],[H. DEV]]+TABLEAUSUIVISPRINT[[#THIS ROW],[H. QUALIF]]</f>
        <v>0</v>
      </c>
      <c r="AU41" s="0">
        <f>TABLEAUSUIVISPRINT[[#THIS ROW],[INIT]]</f>
        <v>0</v>
      </c>
      <c r="AV41" s="0">
        <f>TABLEAUSUIVISPRINT[[#THIS ROW],[INIT]]</f>
        <v>0</v>
      </c>
      <c r="AW41" s="0">
        <f>TABLEAUSUIVISPRINT[[#THIS ROW],[J2]]</f>
        <v>0</v>
      </c>
      <c r="AX41" s="0">
        <f>TABLEAUSUIVISPRINT[[#THIS ROW],[J3]]</f>
        <v>0</v>
      </c>
      <c r="AY41" s="0">
        <f>TABLEAUSUIVISPRINT[[#THIS ROW],[J4]]</f>
        <v>0</v>
      </c>
      <c r="AZ41" s="0">
        <f>TABLEAUSUIVISPRINT[[#THIS ROW],[J5]]</f>
        <v>0</v>
      </c>
      <c r="BA41" s="0">
        <f>TABLEAUSUIVISPRINT[[#THIS ROW],[J6]]</f>
        <v>0</v>
      </c>
      <c r="BB41" s="0">
        <f>TABLEAUSUIVISPRINT[[#THIS ROW],[J7]]</f>
        <v>0</v>
      </c>
      <c r="BC41" s="0">
        <f>TABLEAUSUIVISPRINT[[#THIS ROW],[J8]]</f>
        <v>0</v>
      </c>
      <c r="BD41" s="0">
        <f>TABLEAUSUIVISPRINT[[#THIS ROW],[J9]]</f>
        <v>0</v>
      </c>
      <c r="BG41" s="8"/>
    </row>
    <row r="42">
      <c r="B42" s="23" t="s">
        <v>182</v>
      </c>
      <c r="C42" s="110" t="str">
        <f>IF(Total_jour_presence=J43,"OK","KO")</f>
        <v>OK</v>
      </c>
      <c r="AJ42" s="0">
        <f>IF(TABLEAUSUIVISPRINT[[#THIS ROW],[N° FEATURE]]&lt;&gt;"",VLOOKUP(TABLEAUSUIVISPRINT[[#THIS ROW],[N° FEATURE]],SSG_FEATURES[[#ALL],[ID]:[TAGS]],3,FALSE),"")</f>
      </c>
      <c r="AK42" s="8"/>
      <c r="AL42" s="9"/>
      <c r="AM42" s="13"/>
      <c r="AN42" s="34"/>
      <c r="AO42" s="52"/>
      <c r="AP42" s="52"/>
      <c r="AQ42" s="32">
        <f>TableauSuiviSprint[[#This Row],[Dev]]+TableauSuiviSprint[[#This Row],[TC / MR]]</f>
        <v>0</v>
      </c>
      <c r="AR42" s="90"/>
      <c r="AT42" s="11">
        <f>TABLEAUSUIVISPRINT[[#THIS ROW],[H. DEV]]+TABLEAUSUIVISPRINT[[#THIS ROW],[H. QUALIF]]</f>
        <v>0</v>
      </c>
      <c r="AU42" s="0">
        <f>TABLEAUSUIVISPRINT[[#THIS ROW],[INIT]]</f>
        <v>0</v>
      </c>
      <c r="AV42" s="0">
        <f>TABLEAUSUIVISPRINT[[#THIS ROW],[INIT]]</f>
        <v>0</v>
      </c>
      <c r="AW42" s="0">
        <f>TABLEAUSUIVISPRINT[[#THIS ROW],[J2]]</f>
        <v>0</v>
      </c>
      <c r="AX42" s="0">
        <f>TABLEAUSUIVISPRINT[[#THIS ROW],[J3]]</f>
        <v>0</v>
      </c>
      <c r="AY42" s="0">
        <f>TABLEAUSUIVISPRINT[[#THIS ROW],[J4]]</f>
        <v>0</v>
      </c>
      <c r="AZ42" s="0">
        <f>TABLEAUSUIVISPRINT[[#THIS ROW],[J5]]</f>
        <v>0</v>
      </c>
      <c r="BA42" s="0">
        <f>TABLEAUSUIVISPRINT[[#THIS ROW],[J6]]</f>
        <v>0</v>
      </c>
      <c r="BB42" s="0">
        <f>TABLEAUSUIVISPRINT[[#THIS ROW],[J7]]</f>
        <v>0</v>
      </c>
      <c r="BC42" s="0">
        <f>TABLEAUSUIVISPRINT[[#THIS ROW],[J8]]</f>
        <v>0</v>
      </c>
      <c r="BD42" s="0">
        <f>TABLEAUSUIVISPRINT[[#THIS ROW],[J9]]</f>
        <v>0</v>
      </c>
      <c r="BG42" s="8"/>
    </row>
    <row r="43">
      <c r="J43" s="119">
        <f>[1]Planning!$PZ$33</f>
        <v>127</v>
      </c>
      <c r="K43" s="32"/>
      <c r="AJ43" s="0">
        <f>IF(TABLEAUSUIVISPRINT[[#THIS ROW],[N° FEATURE]]&lt;&gt;"",VLOOKUP(TABLEAUSUIVISPRINT[[#THIS ROW],[N° FEATURE]],SSG_FEATURES[[#ALL],[ID]:[TAGS]],3,FALSE),"")</f>
      </c>
      <c r="AK43" s="8"/>
      <c r="AL43" s="9"/>
      <c r="AM43" s="13"/>
      <c r="AN43" s="34"/>
      <c r="AO43" s="52"/>
      <c r="AP43" s="52"/>
      <c r="AQ43" s="32">
        <f>TableauSuiviSprint[[#This Row],[Dev]]+TableauSuiviSprint[[#This Row],[TC / MR]]</f>
        <v>0</v>
      </c>
      <c r="AR43" s="90"/>
      <c r="AT43" s="11">
        <f>TABLEAUSUIVISPRINT[[#THIS ROW],[H. DEV]]+TABLEAUSUIVISPRINT[[#THIS ROW],[H. QUALIF]]</f>
        <v>0</v>
      </c>
      <c r="AU43" s="0">
        <f>TABLEAUSUIVISPRINT[[#THIS ROW],[INIT]]</f>
        <v>0</v>
      </c>
      <c r="AV43" s="0">
        <f>TABLEAUSUIVISPRINT[[#THIS ROW],[INIT]]</f>
        <v>0</v>
      </c>
      <c r="AW43" s="0">
        <f>TABLEAUSUIVISPRINT[[#THIS ROW],[J2]]</f>
        <v>0</v>
      </c>
      <c r="AX43" s="0">
        <f>TABLEAUSUIVISPRINT[[#THIS ROW],[J3]]</f>
        <v>0</v>
      </c>
      <c r="AY43" s="0">
        <f>TABLEAUSUIVISPRINT[[#THIS ROW],[J4]]</f>
        <v>0</v>
      </c>
      <c r="AZ43" s="0">
        <f>TABLEAUSUIVISPRINT[[#THIS ROW],[J5]]</f>
        <v>0</v>
      </c>
      <c r="BA43" s="0">
        <f>TABLEAUSUIVISPRINT[[#THIS ROW],[J6]]</f>
        <v>0</v>
      </c>
      <c r="BB43" s="0">
        <f>TABLEAUSUIVISPRINT[[#THIS ROW],[J7]]</f>
        <v>0</v>
      </c>
      <c r="BC43" s="0">
        <f>TABLEAUSUIVISPRINT[[#THIS ROW],[J8]]</f>
        <v>0</v>
      </c>
      <c r="BD43" s="0">
        <f>TABLEAUSUIVISPRINT[[#THIS ROW],[J9]]</f>
        <v>0</v>
      </c>
      <c r="BG43" s="8"/>
    </row>
    <row r="44">
      <c r="B44" s="12"/>
      <c r="C44" s="12"/>
      <c r="D44" s="12"/>
      <c r="E44" s="12"/>
      <c r="F44" s="12"/>
      <c r="G44" s="12"/>
      <c r="H44" s="12"/>
      <c r="I44" s="12"/>
      <c r="K44" s="58"/>
      <c r="N44" s="23"/>
      <c r="O44" s="23"/>
      <c r="P44" s="23"/>
      <c r="Q44" s="47"/>
      <c r="AH44" s="0" t="s">
        <v>183</v>
      </c>
      <c r="AJ44" s="0">
        <f>IF(TABLEAUSUIVISPRINT[[#THIS ROW],[N° FEATURE]]&lt;&gt;"",VLOOKUP(TABLEAUSUIVISPRINT[[#THIS ROW],[N° FEATURE]],SSG_FEATURES[[#ALL],[ID]:[TAGS]],3,FALSE),"")</f>
      </c>
      <c r="AK44" s="8"/>
      <c r="AL44" s="9"/>
      <c r="AM44" s="13" t="s">
        <v>184</v>
      </c>
      <c r="AO44" s="43"/>
      <c r="AP44" s="43"/>
      <c r="AQ44" s="23">
        <f>MAX(AH59-SUM(AQ5:AQ43),0)</f>
        <v>0</v>
      </c>
      <c r="AR44" s="23"/>
      <c r="AT44" s="11">
        <f>TABLEAUSUIVISPRINT[[#THIS ROW],[H. DEV]]+TABLEAUSUIVISPRINT[[#THIS ROW],[H. QUALIF]]</f>
        <v>0</v>
      </c>
      <c r="AU44" s="0">
        <f>TABLEAUSUIVISPRINT[[#THIS ROW],[INIT]]</f>
        <v>0</v>
      </c>
      <c r="AV44" s="0">
        <f>TABLEAUSUIVISPRINT[[#THIS ROW],[INIT]]</f>
        <v>0</v>
      </c>
      <c r="AW44" s="0">
        <f>TABLEAUSUIVISPRINT[[#THIS ROW],[J2]]</f>
        <v>0</v>
      </c>
      <c r="AX44" s="0">
        <f>TABLEAUSUIVISPRINT[[#THIS ROW],[J3]]</f>
        <v>0</v>
      </c>
      <c r="AY44" s="0">
        <f>TABLEAUSUIVISPRINT[[#THIS ROW],[J4]]</f>
        <v>0</v>
      </c>
      <c r="AZ44" s="0">
        <f>TABLEAUSUIVISPRINT[[#THIS ROW],[J5]]</f>
        <v>0</v>
      </c>
      <c r="BA44" s="0">
        <f>TABLEAUSUIVISPRINT[[#THIS ROW],[J6]]</f>
        <v>0</v>
      </c>
      <c r="BB44" s="0">
        <f>TABLEAUSUIVISPRINT[[#THIS ROW],[J7]]</f>
        <v>0</v>
      </c>
      <c r="BC44" s="0">
        <f>TABLEAUSUIVISPRINT[[#THIS ROW],[J8]]</f>
        <v>0</v>
      </c>
      <c r="BD44" s="0">
        <f>TABLEAUSUIVISPRINT[[#THIS ROW],[J9]]</f>
        <v>0</v>
      </c>
    </row>
    <row r="45">
      <c r="B45" s="69"/>
      <c r="C45" s="69"/>
      <c r="D45" s="69"/>
      <c r="E45" s="69"/>
      <c r="F45" s="69"/>
      <c r="G45" s="69"/>
      <c r="H45" s="69"/>
      <c r="I45" s="69"/>
      <c r="K45" s="70"/>
      <c r="L45" s="8"/>
      <c r="M45" s="58"/>
      <c r="AE45" s="0" t="s">
        <v>185</v>
      </c>
      <c r="AF45" s="0" t="s">
        <v>185</v>
      </c>
      <c r="AG45" s="0" t="s">
        <v>185</v>
      </c>
      <c r="AH45" s="0" t="s">
        <v>186</v>
      </c>
      <c r="AI45" s="0" t="s">
        <v>185</v>
      </c>
      <c r="AJ45" s="0" t="s">
        <v>185</v>
      </c>
      <c r="AK45" s="0" t="s">
        <v>185</v>
      </c>
      <c r="AL45" s="0" t="s">
        <v>185</v>
      </c>
      <c r="AM45" s="0" t="s">
        <v>185</v>
      </c>
      <c r="AN45" s="0">
        <f>SUBTOTAL(109,TableauSuiviSprint[SP])</f>
        <v>46</v>
      </c>
      <c r="AO45" s="0" t="s">
        <v>185</v>
      </c>
      <c r="AP45" s="0" t="s">
        <v>185</v>
      </c>
      <c r="AQ45" s="8">
        <f>SUBTOTAL(109,TableauSuiviSprint[H. Dev])</f>
        <v>319</v>
      </c>
      <c r="AR45" s="8">
        <f>SUBTOTAL(109,TableauSuiviSprint[Heure tot DEV_x000A_ Consommé])</f>
        <v>268.5</v>
      </c>
      <c r="AS45" s="0">
        <f>SUBTOTAL(109,TableauSuiviSprint[H. Qualif])</f>
        <v>87</v>
      </c>
      <c r="AT45" s="0">
        <f>SUBTOTAL(109,TableauSuiviSprint[Init])</f>
        <v>356</v>
      </c>
      <c r="AU45" s="0">
        <f>SUBTOTAL(109,TableauSuiviSprint[J1])</f>
        <v>306.5</v>
      </c>
      <c r="AV45" s="0">
        <f>SUBTOTAL(109,TableauSuiviSprint[J2])</f>
        <v>254.5</v>
      </c>
      <c r="AW45" s="0">
        <f>SUBTOTAL(109,TableauSuiviSprint[J3])</f>
        <v>213</v>
      </c>
      <c r="AX45" s="0">
        <f>SUBTOTAL(109,TableauSuiviSprint[J4])</f>
        <v>140</v>
      </c>
      <c r="AY45" s="0">
        <f>SUBTOTAL(109,TableauSuiviSprint[J5])</f>
        <v>98.5</v>
      </c>
      <c r="AZ45" s="0">
        <f>SUBTOTAL(109,TableauSuiviSprint[J6])</f>
        <v>69</v>
      </c>
      <c r="BA45" s="0">
        <f>SUBTOTAL(109,TableauSuiviSprint[J7])</f>
        <v>63.5</v>
      </c>
      <c r="BB45" s="0">
        <f>SUBTOTAL(109,TableauSuiviSprint[J8])-BB23</f>
        <v>35</v>
      </c>
      <c r="BC45" s="0">
        <f>SUBTOTAL(109,TableauSuiviSprint[J9])-BC23</f>
        <v>22</v>
      </c>
      <c r="BD45" s="0">
        <f>SUBTOTAL(109,TableauSuiviSprint[J10])-BD23</f>
        <v>20</v>
      </c>
    </row>
    <row r="46">
      <c r="K46" s="14"/>
      <c r="L46" s="69"/>
      <c r="M46" s="71"/>
      <c r="AH46" s="23" t="s">
        <v>187</v>
      </c>
      <c r="AI46" s="23"/>
      <c r="AJ46" s="23"/>
      <c r="AN46" s="0">
        <f>SUMIF(TableauSuiviSprint[Techno],".NET",TableauSuiviSprint[SP])</f>
        <v>22</v>
      </c>
      <c r="AQ46" s="8">
        <f>SUMIF(TableauSuiviSprint[Techno],".NET",TableauSuiviSprint[H. Dev])</f>
        <v>184</v>
      </c>
      <c r="AR46" s="8">
        <f>L36-(SUMIF(TableauSuiviSprint[Techno],".NET",TableauSuiviSprint[Heure tot DEV
 Consommé]))</f>
        <v>-24</v>
      </c>
      <c r="AS46" s="0">
        <f>SUMIF(TableauSuiviSprint[Techno],".NET",TableauSuiviSprint[H. Qualif])</f>
        <v>46</v>
      </c>
      <c r="AT46" s="0">
        <f>SUMIF(TableauSuiviSprint[Techno],".NET",TableauSuiviSprint[Init])</f>
        <v>189</v>
      </c>
      <c r="AU46" s="0">
        <f>SUMIF(TableauSuiviSprint[Techno],".NET",TableauSuiviSprint[J1])</f>
        <v>159.5</v>
      </c>
      <c r="AV46" s="0">
        <f>SUMIF(TableauSuiviSprint[Techno],".NET",TableauSuiviSprint[J2])</f>
        <v>139</v>
      </c>
      <c r="AW46" s="0">
        <f>SUMIF(TableauSuiviSprint[Techno],".NET",TableauSuiviSprint[J3])</f>
        <v>123</v>
      </c>
      <c r="AX46" s="0">
        <f>SUMIF(TableauSuiviSprint[Techno],".NET",TableauSuiviSprint[J4])</f>
        <v>74</v>
      </c>
      <c r="AY46" s="0">
        <f>SUMIF(TableauSuiviSprint[Techno],".NET",TableauSuiviSprint[J5])</f>
        <v>62</v>
      </c>
      <c r="AZ46" s="0">
        <f>SUMIF(TableauSuiviSprint[Techno],".NET",TableauSuiviSprint[J6])</f>
        <v>46</v>
      </c>
      <c r="BA46" s="0">
        <f>SUMIF(TableauSuiviSprint[Techno],".NET",TableauSuiviSprint[J7])</f>
        <v>54</v>
      </c>
      <c r="BB46" s="0">
        <f>SUMIF(TableauSuiviSprint[Techno],".NET",TableauSuiviSprint[J8])-BB23</f>
        <v>20.5</v>
      </c>
      <c r="BC46" s="0">
        <f>SUMIF(TableauSuiviSprint[Techno],".NET",TableauSuiviSprint[J9])-BC23</f>
        <v>13</v>
      </c>
      <c r="BD46" s="0">
        <f>SUMIF(TableauSuiviSprint[Techno],".NET",TableauSuiviSprint[J10])-BD23</f>
        <v>11</v>
      </c>
    </row>
    <row r="47">
      <c r="K47" s="14"/>
      <c r="M47" s="41"/>
      <c r="AH47" s="23" t="s">
        <v>188</v>
      </c>
      <c r="AI47" s="23"/>
      <c r="AJ47" s="23"/>
      <c r="AN47" s="0">
        <f>SUMIF(TableauSuiviSprint[Techno],"Designer",TableauSuiviSprint[SP]) + SUMIF(TableauSuiviSprint[Techno],"Apex",TableauSuiviSprint[SP]) + SUMIF(TableauSuiviSprint[Techno],"Java",TableauSuiviSprint[SP])</f>
        <v>24</v>
      </c>
      <c r="AO47" s="23"/>
      <c r="AP47" s="23"/>
      <c r="AQ47" s="8">
        <f>SUMIF(TableauSuiviSprint[Techno],"Designer",TableauSuiviSprint[H. Dev]) + SUMIF(TableauSuiviSprint[Techno],"Apex",TableauSuiviSprint[H. Dev]) + SUMIF(TableauSuiviSprint[Techno],"Java",TableauSuiviSprint[H. Dev])</f>
        <v>135</v>
      </c>
      <c r="AR47" s="8">
        <f>L37-(SUMIF(TableauSuiviSprint[Techno],"Designer",TableauSuiviSprint[Heure tot DEV
 Consommé]) + SUMIF(TableauSuiviSprint[Techno],"Apex",TableauSuiviSprint[Heure tot DEV
 Consommé]) + SUMIF(TableauSuiviSprint[Techno],"Java",TableauSuiviSprint[Heure tot DEV
 Consommé]))</f>
        <v>32.25</v>
      </c>
      <c r="AS47" s="0">
        <f>SUMIF(TableauSuiviSprint[Techno],"Designer",TableauSuiviSprint[H. Qualif]) + SUMIF(TableauSuiviSprint[Techno],"Apex",TableauSuiviSprint[H. Qualif])</f>
        <v>38</v>
      </c>
      <c r="AT47" s="0">
        <f>SUMIF(TableauSuiviSprint[Techno],"Designer",TableauSuiviSprint[Init]) + SUMIF(TableauSuiviSprint[Techno],"Apex",TableauSuiviSprint[Init]) + SUMIF(TableauSuiviSprint[Techno],"Java",TableauSuiviSprint[Init])</f>
        <v>167</v>
      </c>
      <c r="AU47" s="0">
        <f>SUMIF(TableauSuiviSprint[Techno],"Designer",TableauSuiviSprint[J1]) + SUMIF(TableauSuiviSprint[Techno],"Apex",TableauSuiviSprint[J1]) + SUMIF(TableauSuiviSprint[Techno],"Java",TableauSuiviSprint[J1])</f>
        <v>147</v>
      </c>
      <c r="AV47" s="0">
        <f>SUMIF(TableauSuiviSprint[Techno],"Designer",TableauSuiviSprint[J2]) + SUMIF(TableauSuiviSprint[Techno],"Apex",TableauSuiviSprint[J2]) + SUMIF(TableauSuiviSprint[Techno],"Java",TableauSuiviSprint[J2])</f>
        <v>115.5</v>
      </c>
      <c r="AW47" s="0">
        <f>SUMIF(TableauSuiviSprint[Techno],"Designer",TableauSuiviSprint[J3]) + SUMIF(TableauSuiviSprint[Techno],"Apex",TableauSuiviSprint[J3]) + SUMIF(TableauSuiviSprint[Techno],"Java",TableauSuiviSprint[J3])</f>
        <v>90</v>
      </c>
      <c r="AX47" s="0">
        <f>SUMIF(TableauSuiviSprint[Techno],"Designer",TableauSuiviSprint[J4]) + SUMIF(TableauSuiviSprint[Techno],"Apex",TableauSuiviSprint[J4]) + SUMIF(TableauSuiviSprint[Techno],"Java",TableauSuiviSprint[J4])</f>
        <v>66</v>
      </c>
      <c r="AY47" s="0">
        <f>SUMIF(TableauSuiviSprint[Techno],"Designer",TableauSuiviSprint[J5]) + SUMIF(TableauSuiviSprint[Techno],"Apex",TableauSuiviSprint[J5]) + SUMIF(TableauSuiviSprint[Techno],"Java",TableauSuiviSprint[J5])</f>
        <v>36.5</v>
      </c>
      <c r="AZ47" s="0">
        <f>SUMIF(TableauSuiviSprint[Techno],"Designer",TableauSuiviSprint[J6]) + SUMIF(TableauSuiviSprint[Techno],"Apex",TableauSuiviSprint[J6]) + SUMIF(TableauSuiviSprint[Techno],"Java",TableauSuiviSprint[J6])</f>
        <v>23</v>
      </c>
      <c r="BA47" s="0">
        <f>SUMIF(TableauSuiviSprint[Techno],"Designer",TableauSuiviSprint[J7]) + SUMIF(TableauSuiviSprint[Techno],"Apex",TableauSuiviSprint[J7]) + SUMIF(TableauSuiviSprint[Techno],"Java",TableauSuiviSprint[J7])</f>
        <v>9.5</v>
      </c>
      <c r="BB47" s="0">
        <f>SUMIF(TableauSuiviSprint[Techno],"Designer",TableauSuiviSprint[J8]) + SUMIF(TableauSuiviSprint[Techno],"Apex",TableauSuiviSprint[J8]) + SUMIF(TableauSuiviSprint[Techno],"Java",TableauSuiviSprint[J8])</f>
        <v>14.5</v>
      </c>
      <c r="BC47" s="0">
        <f>SUMIF(TableauSuiviSprint[Techno],"Designer",TableauSuiviSprint[J9]) + SUMIF(TableauSuiviSprint[Techno],"Apex",TableauSuiviSprint[J9]) + SUMIF(TableauSuiviSprint[Techno],"Java",TableauSuiviSprint[J9])</f>
        <v>9</v>
      </c>
      <c r="BD47" s="0">
        <f>SUMIF(TableauSuiviSprint[Techno],"Designer",TableauSuiviSprint[J10]) + SUMIF(TableauSuiviSprint[Techno],"Apex",TableauSuiviSprint[J10]) + SUMIF(TableauSuiviSprint[Techno],"Java",TableauSuiviSprint[J10])</f>
        <v>9</v>
      </c>
    </row>
    <row r="48" ht="15.75">
      <c r="K48" s="68"/>
      <c r="M48" s="41"/>
      <c r="AQ48" s="8"/>
      <c r="AR48" s="8"/>
    </row>
    <row r="49" ht="15.75">
      <c r="M49" s="41"/>
      <c r="AE49" s="311" t="s">
        <v>189</v>
      </c>
      <c r="AF49" s="311"/>
      <c r="AG49" s="311"/>
      <c r="AH49" s="60">
        <f>AH50+AH51</f>
        <v>28.548068701616028</v>
      </c>
      <c r="AI49" s="82"/>
      <c r="AJ49" s="82"/>
      <c r="AL49" s="46" t="s">
        <v>190</v>
      </c>
      <c r="AQ49" s="8"/>
      <c r="AR49" s="8"/>
      <c r="AS49" s="68"/>
      <c r="AU49" s="36" t="s">
        <v>6</v>
      </c>
      <c r="AV49" s="37" t="s">
        <v>7</v>
      </c>
      <c r="AW49" s="37" t="s">
        <v>8</v>
      </c>
      <c r="AX49" s="37" t="s">
        <v>9</v>
      </c>
      <c r="AY49" s="37" t="s">
        <v>10</v>
      </c>
      <c r="AZ49" s="38" t="s">
        <v>6</v>
      </c>
      <c r="BA49" s="39" t="s">
        <v>8</v>
      </c>
      <c r="BB49" s="39" t="s">
        <v>8</v>
      </c>
      <c r="BC49" s="39" t="s">
        <v>9</v>
      </c>
      <c r="BD49" s="40" t="s">
        <v>10</v>
      </c>
      <c r="BE49" s="59"/>
    </row>
    <row r="50">
      <c r="M50" s="41"/>
      <c r="AE50" s="312" t="s">
        <v>191</v>
      </c>
      <c r="AF50" s="312"/>
      <c r="AG50" s="312"/>
      <c r="AH50" s="61">
        <f>AH54*0.8</f>
        <v>13.431277574064374</v>
      </c>
      <c r="AI50" s="82"/>
      <c r="AJ50" s="82"/>
      <c r="AL50" s="135"/>
      <c r="AM50" s="0" t="s">
        <v>192</v>
      </c>
      <c r="AP50" s="68"/>
      <c r="AQ50" s="68"/>
      <c r="AR50" s="68"/>
      <c r="AS50" s="12" t="s">
        <v>193</v>
      </c>
      <c r="AU50" s="47">
        <f>J26+J29</f>
        <v>1.625</v>
      </c>
      <c r="AV50" s="47">
        <f>L26+L29</f>
        <v>4</v>
      </c>
      <c r="AW50" s="47">
        <f>N26+N29</f>
        <v>5</v>
      </c>
      <c r="AX50" s="47">
        <f>P26+P29</f>
        <v>6.75</v>
      </c>
      <c r="AY50" s="47">
        <f>R26+R29</f>
        <v>7</v>
      </c>
      <c r="AZ50" s="47">
        <f>T26+T29</f>
        <v>7.75</v>
      </c>
      <c r="BA50" s="47">
        <f>V26+V29</f>
        <v>8.75</v>
      </c>
      <c r="BB50" s="47">
        <f>X26+X29</f>
        <v>8.875</v>
      </c>
      <c r="BC50" s="47">
        <f>Z26+Z29</f>
        <v>10</v>
      </c>
      <c r="BD50" s="47">
        <f>AB26+AB29</f>
        <v>4.625</v>
      </c>
      <c r="BE50" s="59"/>
    </row>
    <row r="51" ht="15.75">
      <c r="W51" s="0" t="s">
        <v>194</v>
      </c>
      <c r="AE51" s="313" t="s">
        <v>195</v>
      </c>
      <c r="AF51" s="313"/>
      <c r="AG51" s="313"/>
      <c r="AH51" s="62">
        <f>AH56*0.8</f>
        <v>15.116791127551654</v>
      </c>
      <c r="AI51" s="82"/>
      <c r="AJ51" s="82"/>
      <c r="AL51" s="136"/>
      <c r="AM51" s="0" t="s">
        <v>196</v>
      </c>
      <c r="AS51" s="12" t="s">
        <v>197</v>
      </c>
      <c r="AU51" s="47">
        <f>J27+(J29/2)</f>
        <v>0.875</v>
      </c>
      <c r="AV51" s="47">
        <f>L27+(L29/2)</f>
        <v>1.75</v>
      </c>
      <c r="AW51" s="47">
        <f>N27+(N29/2)</f>
        <v>2.5</v>
      </c>
      <c r="AX51" s="47">
        <f>P27+(P29/2)</f>
        <v>2.75</v>
      </c>
      <c r="AY51" s="47">
        <f>R27+(R29/2)</f>
        <v>3.375</v>
      </c>
      <c r="AZ51" s="47">
        <f>T27+(T29/2)</f>
        <v>3.75</v>
      </c>
      <c r="BA51" s="47">
        <f>V27+(V29/2)</f>
        <v>4.25</v>
      </c>
      <c r="BB51" s="47">
        <f>X27+(X29/2)</f>
        <v>4.625</v>
      </c>
      <c r="BC51" s="47">
        <f>Z27+(Z29/2)</f>
        <v>6</v>
      </c>
      <c r="BD51" s="47">
        <f>AB27+(AB29/2)</f>
        <v>2.375</v>
      </c>
    </row>
    <row r="52" ht="15.75">
      <c r="B52" s="0" t="s">
        <v>198</v>
      </c>
      <c r="L52" s="317" t="s">
        <v>48</v>
      </c>
      <c r="M52" s="317"/>
      <c r="N52" s="317" t="s">
        <v>55</v>
      </c>
      <c r="O52" s="317"/>
      <c r="P52" s="317" t="s">
        <v>72</v>
      </c>
      <c r="Q52" s="317"/>
      <c r="R52" s="317"/>
      <c r="S52" s="317"/>
      <c r="T52" s="317"/>
      <c r="U52" s="317"/>
      <c r="V52" s="317"/>
      <c r="W52" s="317"/>
      <c r="X52" s="317"/>
      <c r="Y52" s="317"/>
      <c r="AA52" s="23" t="s">
        <v>199</v>
      </c>
      <c r="AE52" s="79"/>
      <c r="AF52" s="80"/>
      <c r="AG52" s="80"/>
      <c r="AH52" s="61"/>
      <c r="AI52" s="82"/>
      <c r="AJ52" s="82"/>
      <c r="AL52" s="97"/>
      <c r="AM52" s="0" t="s">
        <v>200</v>
      </c>
      <c r="AS52" s="12" t="s">
        <v>201</v>
      </c>
      <c r="AU52" s="47">
        <f>J28+(J29/2)</f>
        <v>0.75</v>
      </c>
      <c r="AV52" s="47">
        <f>L28+(L29/2)</f>
        <v>2.25</v>
      </c>
      <c r="AW52" s="47">
        <f>N28+(N29/2)</f>
        <v>2.5</v>
      </c>
      <c r="AX52" s="47">
        <f>P28+(P29/2)</f>
        <v>4</v>
      </c>
      <c r="AY52" s="47">
        <f>R28+(R29/2)</f>
        <v>3.625</v>
      </c>
      <c r="AZ52" s="47">
        <f>T28+(T29/2)</f>
        <v>4</v>
      </c>
      <c r="BA52" s="47">
        <f>V28+(V29/2)</f>
        <v>4.5</v>
      </c>
      <c r="BB52" s="47">
        <f>X28+(X29/2)</f>
        <v>4.25</v>
      </c>
      <c r="BC52" s="47">
        <f>Z28+(Z29/2)</f>
        <v>4</v>
      </c>
      <c r="BD52" s="47">
        <f>AB28+(AB29/2)</f>
        <v>2.25</v>
      </c>
      <c r="BE52" s="59"/>
    </row>
    <row r="53" ht="15.75">
      <c r="B53" s="12" t="s">
        <v>202</v>
      </c>
      <c r="C53" s="12"/>
      <c r="D53" s="12"/>
      <c r="E53" s="12"/>
      <c r="F53" s="12"/>
      <c r="G53" s="12"/>
      <c r="H53" s="12"/>
      <c r="I53" s="12"/>
      <c r="J53" s="35">
        <v>10</v>
      </c>
      <c r="L53" s="17" t="s">
        <v>60</v>
      </c>
      <c r="M53" s="22" t="s">
        <v>9</v>
      </c>
      <c r="N53" s="17" t="s">
        <v>60</v>
      </c>
      <c r="O53" s="22" t="s">
        <v>9</v>
      </c>
      <c r="P53" s="17" t="s">
        <v>60</v>
      </c>
      <c r="Q53" s="22" t="s">
        <v>9</v>
      </c>
      <c r="R53" s="17" t="s">
        <v>60</v>
      </c>
      <c r="S53" s="22" t="s">
        <v>9</v>
      </c>
      <c r="T53" s="17" t="s">
        <v>60</v>
      </c>
      <c r="U53" s="22" t="s">
        <v>9</v>
      </c>
      <c r="V53" s="17" t="s">
        <v>60</v>
      </c>
      <c r="W53" s="22" t="s">
        <v>9</v>
      </c>
      <c r="X53" s="17" t="s">
        <v>60</v>
      </c>
      <c r="Y53" s="22" t="s">
        <v>9</v>
      </c>
      <c r="AA53" s="23"/>
      <c r="AE53" s="318" t="s">
        <v>203</v>
      </c>
      <c r="AF53" s="318"/>
      <c r="AG53" s="318"/>
      <c r="AH53" s="63">
        <f>AH54+AH56</f>
        <v>35.685085877020029</v>
      </c>
      <c r="AI53" s="82"/>
      <c r="AJ53" s="82"/>
      <c r="AM53" s="0" t="s">
        <v>204</v>
      </c>
      <c r="AS53" s="12" t="s">
        <v>205</v>
      </c>
      <c r="AU53" s="9">
        <f ref="AU53:BD53" t="shared" si="21">AU50*HEURES</f>
        <v>9.75</v>
      </c>
      <c r="AV53" s="9">
        <f t="shared" si="21"/>
        <v>24</v>
      </c>
      <c r="AW53" s="9">
        <f t="shared" si="21"/>
        <v>30</v>
      </c>
      <c r="AX53" s="9">
        <f t="shared" si="21"/>
        <v>40.5</v>
      </c>
      <c r="AY53" s="9">
        <f t="shared" si="21"/>
        <v>42</v>
      </c>
      <c r="AZ53" s="9">
        <f t="shared" si="21"/>
        <v>46.5</v>
      </c>
      <c r="BA53" s="9">
        <f t="shared" si="21"/>
        <v>52.5</v>
      </c>
      <c r="BB53" s="9">
        <f t="shared" si="21"/>
        <v>53.25</v>
      </c>
      <c r="BC53" s="9">
        <f t="shared" si="21"/>
        <v>60</v>
      </c>
      <c r="BD53" s="9">
        <f t="shared" si="21"/>
        <v>27.75</v>
      </c>
    </row>
    <row r="54" ht="15.75">
      <c r="B54" s="12" t="s">
        <v>206</v>
      </c>
      <c r="C54" s="12"/>
      <c r="D54" s="12"/>
      <c r="E54" s="12"/>
      <c r="F54" s="12"/>
      <c r="G54" s="12"/>
      <c r="H54" s="12"/>
      <c r="I54" s="12"/>
      <c r="J54" s="14">
        <f>AH57/J53</f>
        <v>22.14</v>
      </c>
      <c r="L54" s="25">
        <v>63</v>
      </c>
      <c r="M54" s="26">
        <f>L54/$J$53</f>
        <v>6.3</v>
      </c>
      <c r="N54" s="25">
        <v>66</v>
      </c>
      <c r="O54" s="26">
        <f>N54/$J$53</f>
        <v>6.6</v>
      </c>
      <c r="P54" s="25">
        <v>6</v>
      </c>
      <c r="Q54" s="26">
        <f>P54/$J$53</f>
        <v>0.6</v>
      </c>
      <c r="R54" s="25"/>
      <c r="S54" s="26">
        <f>R54/$J$53</f>
        <v>0</v>
      </c>
      <c r="T54" s="25"/>
      <c r="U54" s="26">
        <f>T54/$J$53</f>
        <v>0</v>
      </c>
      <c r="V54" s="25"/>
      <c r="W54" s="26">
        <f>V54/$J$53</f>
        <v>0</v>
      </c>
      <c r="X54" s="44">
        <f>(J54-M54-O54-Q54-S54-U54-W54)*J$54</f>
        <v>191.2896</v>
      </c>
      <c r="Y54" s="21">
        <f>X54/$J$54</f>
        <v>8.64</v>
      </c>
      <c r="AA54" s="24">
        <f>J54-(M54+O54+Q54+Y54)</f>
        <v>0</v>
      </c>
      <c r="AE54" s="319" t="s">
        <v>191</v>
      </c>
      <c r="AF54" s="319"/>
      <c r="AG54" s="319"/>
      <c r="AH54" s="64">
        <f>HLOOKUP(Param!$A$23,'[2]suivi .NET'!$B$2:$AB22,5,0)</f>
        <v>16.789096967580466</v>
      </c>
      <c r="AI54" s="82"/>
      <c r="AJ54" s="82"/>
      <c r="AS54" s="12" t="s">
        <v>207</v>
      </c>
      <c r="AU54" s="9">
        <f ref="AU54:BD54" t="shared" si="22">AU51*HEURES</f>
        <v>5.25</v>
      </c>
      <c r="AV54" s="9">
        <f t="shared" si="22"/>
        <v>10.5</v>
      </c>
      <c r="AW54" s="9">
        <f t="shared" si="22"/>
        <v>15</v>
      </c>
      <c r="AX54" s="9">
        <f t="shared" si="22"/>
        <v>16.5</v>
      </c>
      <c r="AY54" s="9">
        <f t="shared" si="22"/>
        <v>20.25</v>
      </c>
      <c r="AZ54" s="9">
        <f t="shared" si="22"/>
        <v>22.5</v>
      </c>
      <c r="BA54" s="9">
        <f t="shared" si="22"/>
        <v>25.5</v>
      </c>
      <c r="BB54" s="9">
        <f t="shared" si="22"/>
        <v>27.75</v>
      </c>
      <c r="BC54" s="9">
        <f t="shared" si="22"/>
        <v>36</v>
      </c>
      <c r="BD54" s="9">
        <f t="shared" si="22"/>
        <v>14.25</v>
      </c>
    </row>
    <row r="55" ht="15.75">
      <c r="B55" s="12" t="s">
        <v>208</v>
      </c>
      <c r="C55" s="12"/>
      <c r="D55" s="12"/>
      <c r="E55" s="12"/>
      <c r="F55" s="12"/>
      <c r="G55" s="12"/>
      <c r="H55" s="12"/>
      <c r="I55" s="12"/>
      <c r="J55" s="14">
        <f>TableauSuiviSprint[[#Totals],[H. Qualif]]/J53</f>
        <v>8.7</v>
      </c>
      <c r="L55" s="27">
        <v>16</v>
      </c>
      <c r="M55" s="28">
        <f>L55/$J$53</f>
        <v>1.6</v>
      </c>
      <c r="N55" s="27">
        <v>20</v>
      </c>
      <c r="O55" s="28">
        <f>N55/$J$53</f>
        <v>2</v>
      </c>
      <c r="P55" s="27">
        <v>2</v>
      </c>
      <c r="Q55" s="28">
        <f>P55/$J$53</f>
        <v>0.2</v>
      </c>
      <c r="R55" s="27"/>
      <c r="S55" s="28">
        <f>R55/$J$53</f>
        <v>0</v>
      </c>
      <c r="T55" s="27"/>
      <c r="U55" s="28">
        <f>T55/$J$53</f>
        <v>0</v>
      </c>
      <c r="V55" s="27"/>
      <c r="W55" s="28">
        <f>V55/$J$53</f>
        <v>0</v>
      </c>
      <c r="X55" s="44">
        <f>(J55-M55-O55-Q55-S55-U55-W55)*J$54</f>
        <v>108.48599999999999</v>
      </c>
      <c r="Y55" s="20">
        <f>X55/$J$54</f>
        <v>4.8999999999999995</v>
      </c>
      <c r="AA55" s="24">
        <f>J55-(M55+O55+Q55+Y55)</f>
        <v>0</v>
      </c>
      <c r="AE55" s="77"/>
      <c r="AF55" s="78"/>
      <c r="AG55" s="78"/>
      <c r="AH55" s="64"/>
      <c r="AI55" s="82"/>
      <c r="AJ55" s="82"/>
      <c r="AL55" s="98"/>
      <c r="AM55" s="0" t="s">
        <v>209</v>
      </c>
      <c r="AS55" s="12" t="s">
        <v>210</v>
      </c>
      <c r="AU55" s="9">
        <f ref="AU55:BD55" t="shared" si="23">AU52*HEURES</f>
        <v>4.5</v>
      </c>
      <c r="AV55" s="9">
        <f t="shared" si="23"/>
        <v>13.5</v>
      </c>
      <c r="AW55" s="9">
        <f t="shared" si="23"/>
        <v>15</v>
      </c>
      <c r="AX55" s="9">
        <f t="shared" si="23"/>
        <v>24</v>
      </c>
      <c r="AY55" s="9">
        <f t="shared" si="23"/>
        <v>21.75</v>
      </c>
      <c r="AZ55" s="9">
        <f t="shared" si="23"/>
        <v>24</v>
      </c>
      <c r="BA55" s="9">
        <f t="shared" si="23"/>
        <v>27</v>
      </c>
      <c r="BB55" s="9">
        <f t="shared" si="23"/>
        <v>25.5</v>
      </c>
      <c r="BC55" s="9">
        <f t="shared" si="23"/>
        <v>24</v>
      </c>
      <c r="BD55" s="9">
        <f t="shared" si="23"/>
        <v>13.5</v>
      </c>
    </row>
    <row r="56" ht="15.75">
      <c r="AE56" s="320" t="s">
        <v>195</v>
      </c>
      <c r="AF56" s="320"/>
      <c r="AG56" s="320"/>
      <c r="AH56" s="65">
        <f>HLOOKUP(Param!$A$23,'[2]suivi Autre'!$B$2:$AB22,5,0)</f>
        <v>18.895988909439566</v>
      </c>
      <c r="AI56" s="82"/>
      <c r="AJ56" s="82"/>
      <c r="AL56" s="99"/>
      <c r="AM56" s="0" t="s">
        <v>211</v>
      </c>
      <c r="AS56" s="12" t="s">
        <v>212</v>
      </c>
      <c r="AT56" s="9">
        <f>BE69</f>
        <v>386.25</v>
      </c>
      <c r="AU56" s="9">
        <f ref="AU56:BD56" t="shared" si="24">AT56-AU53</f>
        <v>376.5</v>
      </c>
      <c r="AV56" s="9">
        <f t="shared" si="24"/>
        <v>352.5</v>
      </c>
      <c r="AW56" s="9">
        <f t="shared" si="24"/>
        <v>322.5</v>
      </c>
      <c r="AX56" s="9">
        <f t="shared" si="24"/>
        <v>282</v>
      </c>
      <c r="AY56" s="9">
        <f t="shared" si="24"/>
        <v>240</v>
      </c>
      <c r="AZ56" s="9">
        <f t="shared" si="24"/>
        <v>193.5</v>
      </c>
      <c r="BA56" s="9">
        <f t="shared" si="24"/>
        <v>141</v>
      </c>
      <c r="BB56" s="9">
        <f t="shared" si="24"/>
        <v>87.75</v>
      </c>
      <c r="BC56" s="9">
        <f t="shared" si="24"/>
        <v>27.75</v>
      </c>
      <c r="BD56" s="9">
        <f t="shared" si="24"/>
        <v>0</v>
      </c>
    </row>
    <row r="57" ht="15.75">
      <c r="AE57" s="321" t="s">
        <v>213</v>
      </c>
      <c r="AF57" s="321"/>
      <c r="AG57" s="321"/>
      <c r="AH57" s="66">
        <f>(L36+L37)*80%</f>
        <v>221.4</v>
      </c>
      <c r="AI57" s="93"/>
      <c r="AJ57" s="93"/>
      <c r="AS57" s="12" t="s">
        <v>214</v>
      </c>
      <c r="AT57" s="9">
        <f>BE70</f>
        <v>193.5</v>
      </c>
      <c r="AU57" s="9">
        <f ref="AU57:BD57" t="shared" si="25">AT57-AU54</f>
        <v>188.25</v>
      </c>
      <c r="AV57" s="9">
        <f t="shared" si="25"/>
        <v>177.75</v>
      </c>
      <c r="AW57" s="9">
        <f t="shared" si="25"/>
        <v>162.75</v>
      </c>
      <c r="AX57" s="9">
        <f t="shared" si="25"/>
        <v>146.25</v>
      </c>
      <c r="AY57" s="9">
        <f t="shared" si="25"/>
        <v>126</v>
      </c>
      <c r="AZ57" s="9">
        <f t="shared" si="25"/>
        <v>103.5</v>
      </c>
      <c r="BA57" s="9">
        <f t="shared" si="25"/>
        <v>78</v>
      </c>
      <c r="BB57" s="9">
        <f t="shared" si="25"/>
        <v>50.25</v>
      </c>
      <c r="BC57" s="9">
        <f t="shared" si="25"/>
        <v>14.25</v>
      </c>
      <c r="BD57" s="9">
        <f t="shared" si="25"/>
        <v>0</v>
      </c>
      <c r="BE57" s="0">
        <f>SUM(AU50:BD50)</f>
        <v>64.375</v>
      </c>
    </row>
    <row r="58" ht="15.75">
      <c r="J58" s="32"/>
      <c r="M58" s="8"/>
      <c r="AE58" s="321" t="s">
        <v>215</v>
      </c>
      <c r="AF58" s="321"/>
      <c r="AG58" s="321"/>
      <c r="AH58" s="114">
        <f>+L35+L38</f>
        <v>186.75</v>
      </c>
      <c r="AI58" s="93"/>
      <c r="AJ58" s="93"/>
      <c r="AL58" s="137"/>
      <c r="AM58" s="0" t="s">
        <v>216</v>
      </c>
      <c r="AS58" s="12" t="s">
        <v>217</v>
      </c>
      <c r="AT58" s="9">
        <f>BE71</f>
        <v>192.75</v>
      </c>
      <c r="AU58" s="9">
        <f ref="AU58:BD58" t="shared" si="26">AT58-AU55</f>
        <v>188.25</v>
      </c>
      <c r="AV58" s="9">
        <f t="shared" si="26"/>
        <v>174.75</v>
      </c>
      <c r="AW58" s="9">
        <f t="shared" si="26"/>
        <v>159.75</v>
      </c>
      <c r="AX58" s="9">
        <f t="shared" si="26"/>
        <v>135.75</v>
      </c>
      <c r="AY58" s="9">
        <f t="shared" si="26"/>
        <v>114</v>
      </c>
      <c r="AZ58" s="9">
        <f t="shared" si="26"/>
        <v>90</v>
      </c>
      <c r="BA58" s="9">
        <f t="shared" si="26"/>
        <v>63</v>
      </c>
      <c r="BB58" s="9">
        <f t="shared" si="26"/>
        <v>37.5</v>
      </c>
      <c r="BC58" s="9">
        <f t="shared" si="26"/>
        <v>13.5</v>
      </c>
      <c r="BD58" s="9">
        <f t="shared" si="26"/>
        <v>0</v>
      </c>
      <c r="BE58" s="0">
        <f>SUM(AU51:BD51)</f>
        <v>32.25</v>
      </c>
    </row>
    <row r="59" ht="15.75">
      <c r="J59" s="32"/>
      <c r="M59" s="8"/>
      <c r="N59" s="32"/>
      <c r="AE59" s="316" t="s">
        <v>218</v>
      </c>
      <c r="AF59" s="316"/>
      <c r="AG59" s="316"/>
      <c r="AH59" s="67">
        <f>+L36+L37</f>
        <v>276.75</v>
      </c>
      <c r="AI59" s="82"/>
      <c r="AJ59" s="82"/>
      <c r="AL59" s="100"/>
      <c r="AM59" s="0" t="s">
        <v>219</v>
      </c>
      <c r="AS59" s="12" t="s">
        <v>220</v>
      </c>
      <c r="AU59" s="9">
        <f ref="AU59:BD59" t="shared" si="27">($AT$45*AU$50/$BE$57)</f>
        <v>8.9864077669902915</v>
      </c>
      <c r="AV59" s="9">
        <f t="shared" si="27"/>
        <v>22.120388349514563</v>
      </c>
      <c r="AW59" s="9">
        <f t="shared" si="27"/>
        <v>27.650485436893202</v>
      </c>
      <c r="AX59" s="9">
        <f t="shared" si="27"/>
        <v>37.328155339805825</v>
      </c>
      <c r="AY59" s="9">
        <f t="shared" si="27"/>
        <v>38.710679611650484</v>
      </c>
      <c r="AZ59" s="9">
        <f t="shared" si="27"/>
        <v>42.858252427184468</v>
      </c>
      <c r="BA59" s="9">
        <f t="shared" si="27"/>
        <v>48.38834951456311</v>
      </c>
      <c r="BB59" s="9">
        <f t="shared" si="27"/>
        <v>49.07961165048544</v>
      </c>
      <c r="BC59" s="9">
        <f t="shared" si="27"/>
        <v>55.300970873786405</v>
      </c>
      <c r="BD59" s="9">
        <f t="shared" si="27"/>
        <v>25.576699029126214</v>
      </c>
      <c r="BE59" s="0">
        <f>SUM(AU52:BD52)</f>
        <v>32.125</v>
      </c>
    </row>
    <row r="60" ht="15.75">
      <c r="J60" s="32"/>
      <c r="M60" s="8"/>
      <c r="AD60" s="8"/>
      <c r="AE60" s="316" t="s">
        <v>221</v>
      </c>
      <c r="AF60" s="316"/>
      <c r="AG60" s="316"/>
      <c r="AH60" s="67">
        <f>+L38</f>
        <v>109.5</v>
      </c>
      <c r="AI60" s="82"/>
      <c r="AJ60" s="82"/>
      <c r="AS60" s="12" t="s">
        <v>222</v>
      </c>
      <c r="AU60" s="9">
        <f ref="AU60:BD60" t="shared" si="28">($AT$47*AU$51/$BE$58)</f>
        <v>4.5310077519379846</v>
      </c>
      <c r="AV60" s="9">
        <f t="shared" si="28"/>
        <v>9.0620155038759691</v>
      </c>
      <c r="AW60" s="9">
        <f t="shared" si="28"/>
        <v>12.945736434108527</v>
      </c>
      <c r="AX60" s="9">
        <f t="shared" si="28"/>
        <v>14.24031007751938</v>
      </c>
      <c r="AY60" s="9">
        <f t="shared" si="28"/>
        <v>17.476744186046513</v>
      </c>
      <c r="AZ60" s="9">
        <f t="shared" si="28"/>
        <v>19.418604651162791</v>
      </c>
      <c r="BA60" s="9">
        <f t="shared" si="28"/>
        <v>22.007751937984494</v>
      </c>
      <c r="BB60" s="9">
        <f t="shared" si="28"/>
        <v>23.949612403100776</v>
      </c>
      <c r="BC60" s="9">
        <f t="shared" si="28"/>
        <v>31.069767441860463</v>
      </c>
      <c r="BD60" s="9">
        <f t="shared" si="28"/>
        <v>12.2984496124031</v>
      </c>
    </row>
    <row r="61">
      <c r="J61" s="32"/>
      <c r="M61" s="8"/>
      <c r="N61" s="32"/>
      <c r="AE61" s="81"/>
      <c r="AF61" s="81"/>
      <c r="AG61" s="81"/>
      <c r="AH61" s="82"/>
      <c r="AI61" s="82"/>
      <c r="AJ61" s="82"/>
      <c r="AL61" s="101"/>
      <c r="AM61" s="0" t="s">
        <v>223</v>
      </c>
      <c r="AS61" s="12" t="s">
        <v>224</v>
      </c>
      <c r="AU61" s="9">
        <f ref="AU61:BD61" t="shared" si="29">($AT$46*AU$52/$BE$59)</f>
        <v>4.4124513618677046</v>
      </c>
      <c r="AV61" s="9">
        <f t="shared" si="29"/>
        <v>13.237354085603112</v>
      </c>
      <c r="AW61" s="9">
        <f t="shared" si="29"/>
        <v>14.70817120622568</v>
      </c>
      <c r="AX61" s="9">
        <f t="shared" si="29"/>
        <v>23.533073929961091</v>
      </c>
      <c r="AY61" s="9">
        <f t="shared" si="29"/>
        <v>21.326848249027236</v>
      </c>
      <c r="AZ61" s="9">
        <f t="shared" si="29"/>
        <v>23.533073929961091</v>
      </c>
      <c r="BA61" s="9">
        <f t="shared" si="29"/>
        <v>26.474708171206224</v>
      </c>
      <c r="BB61" s="9">
        <f t="shared" si="29"/>
        <v>25.003891050583658</v>
      </c>
      <c r="BC61" s="9">
        <f t="shared" si="29"/>
        <v>23.533073929961091</v>
      </c>
      <c r="BD61" s="9">
        <f t="shared" si="29"/>
        <v>13.237354085603112</v>
      </c>
      <c r="BE61" s="0">
        <f>SUM(AU54:BD54)</f>
        <v>193.5</v>
      </c>
    </row>
    <row r="62">
      <c r="J62" s="32"/>
      <c r="M62" s="8"/>
      <c r="AL62" s="161"/>
      <c r="AM62" s="0" t="s">
        <v>225</v>
      </c>
      <c r="AS62" s="12" t="s">
        <v>226</v>
      </c>
      <c r="AT62" s="9">
        <f>TableauSuiviSprint[[#Totals],[Init]]-AT59</f>
        <v>356</v>
      </c>
      <c r="AU62" s="9">
        <f ref="AU62:BD62" t="shared" si="30">AT62-AU59</f>
        <v>347.01359223300972</v>
      </c>
      <c r="AV62" s="9">
        <f t="shared" si="30"/>
        <v>324.89320388349518</v>
      </c>
      <c r="AW62" s="9">
        <f t="shared" si="30"/>
        <v>297.242718446602</v>
      </c>
      <c r="AX62" s="9">
        <f t="shared" si="30"/>
        <v>259.91456310679615</v>
      </c>
      <c r="AY62" s="9">
        <f t="shared" si="30"/>
        <v>221.20388349514567</v>
      </c>
      <c r="AZ62" s="9">
        <f t="shared" si="30"/>
        <v>178.34563106796122</v>
      </c>
      <c r="BA62" s="9">
        <f t="shared" si="30"/>
        <v>129.9572815533981</v>
      </c>
      <c r="BB62" s="9">
        <f t="shared" si="30"/>
        <v>80.877669902912658</v>
      </c>
      <c r="BC62" s="9">
        <f t="shared" si="30"/>
        <v>25.576699029126253</v>
      </c>
      <c r="BD62" s="9">
        <f t="shared" si="30"/>
        <v>3.907985046680551E-14</v>
      </c>
    </row>
    <row r="63">
      <c r="J63" s="32"/>
      <c r="M63" s="8"/>
      <c r="AS63" s="12" t="s">
        <v>227</v>
      </c>
      <c r="AT63" s="9">
        <f>AT47-AT60</f>
        <v>167</v>
      </c>
      <c r="AU63" s="9">
        <f ref="AU63:BD63" t="shared" si="31">AT63-AU60</f>
        <v>162.46899224806202</v>
      </c>
      <c r="AV63" s="9">
        <f t="shared" si="31"/>
        <v>153.40697674418607</v>
      </c>
      <c r="AW63" s="9">
        <f t="shared" si="31"/>
        <v>140.46124031007753</v>
      </c>
      <c r="AX63" s="9">
        <f t="shared" si="31"/>
        <v>126.22093023255815</v>
      </c>
      <c r="AY63" s="9">
        <f t="shared" si="31"/>
        <v>108.74418604651163</v>
      </c>
      <c r="AZ63" s="9">
        <f t="shared" si="31"/>
        <v>89.325581395348834</v>
      </c>
      <c r="BA63" s="9">
        <f t="shared" si="31"/>
        <v>67.31782945736434</v>
      </c>
      <c r="BB63" s="9">
        <f t="shared" si="31"/>
        <v>43.368217054263567</v>
      </c>
      <c r="BC63" s="9">
        <f t="shared" si="31"/>
        <v>12.298449612403104</v>
      </c>
      <c r="BD63" s="9">
        <f t="shared" si="31"/>
        <v>0</v>
      </c>
    </row>
    <row r="64">
      <c r="J64" s="32"/>
      <c r="M64" s="8"/>
      <c r="N64" s="32"/>
      <c r="AL64" s="102"/>
      <c r="AM64" s="0" t="s">
        <v>228</v>
      </c>
      <c r="AS64" s="12" t="s">
        <v>229</v>
      </c>
      <c r="AT64" s="9">
        <f>AT46-AT61</f>
        <v>189</v>
      </c>
      <c r="AU64" s="9">
        <f ref="AU64:BD64" t="shared" si="32">AT64-AU61</f>
        <v>184.58754863813229</v>
      </c>
      <c r="AV64" s="9">
        <f t="shared" si="32"/>
        <v>171.35019455252919</v>
      </c>
      <c r="AW64" s="9">
        <f t="shared" si="32"/>
        <v>156.64202334630352</v>
      </c>
      <c r="AX64" s="9">
        <f t="shared" si="32"/>
        <v>133.10894941634243</v>
      </c>
      <c r="AY64" s="9">
        <f t="shared" si="32"/>
        <v>111.78210116731519</v>
      </c>
      <c r="AZ64" s="9">
        <f t="shared" si="32"/>
        <v>88.2490272373541</v>
      </c>
      <c r="BA64" s="9">
        <f t="shared" si="32"/>
        <v>61.774319066147875</v>
      </c>
      <c r="BB64" s="9">
        <f t="shared" si="32"/>
        <v>36.770428015564221</v>
      </c>
      <c r="BC64" s="9">
        <f t="shared" si="32"/>
        <v>13.23735408560313</v>
      </c>
      <c r="BD64" s="9">
        <f t="shared" si="32"/>
        <v>1.7763568394002505E-14</v>
      </c>
    </row>
    <row r="65">
      <c r="J65" s="32"/>
      <c r="M65" s="8"/>
      <c r="AS65" s="12" t="s">
        <v>230</v>
      </c>
      <c r="AT65" s="33">
        <f>TableauSuiviSprint[[#Totals],[Init]]</f>
        <v>356</v>
      </c>
      <c r="AU65" s="33">
        <f>TableauSuiviSprint[[#Totals],[J1]]</f>
        <v>306.5</v>
      </c>
      <c r="AV65" s="33">
        <f>TableauSuiviSprint[[#Totals],[J2]]</f>
        <v>254.5</v>
      </c>
      <c r="AW65" s="33">
        <f>TableauSuiviSprint[[#Totals],[J3]]</f>
        <v>213</v>
      </c>
      <c r="AX65" s="33">
        <f>TableauSuiviSprint[[#Totals],[J4]]</f>
        <v>140</v>
      </c>
      <c r="AY65" s="33">
        <f>TableauSuiviSprint[[#Totals],[J5]]</f>
        <v>98.5</v>
      </c>
      <c r="AZ65" s="33">
        <f>TableauSuiviSprint[[#Totals],[J6]]</f>
        <v>69</v>
      </c>
      <c r="BA65" s="33">
        <f>TableauSuiviSprint[[#Totals],[J7]]</f>
        <v>63.5</v>
      </c>
      <c r="BB65" s="33">
        <f>TableauSuiviSprint[[#Totals],[J8]]</f>
        <v>35</v>
      </c>
      <c r="BC65" s="33">
        <f>TableauSuiviSprint[[#Totals],[J9]]</f>
        <v>22</v>
      </c>
      <c r="BD65" s="33">
        <f>TableauSuiviSprint[[#Totals],[J10]]</f>
        <v>20</v>
      </c>
    </row>
    <row r="66">
      <c r="J66" s="32"/>
      <c r="M66" s="8"/>
      <c r="AS66" s="12" t="s">
        <v>231</v>
      </c>
      <c r="AT66" s="33">
        <f>AT47</f>
        <v>167</v>
      </c>
      <c r="AU66" s="33">
        <f ref="AU66:AZ66" t="shared" si="34">AU47</f>
        <v>147</v>
      </c>
      <c r="AV66" s="33">
        <f t="shared" si="34"/>
        <v>115.5</v>
      </c>
      <c r="AW66" s="33">
        <f t="shared" si="34"/>
        <v>90</v>
      </c>
      <c r="AX66" s="33">
        <f t="shared" si="34"/>
        <v>66</v>
      </c>
      <c r="AY66" s="33">
        <f t="shared" si="34"/>
        <v>36.5</v>
      </c>
      <c r="AZ66" s="33">
        <f t="shared" si="34"/>
        <v>23</v>
      </c>
      <c r="BA66" s="33">
        <f>BA47</f>
        <v>9.5</v>
      </c>
      <c r="BB66" s="33">
        <f>BB47</f>
        <v>14.5</v>
      </c>
      <c r="BC66" s="33">
        <f>BC47</f>
        <v>9</v>
      </c>
      <c r="BD66" s="33">
        <f>BD47</f>
        <v>9</v>
      </c>
    </row>
    <row r="67">
      <c r="J67" s="32"/>
      <c r="M67" s="8"/>
      <c r="AS67" s="12" t="s">
        <v>232</v>
      </c>
      <c r="AT67" s="33">
        <f>AT46</f>
        <v>189</v>
      </c>
      <c r="AU67" s="33">
        <f ref="AU67:AZ67" t="shared" si="36">AU46</f>
        <v>159.5</v>
      </c>
      <c r="AV67" s="33">
        <f t="shared" si="36"/>
        <v>139</v>
      </c>
      <c r="AW67" s="33">
        <f t="shared" si="36"/>
        <v>123</v>
      </c>
      <c r="AX67" s="33">
        <f t="shared" si="36"/>
        <v>74</v>
      </c>
      <c r="AY67" s="33">
        <f t="shared" si="36"/>
        <v>62</v>
      </c>
      <c r="AZ67" s="33">
        <f t="shared" si="36"/>
        <v>46</v>
      </c>
      <c r="BA67" s="33">
        <f>BA46</f>
        <v>54</v>
      </c>
      <c r="BB67" s="33">
        <f>BB46</f>
        <v>20.5</v>
      </c>
      <c r="BC67" s="33">
        <f>BC46</f>
        <v>13</v>
      </c>
      <c r="BD67" s="33">
        <f>BD46</f>
        <v>11</v>
      </c>
    </row>
    <row r="68">
      <c r="J68" s="32"/>
      <c r="M68" s="8"/>
    </row>
    <row r="69">
      <c r="J69" s="32"/>
      <c r="M69" s="8"/>
      <c r="N69" s="32"/>
      <c r="BE69" s="9">
        <f>SUM(AU53:BD53)</f>
        <v>386.25</v>
      </c>
    </row>
    <row r="70">
      <c r="J70" s="32"/>
      <c r="M70" s="8"/>
      <c r="BE70" s="0">
        <f>SUM(AU54:BD54)</f>
        <v>193.5</v>
      </c>
    </row>
    <row r="71">
      <c r="BE71" s="9">
        <f>SUM(AU55:BD55)</f>
        <v>192.75</v>
      </c>
    </row>
    <row r="72">
      <c r="AE72" s="8"/>
    </row>
  </sheetData>
  <protectedRanges>
    <protectedRange sqref="AN38:AO43 AO26:AO37 AR23:BD23 AE4:BD22 AP26:AX26 AP27:AW43 AX27:AX44 AY26:BD43 AN24:AN35 AE30:AM43 AE24:AM27 AO24:BD25 AJ28" name="Modif" securityDescriptor="O:WDG:WDD:(A;;CC;;;WD)"/>
    <protectedRange algorithmName="SHA-512" hashValue="Km4lDB06YUgTyHi1nPExIlOtqmv/dLbcMwb8l9VU/CNvqzWLSrzyA6mWp04vwT972L9jp2PvFIcpBZjc2COXNA==" saltValue="JOb8dRwdkbjIgujr4A9ddw==" spinCount="100000" sqref="K25:AC43 B42:I42 B25:J41 D43:J43 AC2:AC11 AC14:AC15 A16:AC21 A22:A43 B2:AB15 A2:A13 A15" name="Ressources_30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2:AC22 D23:AC24" name="Ressources_30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C23:C24" name="Ressources_30_1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3" name="Ressources_30_1_1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4" name="Ressources_30_1_1_1_1" securityDescriptor="O:WDG:WDD:(A;;CC;;;S-1-5-21-1248577188-10479689-3873521419-256576)(A;;CC;;;S-1-5-21-1248577188-10479689-3873521419-887198)(A;;CC;;;S-1-5-21-1248577188-10479689-3873521419-72230)"/>
  </protectedRanges>
  <mergeCells>
    <mergeCell ref="AE59:AG59"/>
    <mergeCell ref="AE60:AG60"/>
    <mergeCell ref="X52:Y52"/>
    <mergeCell ref="AE53:AG53"/>
    <mergeCell ref="AE54:AG54"/>
    <mergeCell ref="AE56:AG56"/>
    <mergeCell ref="AE57:AG57"/>
    <mergeCell ref="AE58:AG58"/>
    <mergeCell ref="L52:M52"/>
    <mergeCell ref="N52:O52"/>
    <mergeCell ref="P52:Q52"/>
    <mergeCell ref="R52:S52"/>
    <mergeCell ref="T52:U52"/>
    <mergeCell ref="V52:W52"/>
    <mergeCell ref="J40:K40"/>
    <mergeCell ref="B41:I41"/>
    <mergeCell ref="J41:K41"/>
    <mergeCell ref="AE49:AG49"/>
    <mergeCell ref="AE50:AG50"/>
    <mergeCell ref="AE51:AG51"/>
    <mergeCell ref="J38:K38"/>
    <mergeCell ref="L38:M38"/>
    <mergeCell ref="N38:O38"/>
    <mergeCell ref="P38:Q38"/>
    <mergeCell ref="J39:K39"/>
    <mergeCell ref="L39:M39"/>
    <mergeCell ref="N39:O39"/>
    <mergeCell ref="P39:Q39"/>
    <mergeCell ref="AA36:AB36"/>
    <mergeCell ref="J37:K37"/>
    <mergeCell ref="L37:M37"/>
    <mergeCell ref="N37:O37"/>
    <mergeCell ref="P37:Q37"/>
    <mergeCell ref="T37:U37"/>
    <mergeCell ref="W35:X35"/>
    <mergeCell ref="Y35:Z35"/>
    <mergeCell ref="J36:K36"/>
    <mergeCell ref="L36:M36"/>
    <mergeCell ref="N36:O36"/>
    <mergeCell ref="P36:Q36"/>
    <mergeCell ref="R36:R37"/>
    <mergeCell ref="T36:U36"/>
    <mergeCell ref="W36:X36"/>
    <mergeCell ref="Y36:Z36"/>
    <mergeCell ref="T34:U34"/>
    <mergeCell ref="J35:K35"/>
    <mergeCell ref="L35:M35"/>
    <mergeCell ref="N35:O35"/>
    <mergeCell ref="P35:Q35"/>
    <mergeCell ref="T35:U35"/>
    <mergeCell ref="B33:D33"/>
    <mergeCell ref="E33:I33"/>
    <mergeCell ref="J34:K34"/>
    <mergeCell ref="L34:M34"/>
    <mergeCell ref="N34:O34"/>
    <mergeCell ref="P34:Q34"/>
    <mergeCell ref="R32:S32"/>
    <mergeCell ref="T32:U32"/>
    <mergeCell ref="V32:W32"/>
    <mergeCell ref="X32:Y32"/>
    <mergeCell ref="Z32:AA32"/>
    <mergeCell ref="AB32:AC32"/>
    <mergeCell ref="B32:D32"/>
    <mergeCell ref="E32:I32"/>
    <mergeCell ref="J32:K32"/>
    <mergeCell ref="L32:M32"/>
    <mergeCell ref="N32:O32"/>
    <mergeCell ref="P32:Q32"/>
    <mergeCell ref="R31:S31"/>
    <mergeCell ref="T31:U31"/>
    <mergeCell ref="V31:W31"/>
    <mergeCell ref="X31:Y31"/>
    <mergeCell ref="Z31:AA31"/>
    <mergeCell ref="AB31:AC31"/>
    <mergeCell ref="B31:D31"/>
    <mergeCell ref="E31:I31"/>
    <mergeCell ref="J31:K31"/>
    <mergeCell ref="L31:M31"/>
    <mergeCell ref="N31:O31"/>
    <mergeCell ref="P31:Q31"/>
    <mergeCell ref="X30:Y30"/>
    <mergeCell ref="Z30:AA30"/>
    <mergeCell ref="AB30:AC30"/>
    <mergeCell ref="B30:D30"/>
    <mergeCell ref="E30:I30"/>
    <mergeCell ref="J30:K30"/>
    <mergeCell ref="L30:M30"/>
    <mergeCell ref="N30:O30"/>
    <mergeCell ref="P30:Q30"/>
    <mergeCell ref="B29:D29"/>
    <mergeCell ref="E29:I29"/>
    <mergeCell ref="J29:K29"/>
    <mergeCell ref="L29:M29"/>
    <mergeCell ref="N29:O29"/>
    <mergeCell ref="P29:Q29"/>
    <mergeCell ref="R30:S30"/>
    <mergeCell ref="T30:U30"/>
    <mergeCell ref="V30:W30"/>
    <mergeCell ref="V28:W28"/>
    <mergeCell ref="X28:Y28"/>
    <mergeCell ref="Z28:AA28"/>
    <mergeCell ref="AB28:AC28"/>
    <mergeCell ref="V27:W27"/>
    <mergeCell ref="X27:Y27"/>
    <mergeCell ref="Z27:AA27"/>
    <mergeCell ref="AB27:AC27"/>
    <mergeCell ref="R29:S29"/>
    <mergeCell ref="T29:U29"/>
    <mergeCell ref="V29:W29"/>
    <mergeCell ref="X29:Y29"/>
    <mergeCell ref="Z29:AA29"/>
    <mergeCell ref="AB29:AC29"/>
    <mergeCell ref="B28:D28"/>
    <mergeCell ref="E28:I28"/>
    <mergeCell ref="J28:K28"/>
    <mergeCell ref="L28:M28"/>
    <mergeCell ref="N28:O28"/>
    <mergeCell ref="P28:Q28"/>
    <mergeCell ref="Z26:AA26"/>
    <mergeCell ref="AB26:AC26"/>
    <mergeCell ref="B27:D27"/>
    <mergeCell ref="E27:I27"/>
    <mergeCell ref="J27:K27"/>
    <mergeCell ref="L27:M27"/>
    <mergeCell ref="N27:O27"/>
    <mergeCell ref="P27:Q27"/>
    <mergeCell ref="R27:S27"/>
    <mergeCell ref="T27:U27"/>
    <mergeCell ref="N26:O26"/>
    <mergeCell ref="P26:Q26"/>
    <mergeCell ref="R26:S26"/>
    <mergeCell ref="T26:U26"/>
    <mergeCell ref="V26:W26"/>
    <mergeCell ref="X26:Y26"/>
    <mergeCell ref="R28:S28"/>
    <mergeCell ref="T28:U28"/>
    <mergeCell ref="A6:A7"/>
    <mergeCell ref="A10:A11"/>
    <mergeCell ref="B26:D26"/>
    <mergeCell ref="E26:I26"/>
    <mergeCell ref="J26:K26"/>
    <mergeCell ref="L26:M26"/>
    <mergeCell ref="R4:S4"/>
    <mergeCell ref="T4:U4"/>
    <mergeCell ref="V4:W4"/>
    <mergeCell ref="A19:A20"/>
    <mergeCell ref="A13:A14"/>
    <mergeCell ref="X4:Y4"/>
    <mergeCell ref="Z4:AA4"/>
    <mergeCell ref="AB4:AC4"/>
    <mergeCell ref="J2:AC2"/>
    <mergeCell ref="AF2:AP2"/>
    <mergeCell ref="AU2:BD2"/>
    <mergeCell ref="E3:AC3"/>
    <mergeCell ref="AO3:AP3"/>
    <mergeCell ref="E4:I4"/>
    <mergeCell ref="J4:K4"/>
    <mergeCell ref="L4:M4"/>
    <mergeCell ref="N4:O4"/>
    <mergeCell ref="P4:Q4"/>
  </mergeCells>
  <conditionalFormatting sqref="AB25:AC25 AB19:AC21 J10:AC14 J17:AC18">
    <cfRule type="expression" dxfId="80" priority="167">
      <formula>(J10="O")</formula>
    </cfRule>
    <cfRule type="expression" dxfId="79" priority="168">
      <formula>(J10="Q")</formula>
    </cfRule>
    <cfRule type="expression" dxfId="78" priority="169">
      <formula>(J10="D")</formula>
    </cfRule>
    <cfRule type="expression" dxfId="77" priority="170">
      <formula>(J10="S")</formula>
    </cfRule>
  </conditionalFormatting>
  <conditionalFormatting sqref="AF71 AF69">
    <cfRule type="expression" dxfId="80" priority="163">
      <formula>(AF69="O")</formula>
    </cfRule>
    <cfRule type="expression" dxfId="79" priority="164">
      <formula>(AF69="Q")</formula>
    </cfRule>
    <cfRule type="expression" dxfId="78" priority="165">
      <formula>(AF69="D")</formula>
    </cfRule>
    <cfRule type="expression" dxfId="77" priority="166">
      <formula>(AF69="S")</formula>
    </cfRule>
  </conditionalFormatting>
  <conditionalFormatting sqref="T25:Y25">
    <cfRule type="expression" dxfId="80" priority="159">
      <formula>(T25="O")</formula>
    </cfRule>
    <cfRule type="expression" dxfId="79" priority="160">
      <formula>(T25="Q")</formula>
    </cfRule>
    <cfRule type="expression" dxfId="78" priority="161">
      <formula>(T25="D")</formula>
    </cfRule>
    <cfRule type="expression" dxfId="77" priority="162">
      <formula>(T25="S")</formula>
    </cfRule>
  </conditionalFormatting>
  <conditionalFormatting sqref="Z25:AA25">
    <cfRule type="expression" dxfId="80" priority="155">
      <formula>(Z25="O")</formula>
    </cfRule>
    <cfRule type="expression" dxfId="79" priority="156">
      <formula>(Z25="Q")</formula>
    </cfRule>
    <cfRule type="expression" dxfId="78" priority="157">
      <formula>(Z25="D")</formula>
    </cfRule>
    <cfRule type="expression" dxfId="77" priority="158">
      <formula>(Z25="S")</formula>
    </cfRule>
  </conditionalFormatting>
  <conditionalFormatting sqref="R25:S25">
    <cfRule type="expression" dxfId="80" priority="151">
      <formula>(R25="O")</formula>
    </cfRule>
    <cfRule type="expression" dxfId="79" priority="152">
      <formula>(R25="Q")</formula>
    </cfRule>
    <cfRule type="expression" dxfId="78" priority="153">
      <formula>(R25="D")</formula>
    </cfRule>
    <cfRule type="expression" dxfId="77" priority="154">
      <formula>(R25="S")</formula>
    </cfRule>
  </conditionalFormatting>
  <conditionalFormatting sqref="J25:O25">
    <cfRule type="expression" dxfId="80" priority="147">
      <formula>(J25="O")</formula>
    </cfRule>
    <cfRule type="expression" dxfId="79" priority="148">
      <formula>(J25="Q")</formula>
    </cfRule>
    <cfRule type="expression" dxfId="78" priority="149">
      <formula>(J25="D")</formula>
    </cfRule>
    <cfRule type="expression" dxfId="77" priority="150">
      <formula>(J25="S")</formula>
    </cfRule>
  </conditionalFormatting>
  <conditionalFormatting sqref="P25:Q25">
    <cfRule type="expression" dxfId="80" priority="143">
      <formula>(P25="O")</formula>
    </cfRule>
    <cfRule type="expression" dxfId="79" priority="144">
      <formula>(P25="Q")</formula>
    </cfRule>
    <cfRule type="expression" dxfId="78" priority="145">
      <formula>(P25="D")</formula>
    </cfRule>
    <cfRule type="expression" dxfId="77" priority="146">
      <formula>(P25="S")</formula>
    </cfRule>
  </conditionalFormatting>
  <conditionalFormatting sqref="J25:AC25 J6:AC15 J17:AC21">
    <cfRule type="expression" dxfId="118" priority="142">
      <formula>(J6="T")</formula>
    </cfRule>
  </conditionalFormatting>
  <conditionalFormatting sqref="L34 N34">
    <cfRule type="expression" dxfId="80" priority="138">
      <formula>(L34="O")</formula>
    </cfRule>
    <cfRule type="expression" dxfId="79" priority="139">
      <formula>(L34="Q")</formula>
    </cfRule>
    <cfRule type="expression" dxfId="78" priority="140">
      <formula>(L34="D")</formula>
    </cfRule>
    <cfRule type="expression" dxfId="77" priority="141">
      <formula>(L34="S")</formula>
    </cfRule>
  </conditionalFormatting>
  <conditionalFormatting sqref="J34">
    <cfRule type="expression" dxfId="80" priority="134">
      <formula>(J34="O")</formula>
    </cfRule>
    <cfRule type="expression" dxfId="79" priority="135">
      <formula>(J34="Q")</formula>
    </cfRule>
    <cfRule type="expression" dxfId="78" priority="136">
      <formula>(J34="D")</formula>
    </cfRule>
    <cfRule type="expression" dxfId="77" priority="137">
      <formula>(J34="S")</formula>
    </cfRule>
  </conditionalFormatting>
  <conditionalFormatting sqref="T20:AA21">
    <cfRule type="expression" dxfId="80" priority="130">
      <formula>(T20="O")</formula>
    </cfRule>
    <cfRule type="expression" dxfId="79" priority="131">
      <formula>(T20="Q")</formula>
    </cfRule>
    <cfRule type="expression" dxfId="78" priority="132">
      <formula>(T20="D")</formula>
    </cfRule>
    <cfRule type="expression" dxfId="77" priority="133">
      <formula>(T20="S")</formula>
    </cfRule>
  </conditionalFormatting>
  <conditionalFormatting sqref="Z20:AA21">
    <cfRule type="expression" dxfId="80" priority="126">
      <formula>(Z20="O")</formula>
    </cfRule>
    <cfRule type="expression" dxfId="79" priority="127">
      <formula>(Z20="Q")</formula>
    </cfRule>
    <cfRule type="expression" dxfId="78" priority="128">
      <formula>(Z20="D")</formula>
    </cfRule>
    <cfRule type="expression" dxfId="77" priority="129">
      <formula>(Z20="S")</formula>
    </cfRule>
  </conditionalFormatting>
  <conditionalFormatting sqref="R20:S21">
    <cfRule type="expression" dxfId="80" priority="122">
      <formula>(R20="O")</formula>
    </cfRule>
    <cfRule type="expression" dxfId="79" priority="123">
      <formula>(R20="Q")</formula>
    </cfRule>
    <cfRule type="expression" dxfId="78" priority="124">
      <formula>(R20="D")</formula>
    </cfRule>
    <cfRule type="expression" dxfId="77" priority="125">
      <formula>(R20="S")</formula>
    </cfRule>
  </conditionalFormatting>
  <conditionalFormatting sqref="J20:S21 L21:Z21">
    <cfRule type="expression" dxfId="80" priority="118">
      <formula>(J20="O")</formula>
    </cfRule>
    <cfRule type="expression" dxfId="79" priority="119">
      <formula>(J20="Q")</formula>
    </cfRule>
    <cfRule type="expression" dxfId="78" priority="120">
      <formula>(J20="D")</formula>
    </cfRule>
    <cfRule type="expression" dxfId="77" priority="121">
      <formula>(J20="S")</formula>
    </cfRule>
  </conditionalFormatting>
  <conditionalFormatting sqref="P20:Q21">
    <cfRule type="expression" dxfId="80" priority="114">
      <formula>(P20="O")</formula>
    </cfRule>
    <cfRule type="expression" dxfId="79" priority="115">
      <formula>(P20="Q")</formula>
    </cfRule>
    <cfRule type="expression" dxfId="78" priority="116">
      <formula>(P20="D")</formula>
    </cfRule>
    <cfRule type="expression" dxfId="77" priority="117">
      <formula>(P20="S")</formula>
    </cfRule>
  </conditionalFormatting>
  <conditionalFormatting sqref="J6:AC9 J15:AC16">
    <cfRule type="expression" dxfId="80" priority="105">
      <formula>(J6="O")</formula>
    </cfRule>
    <cfRule type="expression" dxfId="79" priority="106">
      <formula>(J6="Q")</formula>
    </cfRule>
    <cfRule type="expression" dxfId="78" priority="107">
      <formula>(J6="D")</formula>
    </cfRule>
    <cfRule type="expression" dxfId="77" priority="108">
      <formula>(J6="S")</formula>
    </cfRule>
  </conditionalFormatting>
  <conditionalFormatting sqref="T11:AA11">
    <cfRule type="expression" dxfId="80" priority="101">
      <formula>(T11="O")</formula>
    </cfRule>
    <cfRule type="expression" dxfId="79" priority="102">
      <formula>(T11="Q")</formula>
    </cfRule>
    <cfRule type="expression" dxfId="78" priority="103">
      <formula>(T11="D")</formula>
    </cfRule>
    <cfRule type="expression" dxfId="77" priority="104">
      <formula>(T11="S")</formula>
    </cfRule>
  </conditionalFormatting>
  <conditionalFormatting sqref="J16:AC16">
    <cfRule type="expression" dxfId="118" priority="100">
      <formula>(J16="T")</formula>
    </cfRule>
  </conditionalFormatting>
  <conditionalFormatting sqref="S10:S11">
    <cfRule type="expression" dxfId="80" priority="96">
      <formula>(S10="O")</formula>
    </cfRule>
    <cfRule type="expression" dxfId="79" priority="97">
      <formula>(S10="Q")</formula>
    </cfRule>
    <cfRule type="expression" dxfId="78" priority="98">
      <formula>(S10="D")</formula>
    </cfRule>
    <cfRule type="expression" dxfId="77" priority="99">
      <formula>(S10="S")</formula>
    </cfRule>
  </conditionalFormatting>
  <conditionalFormatting sqref="W16:AC16">
    <cfRule type="expression" dxfId="80" priority="92">
      <formula>(W16="O")</formula>
    </cfRule>
    <cfRule type="expression" dxfId="79" priority="93">
      <formula>(W16="Q")</formula>
    </cfRule>
    <cfRule type="expression" dxfId="78" priority="94">
      <formula>(W16="D")</formula>
    </cfRule>
    <cfRule type="expression" dxfId="77" priority="95">
      <formula>(W16="S")</formula>
    </cfRule>
  </conditionalFormatting>
  <conditionalFormatting sqref="W16:AC16">
    <cfRule type="expression" dxfId="118" priority="91">
      <formula>(W16="T")</formula>
    </cfRule>
  </conditionalFormatting>
  <conditionalFormatting sqref="V10">
    <cfRule type="expression" dxfId="80" priority="87">
      <formula>(V10="O")</formula>
    </cfRule>
    <cfRule type="expression" dxfId="79" priority="88">
      <formula>(V10="Q")</formula>
    </cfRule>
    <cfRule type="expression" dxfId="78" priority="89">
      <formula>(V10="D")</formula>
    </cfRule>
    <cfRule type="expression" dxfId="77" priority="90">
      <formula>(V10="S")</formula>
    </cfRule>
  </conditionalFormatting>
  <conditionalFormatting sqref="V15">
    <cfRule type="expression" dxfId="80" priority="83">
      <formula>(V15="O")</formula>
    </cfRule>
    <cfRule type="expression" dxfId="79" priority="84">
      <formula>(V15="Q")</formula>
    </cfRule>
    <cfRule type="expression" dxfId="78" priority="85">
      <formula>(V15="D")</formula>
    </cfRule>
    <cfRule type="expression" dxfId="77" priority="86">
      <formula>(V15="S")</formula>
    </cfRule>
  </conditionalFormatting>
  <conditionalFormatting sqref="V15">
    <cfRule type="expression" dxfId="80" priority="79">
      <formula>(V15="O")</formula>
    </cfRule>
    <cfRule type="expression" dxfId="79" priority="80">
      <formula>(V15="Q")</formula>
    </cfRule>
    <cfRule type="expression" dxfId="78" priority="81">
      <formula>(V15="D")</formula>
    </cfRule>
    <cfRule type="expression" dxfId="77" priority="82">
      <formula>(V15="S")</formula>
    </cfRule>
  </conditionalFormatting>
  <conditionalFormatting sqref="V16:Y16">
    <cfRule type="expression" dxfId="80" priority="75">
      <formula>(V16="O")</formula>
    </cfRule>
    <cfRule type="expression" dxfId="79" priority="76">
      <formula>(V16="Q")</formula>
    </cfRule>
    <cfRule type="expression" dxfId="78" priority="77">
      <formula>(V16="D")</formula>
    </cfRule>
    <cfRule type="expression" dxfId="77" priority="78">
      <formula>(V16="S")</formula>
    </cfRule>
  </conditionalFormatting>
  <conditionalFormatting sqref="V16:Y16">
    <cfRule type="expression" dxfId="118" priority="74">
      <formula>(V16="T")</formula>
    </cfRule>
  </conditionalFormatting>
  <conditionalFormatting sqref="V16:Y16">
    <cfRule type="expression" dxfId="80" priority="70">
      <formula>(V16="O")</formula>
    </cfRule>
    <cfRule type="expression" dxfId="79" priority="71">
      <formula>(V16="Q")</formula>
    </cfRule>
    <cfRule type="expression" dxfId="78" priority="72">
      <formula>(V16="D")</formula>
    </cfRule>
    <cfRule type="expression" dxfId="77" priority="73">
      <formula>(V16="S")</formula>
    </cfRule>
  </conditionalFormatting>
  <conditionalFormatting sqref="V12:V14">
    <cfRule type="expression" dxfId="80" priority="66">
      <formula>(V12="O")</formula>
    </cfRule>
    <cfRule type="expression" dxfId="79" priority="67">
      <formula>(V12="Q")</formula>
    </cfRule>
    <cfRule type="expression" dxfId="78" priority="68">
      <formula>(V12="D")</formula>
    </cfRule>
    <cfRule type="expression" dxfId="77" priority="69">
      <formula>(V12="S")</formula>
    </cfRule>
  </conditionalFormatting>
  <conditionalFormatting sqref="V12:V14">
    <cfRule type="expression" dxfId="80" priority="62">
      <formula>(V12="O")</formula>
    </cfRule>
    <cfRule type="expression" dxfId="79" priority="63">
      <formula>(V12="Q")</formula>
    </cfRule>
    <cfRule type="expression" dxfId="78" priority="64">
      <formula>(V12="D")</formula>
    </cfRule>
    <cfRule type="expression" dxfId="77" priority="65">
      <formula>(V12="S")</formula>
    </cfRule>
  </conditionalFormatting>
  <conditionalFormatting sqref="J25:AC25 J6:AC21">
    <cfRule type="expression" dxfId="97" priority="61">
      <formula>(J6="A")</formula>
    </cfRule>
  </conditionalFormatting>
  <conditionalFormatting sqref="AR46">
    <cfRule type="cellIs" dxfId="130" priority="60" operator="lessThan">
      <formula>0</formula>
    </cfRule>
  </conditionalFormatting>
  <conditionalFormatting sqref="AR47">
    <cfRule type="cellIs" dxfId="130" priority="59" operator="lessThan">
      <formula>0</formula>
    </cfRule>
  </conditionalFormatting>
  <conditionalFormatting sqref="AR5:AR43">
    <cfRule type="expression" dxfId="0" priority="58">
      <formula>(AR5 &gt; AQ5)</formula>
    </cfRule>
  </conditionalFormatting>
  <conditionalFormatting sqref="C42">
    <cfRule type="containsText" dxfId="128" priority="56" operator="containsText" text="OK">
      <formula>NOT(ISERROR(SEARCH("OK",C42)))</formula>
    </cfRule>
    <cfRule type="containsText" dxfId="127" priority="57" operator="containsText" text="KO">
      <formula>NOT(ISERROR(SEARCH("KO",C42)))</formula>
    </cfRule>
  </conditionalFormatting>
  <conditionalFormatting sqref="AU3:BD3">
    <cfRule type="expression" dxfId="123" priority="55">
      <formula>IF(AU$1=TODAY(),TRUE,FALSE)</formula>
    </cfRule>
  </conditionalFormatting>
  <conditionalFormatting sqref="D15:D18 D21:D24 D12">
    <cfRule type="expression" dxfId="75" priority="54">
      <formula>$D12&lt;&gt;$A12</formula>
    </cfRule>
  </conditionalFormatting>
  <conditionalFormatting sqref="D10:D11">
    <cfRule type="expression" dxfId="75" priority="53">
      <formula>($D$10+$D$11)&lt;&gt;$A$10</formula>
    </cfRule>
  </conditionalFormatting>
  <conditionalFormatting sqref="AU49:BD49">
    <cfRule type="expression" dxfId="123" priority="52">
      <formula>IF(AU$1=TODAY(),TRUE,FALSE)</formula>
    </cfRule>
  </conditionalFormatting>
  <conditionalFormatting sqref="AB22:AC24">
    <cfRule type="expression" dxfId="80" priority="48">
      <formula>(AB22="O")</formula>
    </cfRule>
    <cfRule type="expression" dxfId="79" priority="49">
      <formula>(AB22="Q")</formula>
    </cfRule>
    <cfRule type="expression" dxfId="78" priority="50">
      <formula>(AB22="D")</formula>
    </cfRule>
    <cfRule type="expression" dxfId="77" priority="51">
      <formula>(AB22="S")</formula>
    </cfRule>
  </conditionalFormatting>
  <conditionalFormatting sqref="J22:AC24">
    <cfRule type="expression" dxfId="118" priority="47">
      <formula>(J22="T")</formula>
    </cfRule>
  </conditionalFormatting>
  <conditionalFormatting sqref="T22:Y24 V23:AC24">
    <cfRule type="expression" dxfId="80" priority="43">
      <formula>(T22="O")</formula>
    </cfRule>
    <cfRule type="expression" dxfId="79" priority="44">
      <formula>(T22="Q")</formula>
    </cfRule>
    <cfRule type="expression" dxfId="78" priority="45">
      <formula>(T22="D")</formula>
    </cfRule>
    <cfRule type="expression" dxfId="77" priority="46">
      <formula>(T22="S")</formula>
    </cfRule>
  </conditionalFormatting>
  <conditionalFormatting sqref="Z22:AA24">
    <cfRule type="expression" dxfId="80" priority="39">
      <formula>(Z22="O")</formula>
    </cfRule>
    <cfRule type="expression" dxfId="79" priority="40">
      <formula>(Z22="Q")</formula>
    </cfRule>
    <cfRule type="expression" dxfId="78" priority="41">
      <formula>(Z22="D")</formula>
    </cfRule>
    <cfRule type="expression" dxfId="77" priority="42">
      <formula>(Z22="S")</formula>
    </cfRule>
  </conditionalFormatting>
  <conditionalFormatting sqref="R22:S24">
    <cfRule type="expression" dxfId="80" priority="35">
      <formula>(R22="O")</formula>
    </cfRule>
    <cfRule type="expression" dxfId="79" priority="36">
      <formula>(R22="Q")</formula>
    </cfRule>
    <cfRule type="expression" dxfId="78" priority="37">
      <formula>(R22="D")</formula>
    </cfRule>
    <cfRule type="expression" dxfId="77" priority="38">
      <formula>(R22="S")</formula>
    </cfRule>
  </conditionalFormatting>
  <conditionalFormatting sqref="J22:O24">
    <cfRule type="expression" dxfId="80" priority="31">
      <formula>(J22="O")</formula>
    </cfRule>
    <cfRule type="expression" dxfId="79" priority="32">
      <formula>(J22="Q")</formula>
    </cfRule>
    <cfRule type="expression" dxfId="78" priority="33">
      <formula>(J22="D")</formula>
    </cfRule>
    <cfRule type="expression" dxfId="77" priority="34">
      <formula>(J22="S")</formula>
    </cfRule>
  </conditionalFormatting>
  <conditionalFormatting sqref="P22:Q24">
    <cfRule type="expression" dxfId="80" priority="27">
      <formula>(P22="O")</formula>
    </cfRule>
    <cfRule type="expression" dxfId="79" priority="28">
      <formula>(P22="Q")</formula>
    </cfRule>
    <cfRule type="expression" dxfId="78" priority="29">
      <formula>(P22="D")</formula>
    </cfRule>
    <cfRule type="expression" dxfId="77" priority="30">
      <formula>(P22="S")</formula>
    </cfRule>
  </conditionalFormatting>
  <conditionalFormatting sqref="J22:AC24">
    <cfRule type="expression" dxfId="97" priority="26">
      <formula>(J22="A")</formula>
    </cfRule>
  </conditionalFormatting>
  <conditionalFormatting sqref="T19:AA19">
    <cfRule type="expression" dxfId="80" priority="21">
      <formula>(T19="O")</formula>
    </cfRule>
    <cfRule type="expression" dxfId="79" priority="22">
      <formula>(T19="Q")</formula>
    </cfRule>
    <cfRule type="expression" dxfId="78" priority="23">
      <formula>(T19="D")</formula>
    </cfRule>
    <cfRule type="expression" dxfId="77" priority="24">
      <formula>(T19="S")</formula>
    </cfRule>
  </conditionalFormatting>
  <conditionalFormatting sqref="Z19:AA19">
    <cfRule type="expression" dxfId="80" priority="17">
      <formula>(Z19="O")</formula>
    </cfRule>
    <cfRule type="expression" dxfId="79" priority="18">
      <formula>(Z19="Q")</formula>
    </cfRule>
    <cfRule type="expression" dxfId="78" priority="19">
      <formula>(Z19="D")</formula>
    </cfRule>
    <cfRule type="expression" dxfId="77" priority="20">
      <formula>(Z19="S")</formula>
    </cfRule>
  </conditionalFormatting>
  <conditionalFormatting sqref="R19:S19">
    <cfRule type="expression" dxfId="80" priority="13">
      <formula>(R19="O")</formula>
    </cfRule>
    <cfRule type="expression" dxfId="79" priority="14">
      <formula>(R19="Q")</formula>
    </cfRule>
    <cfRule type="expression" dxfId="78" priority="15">
      <formula>(R19="D")</formula>
    </cfRule>
    <cfRule type="expression" dxfId="77" priority="16">
      <formula>(R19="S")</formula>
    </cfRule>
  </conditionalFormatting>
  <conditionalFormatting sqref="J19:S19">
    <cfRule type="expression" dxfId="80" priority="9">
      <formula>(J19="O")</formula>
    </cfRule>
    <cfRule type="expression" dxfId="79" priority="10">
      <formula>(J19="Q")</formula>
    </cfRule>
    <cfRule type="expression" dxfId="78" priority="11">
      <formula>(J19="D")</formula>
    </cfRule>
    <cfRule type="expression" dxfId="77" priority="12">
      <formula>(J19="S")</formula>
    </cfRule>
  </conditionalFormatting>
  <conditionalFormatting sqref="P19:Q19">
    <cfRule type="expression" dxfId="80" priority="5">
      <formula>(P19="O")</formula>
    </cfRule>
    <cfRule type="expression" dxfId="79" priority="6">
      <formula>(P19="Q")</formula>
    </cfRule>
    <cfRule type="expression" dxfId="78" priority="7">
      <formula>(P19="D")</formula>
    </cfRule>
    <cfRule type="expression" dxfId="77" priority="8">
      <formula>(P19="S")</formula>
    </cfRule>
  </conditionalFormatting>
  <conditionalFormatting sqref="D19:D20">
    <cfRule type="expression" dxfId="75" priority="4">
      <formula>($D$19+$D$20)&lt;&gt;$A$19</formula>
    </cfRule>
  </conditionalFormatting>
  <conditionalFormatting sqref="D13:D14">
    <cfRule type="expression" dxfId="75" priority="1">
      <formula>($D$13+$D$14)&lt;&gt;$A$13</formula>
    </cfRule>
  </conditionalFormatting>
  <pageMargins left="0.7" right="0.7" top="0.75" bottom="0.75" header="0.3" footer="0.3"/>
  <pageSetup paperSize="9" orientation="portrait"/>
  <headerFooter>
    <oddFooter>&amp;L&amp;1#&amp;"Tahoma"&amp;9&amp;KCF022BC2 – Usage restreint</oddFooter>
  </headerFooter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6"/>
  <dimension ref="B2:AC52"/>
  <sheetViews>
    <sheetView topLeftCell="J14" zoomScale="85" zoomScaleNormal="85" workbookViewId="0">
      <selection activeCell="Y4" sqref="Y4:Y26"/>
    </sheetView>
  </sheetViews>
  <sheetFormatPr baseColWidth="10" defaultColWidth="20.7109375" defaultRowHeight="15" x14ac:dyDescent="0.25"/>
  <cols>
    <col min="2" max="2" bestFit="1" width="9.7109375" customWidth="1"/>
    <col min="3" max="3" bestFit="1" width="8" customWidth="1"/>
    <col min="4" max="4" width="9.7109375" customWidth="1"/>
    <col min="5" max="5" width="10.28515625" customWidth="1"/>
    <col min="6" max="6" width="38.7109375" customWidth="1"/>
    <col min="7" max="7" width="10.28515625" customWidth="1"/>
    <col min="8" max="8" width="10" customWidth="1"/>
    <col min="9" max="9" width="54.5703125" customWidth="1"/>
    <col min="10" max="10" bestFit="1" width="5.42578125" customWidth="1"/>
    <col min="13" max="13" bestFit="1" width="9.7109375" customWidth="1"/>
    <col min="14" max="14" bestFit="1" width="8" customWidth="1"/>
    <col min="15" max="15" width="10.28515625" customWidth="1"/>
    <col min="16" max="16" bestFit="1" width="12.42578125" customWidth="1"/>
    <col min="17" max="17" width="12.42578125" customWidth="1"/>
    <col min="18" max="18" bestFit="1" width="10.28515625" customWidth="1"/>
    <col min="19" max="19" bestFit="1" width="10" customWidth="1"/>
    <col min="20" max="20" width="59.7109375" customWidth="1"/>
    <col min="21" max="21" bestFit="1" width="5.42578125" customWidth="1"/>
    <col min="22" max="22" bestFit="1" width="7.28515625" customWidth="1"/>
    <col min="23" max="23" bestFit="1" width="14.28515625" customWidth="1"/>
    <col min="24" max="25" bestFit="1" width="22.7109375" customWidth="1"/>
    <col min="26" max="27" bestFit="1" width="7.5703125" customWidth="1"/>
    <col min="28" max="28" bestFit="1" width="10.28515625" customWidth="1"/>
    <col min="29" max="30" bestFit="1" width="13.42578125" customWidth="1"/>
  </cols>
  <sheetData>
    <row r="2">
      <c r="D2" s="322" t="s">
        <v>233</v>
      </c>
      <c r="E2" s="322"/>
      <c r="F2" s="322"/>
      <c r="G2" s="322"/>
      <c r="H2" s="322"/>
      <c r="I2" s="322"/>
      <c r="J2" s="322"/>
      <c r="M2" s="323"/>
      <c r="N2" s="323"/>
      <c r="O2" s="323"/>
      <c r="P2" s="323"/>
      <c r="Q2" s="323"/>
      <c r="R2" s="323"/>
      <c r="S2" s="323"/>
    </row>
    <row r="3">
      <c r="B3" s="15" t="s">
        <v>23</v>
      </c>
      <c r="C3" s="45" t="s">
        <v>234</v>
      </c>
      <c r="D3" s="10" t="s">
        <v>235</v>
      </c>
      <c r="E3" s="19" t="s">
        <v>236</v>
      </c>
      <c r="F3" s="19" t="s">
        <v>27</v>
      </c>
      <c r="G3" s="19" t="s">
        <v>28</v>
      </c>
      <c r="H3" s="19" t="s">
        <v>237</v>
      </c>
      <c r="I3" s="19" t="s">
        <v>30</v>
      </c>
      <c r="J3" s="19" t="s">
        <v>31</v>
      </c>
      <c r="M3" s="51" t="s">
        <v>23</v>
      </c>
      <c r="N3" s="51" t="s">
        <v>234</v>
      </c>
      <c r="O3" s="50" t="s">
        <v>235</v>
      </c>
      <c r="P3" s="50" t="s">
        <v>26</v>
      </c>
      <c r="Q3" s="50" t="s">
        <v>27</v>
      </c>
      <c r="R3" s="50" t="s">
        <v>28</v>
      </c>
      <c r="S3" s="50" t="s">
        <v>237</v>
      </c>
      <c r="T3" s="50" t="s">
        <v>30</v>
      </c>
      <c r="U3" s="50" t="s">
        <v>31</v>
      </c>
      <c r="V3" s="50" t="s">
        <v>238</v>
      </c>
      <c r="W3" s="50" t="s">
        <v>239</v>
      </c>
      <c r="X3" s="50" t="s">
        <v>240</v>
      </c>
      <c r="Y3" s="50" t="s">
        <v>241</v>
      </c>
      <c r="Z3" s="162" t="s">
        <v>242</v>
      </c>
      <c r="AA3" s="162" t="s">
        <v>243</v>
      </c>
      <c r="AB3" s="162" t="s">
        <v>244</v>
      </c>
      <c r="AC3" s="162" t="s">
        <v>245</v>
      </c>
    </row>
    <row r="4" ht="45" customHeight="1">
      <c r="B4" s="0" t="s">
        <v>47</v>
      </c>
      <c r="C4" s="0" t="s">
        <v>48</v>
      </c>
      <c r="D4" s="0">
        <v>12269</v>
      </c>
      <c r="E4" s="0">
        <v>8554</v>
      </c>
      <c r="F4" s="13" t="s">
        <v>246</v>
      </c>
      <c r="G4" s="8" t="s">
        <v>49</v>
      </c>
      <c r="H4" s="9">
        <v>1</v>
      </c>
      <c r="I4" s="92" t="s">
        <v>50</v>
      </c>
      <c r="J4" s="34">
        <v>2</v>
      </c>
      <c r="M4" s="0" t="s">
        <v>47</v>
      </c>
      <c r="N4" s="0" t="s">
        <v>48</v>
      </c>
      <c r="O4" s="0">
        <v>12269</v>
      </c>
      <c r="P4" s="178">
        <v>8554</v>
      </c>
      <c r="Q4" s="237" t="str">
        <f>IF(TABLEAUSUIVISPRINT[[#THIS ROW],[N° FEATURE]]&lt;&gt;"",VLOOKUP(TABLEAUSUIVISPRINT[[#THIS ROW],[N° FEATURE]],SSG_FEATURES[[#ALL],[ID]:[TAGS]],3,FALSE),"")</f>
        <v>[Designer] S221018_040 Demande d'évolution distribution CAP-Utilisation d'une scannette</v>
      </c>
      <c r="R4" s="8" t="s">
        <v>49</v>
      </c>
      <c r="S4" s="9">
        <v>1</v>
      </c>
      <c r="T4" s="92" t="s">
        <v>50</v>
      </c>
      <c r="U4" s="34">
        <v>2</v>
      </c>
      <c r="V4" s="52">
        <v>9</v>
      </c>
      <c r="W4" s="52">
        <v>2</v>
      </c>
      <c r="X4" s="32">
        <v>11</v>
      </c>
      <c r="Y4" s="90">
        <v>8.5</v>
      </c>
      <c r="Z4" s="0" t="s">
        <v>235</v>
      </c>
      <c r="AA4" s="34" t="s">
        <v>129</v>
      </c>
      <c r="AB4" s="163">
        <f>IF(TABLEAUFINSPRINT[[#THIS ROW],[LIVRÉ]]="N",0,TABLEAUFINSPRINT[[#THIS ROW],[SP]])</f>
        <v>2</v>
      </c>
      <c r="AC4" s="47">
        <f>IF(TABLEAUFINSPRINT[[#THIS ROW],[LIVRÉ]]="N",0,TABLEAUFINSPRINT[[#THIS ROW],[HEURES DE DEV TOTALES]]/HEURES)</f>
        <v>1.8333333333333333</v>
      </c>
    </row>
    <row r="5" ht="45" customHeight="1">
      <c r="B5" s="0" t="s">
        <v>47</v>
      </c>
      <c r="C5" s="0" t="s">
        <v>48</v>
      </c>
      <c r="D5" s="0">
        <v>12277</v>
      </c>
      <c r="E5" s="0">
        <v>8554</v>
      </c>
      <c r="F5" s="13" t="s">
        <v>246</v>
      </c>
      <c r="G5" s="8" t="s">
        <v>49</v>
      </c>
      <c r="H5" s="9">
        <v>2</v>
      </c>
      <c r="I5" s="13" t="s">
        <v>53</v>
      </c>
      <c r="J5" s="34">
        <v>3</v>
      </c>
      <c r="M5" s="0" t="s">
        <v>47</v>
      </c>
      <c r="N5" s="0" t="s">
        <v>48</v>
      </c>
      <c r="O5" s="0">
        <v>12277</v>
      </c>
      <c r="P5" s="178">
        <v>8554</v>
      </c>
      <c r="Q5" s="237" t="str">
        <f>IF(TABLEAUSUIVISPRINT[[#THIS ROW],[N° FEATURE]]&lt;&gt;"",VLOOKUP(TABLEAUSUIVISPRINT[[#THIS ROW],[N° FEATURE]],SSG_FEATURES[[#ALL],[ID]:[TAGS]],3,FALSE),"")</f>
        <v>[Designer] S221018_040 Demande d'évolution distribution CAP-Utilisation d'une scannette</v>
      </c>
      <c r="R5" s="8" t="s">
        <v>49</v>
      </c>
      <c r="S5" s="9">
        <v>2</v>
      </c>
      <c r="T5" s="13" t="s">
        <v>53</v>
      </c>
      <c r="U5" s="34">
        <v>3</v>
      </c>
      <c r="V5" s="52">
        <v>14</v>
      </c>
      <c r="W5" s="52">
        <v>3</v>
      </c>
      <c r="X5" s="32">
        <v>17</v>
      </c>
      <c r="Y5" s="90">
        <v>16</v>
      </c>
      <c r="Z5" s="0" t="s">
        <v>235</v>
      </c>
      <c r="AA5" s="34" t="s">
        <v>129</v>
      </c>
      <c r="AB5" s="163">
        <f>IF(TABLEAUFINSPRINT[[#THIS ROW],[LIVRÉ]]="N",0,TABLEAUFINSPRINT[[#THIS ROW],[SP]])</f>
        <v>3</v>
      </c>
      <c r="AC5" s="47">
        <f>IF(TABLEAUFINSPRINT[[#THIS ROW],[LIVRÉ]]="N",0,TABLEAUFINSPRINT[[#THIS ROW],[HEURES DE DEV TOTALES]]/HEURES)</f>
        <v>2.8333333333333335</v>
      </c>
    </row>
    <row r="6" ht="45" customHeight="1">
      <c r="B6" s="0" t="s">
        <v>47</v>
      </c>
      <c r="C6" s="0" t="s">
        <v>55</v>
      </c>
      <c r="D6" s="0">
        <v>10679</v>
      </c>
      <c r="E6" s="0">
        <v>9308</v>
      </c>
      <c r="F6" s="13" t="s">
        <v>247</v>
      </c>
      <c r="G6" s="8" t="s">
        <v>56</v>
      </c>
      <c r="H6" s="9">
        <v>3</v>
      </c>
      <c r="I6" s="13" t="s">
        <v>57</v>
      </c>
      <c r="J6" s="34">
        <v>2</v>
      </c>
      <c r="M6" s="0" t="s">
        <v>47</v>
      </c>
      <c r="N6" s="0" t="s">
        <v>55</v>
      </c>
      <c r="O6" s="0">
        <v>10679</v>
      </c>
      <c r="P6" s="0">
        <v>9308</v>
      </c>
      <c r="Q6" s="13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R6" s="8" t="s">
        <v>56</v>
      </c>
      <c r="S6" s="9">
        <v>3</v>
      </c>
      <c r="T6" s="13" t="s">
        <v>57</v>
      </c>
      <c r="U6" s="34">
        <v>2</v>
      </c>
      <c r="V6" s="52">
        <v>8</v>
      </c>
      <c r="W6" s="52">
        <v>2</v>
      </c>
      <c r="X6" s="32">
        <v>10</v>
      </c>
      <c r="Y6" s="90">
        <v>8</v>
      </c>
      <c r="Z6" s="0" t="s">
        <v>235</v>
      </c>
      <c r="AA6" s="34" t="s">
        <v>129</v>
      </c>
      <c r="AB6" s="163">
        <f>IF(TABLEAUFINSPRINT[[#THIS ROW],[LIVRÉ]]="N",0,TABLEAUFINSPRINT[[#THIS ROW],[SP]])</f>
        <v>2</v>
      </c>
      <c r="AC6" s="47">
        <f>IF(TABLEAUFINSPRINT[[#THIS ROW],[LIVRÉ]]="N",0,TABLEAUFINSPRINT[[#THIS ROW],[HEURES DE DEV TOTALES]]/HEURES)</f>
        <v>1.6666666666666667</v>
      </c>
    </row>
    <row r="7" ht="45" customHeight="1">
      <c r="B7" s="0" t="s">
        <v>47</v>
      </c>
      <c r="C7" s="0" t="s">
        <v>55</v>
      </c>
      <c r="D7" s="0">
        <v>10706</v>
      </c>
      <c r="E7" s="0">
        <v>9308</v>
      </c>
      <c r="F7" s="13" t="s">
        <v>247</v>
      </c>
      <c r="G7" s="8" t="s">
        <v>56</v>
      </c>
      <c r="H7" s="9">
        <v>4</v>
      </c>
      <c r="I7" s="13" t="s">
        <v>61</v>
      </c>
      <c r="J7" s="34">
        <v>2</v>
      </c>
      <c r="M7" s="0" t="s">
        <v>47</v>
      </c>
      <c r="N7" s="0" t="s">
        <v>55</v>
      </c>
      <c r="O7" s="0">
        <v>10706</v>
      </c>
      <c r="P7" s="0">
        <v>9308</v>
      </c>
      <c r="Q7" s="13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R7" s="8" t="s">
        <v>56</v>
      </c>
      <c r="S7" s="9">
        <v>4</v>
      </c>
      <c r="T7" s="13" t="s">
        <v>61</v>
      </c>
      <c r="U7" s="34">
        <v>2</v>
      </c>
      <c r="V7" s="52">
        <v>9</v>
      </c>
      <c r="W7" s="52">
        <v>2</v>
      </c>
      <c r="X7" s="32">
        <v>11</v>
      </c>
      <c r="Y7" s="90">
        <v>6</v>
      </c>
      <c r="Z7" s="0" t="s">
        <v>235</v>
      </c>
      <c r="AA7" s="34" t="s">
        <v>129</v>
      </c>
      <c r="AB7" s="163">
        <f>IF(TABLEAUFINSPRINT[[#THIS ROW],[LIVRÉ]]="N",0,TABLEAUFINSPRINT[[#THIS ROW],[SP]])</f>
        <v>2</v>
      </c>
      <c r="AC7" s="47">
        <f>IF(TABLEAUFINSPRINT[[#THIS ROW],[LIVRÉ]]="N",0,TABLEAUFINSPRINT[[#THIS ROW],[HEURES DE DEV TOTALES]]/HEURES)</f>
        <v>1.8333333333333333</v>
      </c>
    </row>
    <row r="8" ht="45" customHeight="1">
      <c r="B8" s="0" t="s">
        <v>47</v>
      </c>
      <c r="C8" s="0" t="s">
        <v>55</v>
      </c>
      <c r="D8" s="0">
        <v>10703</v>
      </c>
      <c r="E8" s="0">
        <v>9308</v>
      </c>
      <c r="F8" s="13" t="s">
        <v>247</v>
      </c>
      <c r="G8" s="8" t="s">
        <v>56</v>
      </c>
      <c r="H8" s="9">
        <v>5</v>
      </c>
      <c r="I8" s="13" t="s">
        <v>64</v>
      </c>
      <c r="J8" s="34">
        <v>3</v>
      </c>
      <c r="M8" s="0" t="s">
        <v>47</v>
      </c>
      <c r="N8" s="0" t="s">
        <v>55</v>
      </c>
      <c r="O8" s="0">
        <v>10703</v>
      </c>
      <c r="P8" s="0">
        <v>9308</v>
      </c>
      <c r="Q8" s="13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R8" s="8" t="s">
        <v>56</v>
      </c>
      <c r="S8" s="9">
        <v>5</v>
      </c>
      <c r="T8" s="13" t="s">
        <v>64</v>
      </c>
      <c r="U8" s="34">
        <v>3</v>
      </c>
      <c r="V8" s="52">
        <v>14</v>
      </c>
      <c r="W8" s="52">
        <v>3</v>
      </c>
      <c r="X8" s="32">
        <v>17</v>
      </c>
      <c r="Y8" s="90">
        <v>10.5</v>
      </c>
      <c r="Z8" s="0" t="s">
        <v>235</v>
      </c>
      <c r="AA8" s="34" t="s">
        <v>129</v>
      </c>
      <c r="AB8" s="163">
        <f>IF(TABLEAUFINSPRINT[[#THIS ROW],[LIVRÉ]]="N",0,TABLEAUFINSPRINT[[#THIS ROW],[SP]])</f>
        <v>3</v>
      </c>
      <c r="AC8" s="47">
        <f>IF(TABLEAUFINSPRINT[[#THIS ROW],[LIVRÉ]]="N",0,TABLEAUFINSPRINT[[#THIS ROW],[HEURES DE DEV TOTALES]]/HEURES)</f>
        <v>2.8333333333333335</v>
      </c>
    </row>
    <row r="9" ht="45" customHeight="1">
      <c r="B9" s="0" t="s">
        <v>47</v>
      </c>
      <c r="C9" s="0" t="s">
        <v>48</v>
      </c>
      <c r="D9" s="0">
        <v>12043</v>
      </c>
      <c r="E9" s="0">
        <v>11918</v>
      </c>
      <c r="F9" s="13" t="s">
        <v>248</v>
      </c>
      <c r="G9" s="8" t="s">
        <v>66</v>
      </c>
      <c r="H9" s="9">
        <v>6</v>
      </c>
      <c r="I9" s="13" t="s">
        <v>67</v>
      </c>
      <c r="J9" s="34">
        <v>5</v>
      </c>
      <c r="M9" s="0" t="s">
        <v>47</v>
      </c>
      <c r="N9" s="0" t="s">
        <v>48</v>
      </c>
      <c r="O9" s="0">
        <v>12043</v>
      </c>
      <c r="P9" s="0">
        <v>11918</v>
      </c>
      <c r="Q9" s="13" t="str">
        <f>IF(TABLEAUSUIVISPRINT[[#THIS ROW],[N° FEATURE]]&lt;&gt;"",VLOOKUP(TABLEAUSUIVISPRINT[[#THIS ROW],[N° FEATURE]],SSG_FEATURES[[#ALL],[ID]:[TAGS]],3,FALSE),"")</f>
        <v>[DESIGNER] [Priorité 1] Diverses évolutions N°2 du 16/06/2023</v>
      </c>
      <c r="R9" s="8" t="s">
        <v>66</v>
      </c>
      <c r="S9" s="9">
        <v>6</v>
      </c>
      <c r="T9" s="13" t="s">
        <v>67</v>
      </c>
      <c r="U9" s="34">
        <v>5</v>
      </c>
      <c r="V9" s="52">
        <v>23</v>
      </c>
      <c r="W9" s="52">
        <v>6</v>
      </c>
      <c r="X9" s="32">
        <v>29</v>
      </c>
      <c r="Y9" s="90">
        <v>29.5</v>
      </c>
      <c r="Z9" s="0" t="s">
        <v>235</v>
      </c>
      <c r="AA9" s="34" t="s">
        <v>129</v>
      </c>
      <c r="AB9" s="163">
        <f>IF(TABLEAUFINSPRINT[[#THIS ROW],[LIVRÉ]]="N",0,TABLEAUFINSPRINT[[#THIS ROW],[SP]])</f>
        <v>5</v>
      </c>
      <c r="AC9" s="47">
        <f>IF(TABLEAUFINSPRINT[[#THIS ROW],[LIVRÉ]]="N",0,TABLEAUFINSPRINT[[#THIS ROW],[HEURES DE DEV TOTALES]]/HEURES)</f>
        <v>4.833333333333333</v>
      </c>
    </row>
    <row r="10" ht="45" customHeight="1">
      <c r="B10" s="0" t="s">
        <v>47</v>
      </c>
      <c r="C10" s="0" t="s">
        <v>48</v>
      </c>
      <c r="D10" s="0">
        <v>12041</v>
      </c>
      <c r="E10" s="0">
        <v>11918</v>
      </c>
      <c r="F10" s="13" t="s">
        <v>248</v>
      </c>
      <c r="G10" s="8" t="s">
        <v>66</v>
      </c>
      <c r="H10" s="9">
        <v>7</v>
      </c>
      <c r="I10" s="74" t="s">
        <v>68</v>
      </c>
      <c r="J10" s="34">
        <v>1</v>
      </c>
      <c r="M10" s="0" t="s">
        <v>47</v>
      </c>
      <c r="N10" s="0" t="s">
        <v>48</v>
      </c>
      <c r="O10" s="0">
        <v>12041</v>
      </c>
      <c r="P10" s="0">
        <v>11918</v>
      </c>
      <c r="Q10" s="13" t="str">
        <f>IF(TABLEAUSUIVISPRINT[[#THIS ROW],[N° FEATURE]]&lt;&gt;"",VLOOKUP(TABLEAUSUIVISPRINT[[#THIS ROW],[N° FEATURE]],SSG_FEATURES[[#ALL],[ID]:[TAGS]],3,FALSE),"")</f>
        <v>[DESIGNER] [Priorité 1] Diverses évolutions N°2 du 16/06/2023</v>
      </c>
      <c r="R10" s="8" t="s">
        <v>66</v>
      </c>
      <c r="S10" s="9">
        <v>7</v>
      </c>
      <c r="T10" s="74" t="s">
        <v>68</v>
      </c>
      <c r="U10" s="34">
        <v>1</v>
      </c>
      <c r="V10" s="52">
        <v>5</v>
      </c>
      <c r="W10" s="52">
        <v>1</v>
      </c>
      <c r="X10" s="32">
        <v>6</v>
      </c>
      <c r="Y10" s="90">
        <v>5</v>
      </c>
      <c r="Z10" s="0" t="s">
        <v>235</v>
      </c>
      <c r="AA10" s="34" t="s">
        <v>129</v>
      </c>
      <c r="AB10" s="163">
        <f>IF(TABLEAUFINSPRINT[[#THIS ROW],[LIVRÉ]]="N",0,TABLEAUFINSPRINT[[#THIS ROW],[SP]])</f>
        <v>1</v>
      </c>
      <c r="AC10" s="47">
        <f>IF(TABLEAUFINSPRINT[[#THIS ROW],[LIVRÉ]]="N",0,TABLEAUFINSPRINT[[#THIS ROW],[HEURES DE DEV TOTALES]]/HEURES)</f>
        <v>1</v>
      </c>
    </row>
    <row r="11" ht="45" customHeight="1">
      <c r="B11" s="0" t="s">
        <v>47</v>
      </c>
      <c r="C11" s="0" t="s">
        <v>55</v>
      </c>
      <c r="D11" s="0">
        <v>10684</v>
      </c>
      <c r="E11" s="0">
        <v>9308</v>
      </c>
      <c r="F11" s="13" t="s">
        <v>247</v>
      </c>
      <c r="G11" s="8" t="s">
        <v>56</v>
      </c>
      <c r="H11" s="9">
        <v>8</v>
      </c>
      <c r="I11" s="13" t="s">
        <v>77</v>
      </c>
      <c r="J11" s="34">
        <v>2</v>
      </c>
      <c r="M11" s="180" t="s">
        <v>47</v>
      </c>
      <c r="N11" s="180" t="s">
        <v>72</v>
      </c>
      <c r="O11" s="180">
        <v>12462</v>
      </c>
      <c r="P11" s="238">
        <v>12179</v>
      </c>
      <c r="Q11" s="239" t="str">
        <f>IF(TABLEAUSUIVISPRINT[[#THIS ROW],[N° FEATURE]]&lt;&gt;"",VLOOKUP(TABLEAUSUIVISPRINT[[#THIS ROW],[N° FEATURE]],SSG_FEATURES[[#ALL],[ID]:[TAGS]],3,FALSE),"")</f>
        <v>[DESIGNER] I230630_179 Impossibilité de rééditer une partie des courriers allocataires concernant les décisions de sanction</v>
      </c>
      <c r="R11" s="183" t="s">
        <v>73</v>
      </c>
      <c r="S11" s="184">
        <v>8</v>
      </c>
      <c r="T11" s="182" t="s">
        <v>74</v>
      </c>
      <c r="U11" s="185">
        <v>1</v>
      </c>
      <c r="V11" s="186">
        <v>5</v>
      </c>
      <c r="W11" s="186">
        <v>1</v>
      </c>
      <c r="X11" s="186">
        <v>6</v>
      </c>
      <c r="Y11" s="130">
        <v>6</v>
      </c>
      <c r="Z11" s="0" t="s">
        <v>235</v>
      </c>
      <c r="AA11" s="34" t="s">
        <v>129</v>
      </c>
      <c r="AB11" s="163">
        <f>IF(TABLEAUFINSPRINT[[#THIS ROW],[LIVRÉ]]="N",0,TABLEAUFINSPRINT[[#THIS ROW],[SP]])</f>
        <v>1</v>
      </c>
      <c r="AC11" s="47">
        <f>IF(TABLEAUFINSPRINT[[#THIS ROW],[LIVRÉ]]="N",0,TABLEAUFINSPRINT[[#THIS ROW],[HEURES DE DEV TOTALES]]/HEURES)</f>
        <v>1</v>
      </c>
    </row>
    <row r="12" ht="45" customHeight="1">
      <c r="B12" s="164" t="s">
        <v>47</v>
      </c>
      <c r="C12" s="164" t="s">
        <v>55</v>
      </c>
      <c r="D12" s="164">
        <v>10704</v>
      </c>
      <c r="E12" s="164">
        <v>9308</v>
      </c>
      <c r="F12" s="165" t="s">
        <v>247</v>
      </c>
      <c r="G12" s="166" t="s">
        <v>56</v>
      </c>
      <c r="H12" s="167">
        <v>9</v>
      </c>
      <c r="I12" s="165" t="s">
        <v>249</v>
      </c>
      <c r="J12" s="168">
        <v>2</v>
      </c>
      <c r="M12" s="0" t="s">
        <v>47</v>
      </c>
      <c r="N12" s="0" t="s">
        <v>55</v>
      </c>
      <c r="O12" s="0">
        <v>10684</v>
      </c>
      <c r="P12" s="0">
        <v>9308</v>
      </c>
      <c r="Q12" s="13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R12" s="8" t="s">
        <v>56</v>
      </c>
      <c r="S12" s="9">
        <v>9</v>
      </c>
      <c r="T12" s="13" t="s">
        <v>77</v>
      </c>
      <c r="U12" s="34">
        <v>2</v>
      </c>
      <c r="V12" s="52">
        <v>9</v>
      </c>
      <c r="W12" s="52">
        <v>2</v>
      </c>
      <c r="X12" s="32">
        <v>11</v>
      </c>
      <c r="Y12" s="90">
        <v>9</v>
      </c>
      <c r="Z12" s="0" t="s">
        <v>235</v>
      </c>
      <c r="AA12" s="34" t="s">
        <v>129</v>
      </c>
      <c r="AB12" s="13">
        <f>IF(TABLEAUFINSPRINT[[#THIS ROW],[LIVRÉ]]="N",0,TABLEAUFINSPRINT[[#THIS ROW],[SP]])</f>
        <v>2</v>
      </c>
      <c r="AC12" s="47">
        <f>IF(TABLEAUFINSPRINT[[#THIS ROW],[LIVRÉ]]="N",0,TABLEAUFINSPRINT[[#THIS ROW],[HEURES DE DEV TOTALES]]/HEURES)</f>
        <v>1.8333333333333333</v>
      </c>
    </row>
    <row r="13" ht="45" customHeight="1">
      <c r="B13" s="170" t="s">
        <v>47</v>
      </c>
      <c r="C13" s="170" t="s">
        <v>55</v>
      </c>
      <c r="D13" s="170">
        <v>11756</v>
      </c>
      <c r="E13" s="170">
        <v>9308</v>
      </c>
      <c r="F13" s="172" t="s">
        <v>247</v>
      </c>
      <c r="G13" s="173" t="s">
        <v>56</v>
      </c>
      <c r="H13" s="174">
        <v>10</v>
      </c>
      <c r="I13" s="172" t="s">
        <v>250</v>
      </c>
      <c r="J13" s="175">
        <v>1</v>
      </c>
      <c r="M13" s="170" t="s">
        <v>47</v>
      </c>
      <c r="N13" s="170" t="s">
        <v>55</v>
      </c>
      <c r="O13" s="170">
        <v>10704</v>
      </c>
      <c r="P13" s="170">
        <v>9308</v>
      </c>
      <c r="Q13" s="172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R13" s="173" t="s">
        <v>56</v>
      </c>
      <c r="S13" s="174">
        <v>10</v>
      </c>
      <c r="T13" s="172" t="s">
        <v>78</v>
      </c>
      <c r="U13" s="175">
        <v>2</v>
      </c>
      <c r="V13" s="176">
        <v>9</v>
      </c>
      <c r="W13" s="176">
        <v>2</v>
      </c>
      <c r="X13" s="176">
        <v>11</v>
      </c>
      <c r="Y13" s="122">
        <v>8</v>
      </c>
      <c r="Z13" s="117" t="s">
        <v>235</v>
      </c>
      <c r="AA13" s="222" t="s">
        <v>129</v>
      </c>
      <c r="AB13" s="117">
        <f>IF(TABLEAUFINSPRINT[[#THIS ROW],[LIVRÉ]]="N",0,TABLEAUFINSPRINT[[#THIS ROW],[SP]])</f>
        <v>2</v>
      </c>
      <c r="AC13" s="223">
        <f>IF(TABLEAUFINSPRINT[[#THIS ROW],[LIVRÉ]]="N",0,TABLEAUFINSPRINT[[#THIS ROW],[HEURES DE DEV TOTALES]]/HEURES)</f>
        <v>1.8333333333333333</v>
      </c>
    </row>
    <row r="14" ht="45" customHeight="1">
      <c r="B14" s="0" t="s">
        <v>81</v>
      </c>
      <c r="C14" s="32" t="s">
        <v>82</v>
      </c>
      <c r="D14" s="0">
        <v>10799</v>
      </c>
      <c r="E14" s="0">
        <v>9238</v>
      </c>
      <c r="F14" s="13" t="s">
        <v>251</v>
      </c>
      <c r="G14" s="8" t="s">
        <v>83</v>
      </c>
      <c r="H14" s="9" t="s">
        <v>84</v>
      </c>
      <c r="I14" s="13" t="s">
        <v>85</v>
      </c>
      <c r="J14" s="34">
        <v>2</v>
      </c>
      <c r="M14" s="0" t="s">
        <v>81</v>
      </c>
      <c r="N14" s="32" t="s">
        <v>82</v>
      </c>
      <c r="O14" s="0">
        <v>10799</v>
      </c>
      <c r="P14" s="0">
        <v>9238</v>
      </c>
      <c r="Q14" s="13" t="str">
        <f>IF(TABLEAUSUIVISPRINT[[#THIS ROW],[N° FEATURE]]&lt;&gt;"",VLOOKUP(TABLEAUSUIVISPRINT[[#THIS ROW],[N° FEATURE]],SSG_FEATURES[[#ALL],[ID]:[TAGS]],3,FALSE),"")</f>
        <v>S20221107 Tableau des effectifs - Lot 1</v>
      </c>
      <c r="R14" s="8" t="s">
        <v>83</v>
      </c>
      <c r="S14" s="9" t="s">
        <v>84</v>
      </c>
      <c r="T14" s="13" t="s">
        <v>85</v>
      </c>
      <c r="U14" s="177">
        <v>2</v>
      </c>
      <c r="V14" s="214">
        <v>14</v>
      </c>
      <c r="W14" s="52">
        <v>4</v>
      </c>
      <c r="X14" s="32">
        <v>18</v>
      </c>
      <c r="Y14" s="90">
        <v>11</v>
      </c>
      <c r="Z14" s="0" t="s">
        <v>235</v>
      </c>
      <c r="AA14" s="34" t="s">
        <v>129</v>
      </c>
      <c r="AB14" s="163">
        <f>IF(TABLEAUFINSPRINT[[#THIS ROW],[LIVRÉ]]="N",0,TABLEAUFINSPRINT[[#THIS ROW],[SP]])</f>
        <v>2</v>
      </c>
      <c r="AC14" s="47">
        <f>IF(TABLEAUFINSPRINT[[#THIS ROW],[LIVRÉ]]="N",0,TABLEAUFINSPRINT[[#THIS ROW],[HEURES DE DEV TOTALES]]/HEURES)</f>
        <v>3</v>
      </c>
    </row>
    <row r="15" ht="45" customHeight="1">
      <c r="B15" s="0" t="s">
        <v>81</v>
      </c>
      <c r="C15" s="32" t="s">
        <v>89</v>
      </c>
      <c r="D15" s="0">
        <v>12346</v>
      </c>
      <c r="E15" s="0">
        <v>9576</v>
      </c>
      <c r="F15" s="13" t="s">
        <v>252</v>
      </c>
      <c r="G15" s="8" t="s">
        <v>90</v>
      </c>
      <c r="H15" s="9" t="s">
        <v>84</v>
      </c>
      <c r="I15" s="13" t="s">
        <v>253</v>
      </c>
      <c r="J15" s="177">
        <v>0</v>
      </c>
      <c r="M15" s="0" t="s">
        <v>81</v>
      </c>
      <c r="N15" s="32" t="s">
        <v>89</v>
      </c>
      <c r="O15" s="0">
        <v>12346</v>
      </c>
      <c r="P15" s="178">
        <v>9576</v>
      </c>
      <c r="Q15" s="237" t="str">
        <f>IF(TABLEAUSUIVISPRINT[[#THIS ROW],[N° FEATURE]]&lt;&gt;"",VLOOKUP(TABLEAUSUIVISPRINT[[#THIS ROW],[N° FEATURE]],SSG_FEATURES[[#ALL],[ID]:[TAGS]],3,FALSE),"")</f>
        <v>S230109_256 : Lot 1 - Ecran statistiques + Enrichir l'écran de détail de l'adhérent</v>
      </c>
      <c r="R15" s="8" t="s">
        <v>90</v>
      </c>
      <c r="S15" s="9" t="s">
        <v>84</v>
      </c>
      <c r="T15" s="13" t="s">
        <v>91</v>
      </c>
      <c r="U15" s="129">
        <v>0</v>
      </c>
      <c r="V15" s="52">
        <v>3</v>
      </c>
      <c r="W15" s="52">
        <v>1</v>
      </c>
      <c r="X15" s="32">
        <v>4</v>
      </c>
      <c r="Y15" s="90">
        <v>3</v>
      </c>
      <c r="Z15" s="0" t="s">
        <v>235</v>
      </c>
      <c r="AA15" s="34" t="s">
        <v>129</v>
      </c>
      <c r="AB15" s="13">
        <f>IF(TABLEAUFINSPRINT[[#THIS ROW],[LIVRÉ]]="N",0,TABLEAUFINSPRINT[[#THIS ROW],[SP]])</f>
        <v>0</v>
      </c>
      <c r="AC15" s="47">
        <f>IF(TABLEAUFINSPRINT[[#THIS ROW],[LIVRÉ]]="N",0,TABLEAUFINSPRINT[[#THIS ROW],[HEURES DE DEV TOTALES]]/HEURES)</f>
        <v>0.66666666666666663</v>
      </c>
    </row>
    <row r="16" ht="45" customHeight="1">
      <c r="B16" s="153" t="s">
        <v>81</v>
      </c>
      <c r="C16" s="4" t="s">
        <v>94</v>
      </c>
      <c r="D16" s="4">
        <v>11950</v>
      </c>
      <c r="E16" s="4">
        <v>5159</v>
      </c>
      <c r="F16" s="154" t="s">
        <v>254</v>
      </c>
      <c r="G16" s="155" t="s">
        <v>95</v>
      </c>
      <c r="H16" s="156" t="s">
        <v>96</v>
      </c>
      <c r="I16" s="154" t="s">
        <v>97</v>
      </c>
      <c r="J16" s="157">
        <v>2</v>
      </c>
      <c r="M16" s="153" t="s">
        <v>81</v>
      </c>
      <c r="N16" s="4" t="s">
        <v>94</v>
      </c>
      <c r="O16" s="4">
        <v>11950</v>
      </c>
      <c r="P16" s="242">
        <v>5159</v>
      </c>
      <c r="Q16" s="244" t="str">
        <f>IF(TABLEAUSUIVISPRINT[[#THIS ROW],[N° FEATURE]]&lt;&gt;"",VLOOKUP(TABLEAUSUIVISPRINT[[#THIS ROW],[N° FEATURE]],SSG_FEATURES[[#ALL],[ID]:[TAGS]],3,FALSE),"")</f>
        <v>[WEB] GÉRER LES UTILISATEURS</v>
      </c>
      <c r="R16" s="155" t="s">
        <v>95</v>
      </c>
      <c r="S16" s="156" t="s">
        <v>96</v>
      </c>
      <c r="T16" s="154" t="s">
        <v>97</v>
      </c>
      <c r="U16" s="157">
        <v>2</v>
      </c>
      <c r="V16" s="158">
        <v>8</v>
      </c>
      <c r="W16" s="159">
        <v>3</v>
      </c>
      <c r="X16" s="160">
        <v>11</v>
      </c>
      <c r="Y16" s="90">
        <v>28</v>
      </c>
      <c r="Z16" s="0" t="s">
        <v>235</v>
      </c>
      <c r="AA16" s="34" t="s">
        <v>255</v>
      </c>
      <c r="AB16" s="163">
        <f>IF(TABLEAUFINSPRINT[[#THIS ROW],[LIVRÉ]]="N",0,TABLEAUFINSPRINT[[#THIS ROW],[SP]])</f>
        <v>0</v>
      </c>
      <c r="AC16" s="47">
        <f>IF(TABLEAUFINSPRINT[[#THIS ROW],[LIVRÉ]]="N",0,TABLEAUFINSPRINT[[#THIS ROW],[HEURES DE DEV TOTALES]]/HEURES)</f>
        <v>0</v>
      </c>
    </row>
    <row r="17" ht="45" customHeight="1">
      <c r="B17" s="0" t="s">
        <v>81</v>
      </c>
      <c r="C17" s="32" t="s">
        <v>82</v>
      </c>
      <c r="D17" s="0">
        <v>12281</v>
      </c>
      <c r="E17" s="0">
        <v>9238</v>
      </c>
      <c r="F17" s="13" t="s">
        <v>251</v>
      </c>
      <c r="G17" s="8" t="s">
        <v>83</v>
      </c>
      <c r="H17" s="9" t="s">
        <v>101</v>
      </c>
      <c r="I17" s="13" t="s">
        <v>102</v>
      </c>
      <c r="J17" s="34">
        <v>1</v>
      </c>
      <c r="M17" s="0" t="s">
        <v>81</v>
      </c>
      <c r="N17" s="32" t="s">
        <v>82</v>
      </c>
      <c r="O17" s="0">
        <v>12281</v>
      </c>
      <c r="P17" s="0">
        <v>9238</v>
      </c>
      <c r="Q17" s="13" t="str">
        <f>IF(TABLEAUSUIVISPRINT[[#THIS ROW],[N° FEATURE]]&lt;&gt;"",VLOOKUP(TABLEAUSUIVISPRINT[[#THIS ROW],[N° FEATURE]],SSG_FEATURES[[#ALL],[ID]:[TAGS]],3,FALSE),"")</f>
        <v>S20221107 Tableau des effectifs - Lot 1</v>
      </c>
      <c r="R17" s="8" t="s">
        <v>83</v>
      </c>
      <c r="S17" s="9" t="s">
        <v>101</v>
      </c>
      <c r="T17" s="13" t="s">
        <v>102</v>
      </c>
      <c r="U17" s="34">
        <v>1</v>
      </c>
      <c r="V17" s="34">
        <v>7</v>
      </c>
      <c r="W17" s="52">
        <v>2</v>
      </c>
      <c r="X17" s="32">
        <v>9</v>
      </c>
      <c r="Y17" s="90">
        <v>5</v>
      </c>
      <c r="Z17" s="0" t="s">
        <v>235</v>
      </c>
      <c r="AA17" s="34" t="s">
        <v>129</v>
      </c>
      <c r="AB17" s="163">
        <f>IF(TABLEAUFINSPRINT[[#THIS ROW],[LIVRÉ]]="N",0,TABLEAUFINSPRINT[[#THIS ROW],[SP]])</f>
        <v>1</v>
      </c>
      <c r="AC17" s="47">
        <f>IF(TABLEAUFINSPRINT[[#THIS ROW],[LIVRÉ]]="N",0,TABLEAUFINSPRINT[[#THIS ROW],[HEURES DE DEV TOTALES]]/HEURES)</f>
        <v>1.5</v>
      </c>
    </row>
    <row r="18" ht="45" customHeight="1">
      <c r="B18" s="0" t="s">
        <v>81</v>
      </c>
      <c r="C18" s="32" t="s">
        <v>105</v>
      </c>
      <c r="D18" s="0">
        <v>9317</v>
      </c>
      <c r="E18" s="0">
        <v>7936</v>
      </c>
      <c r="F18" s="13" t="s">
        <v>256</v>
      </c>
      <c r="G18" s="8" t="s">
        <v>90</v>
      </c>
      <c r="H18" s="9" t="s">
        <v>52</v>
      </c>
      <c r="I18" s="13" t="s">
        <v>106</v>
      </c>
      <c r="J18" s="34">
        <v>2</v>
      </c>
      <c r="M18" s="0" t="s">
        <v>81</v>
      </c>
      <c r="N18" s="32" t="s">
        <v>105</v>
      </c>
      <c r="O18" s="0">
        <v>9317</v>
      </c>
      <c r="P18" s="0">
        <v>7936</v>
      </c>
      <c r="Q18" s="13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R18" s="8" t="s">
        <v>90</v>
      </c>
      <c r="S18" s="9" t="s">
        <v>52</v>
      </c>
      <c r="T18" s="13" t="s">
        <v>106</v>
      </c>
      <c r="U18" s="34">
        <v>2</v>
      </c>
      <c r="V18" s="34">
        <v>14</v>
      </c>
      <c r="W18" s="52">
        <v>4</v>
      </c>
      <c r="X18" s="32">
        <v>18</v>
      </c>
      <c r="Y18" s="90">
        <v>14</v>
      </c>
      <c r="Z18" s="0" t="s">
        <v>235</v>
      </c>
      <c r="AA18" s="34" t="s">
        <v>129</v>
      </c>
      <c r="AB18" s="163">
        <f>IF(TABLEAUFINSPRINT[[#THIS ROW],[LIVRÉ]]="N",0,TABLEAUFINSPRINT[[#THIS ROW],[SP]])</f>
        <v>2</v>
      </c>
      <c r="AC18" s="47">
        <f>IF(TABLEAUFINSPRINT[[#THIS ROW],[LIVRÉ]]="N",0,TABLEAUFINSPRINT[[#THIS ROW],[HEURES DE DEV TOTALES]]/HEURES)</f>
        <v>3</v>
      </c>
    </row>
    <row r="19" ht="45" customHeight="1">
      <c r="B19" s="0" t="s">
        <v>81</v>
      </c>
      <c r="C19" s="32" t="s">
        <v>105</v>
      </c>
      <c r="D19" s="0">
        <v>9318</v>
      </c>
      <c r="E19" s="0">
        <v>7936</v>
      </c>
      <c r="F19" s="13" t="s">
        <v>256</v>
      </c>
      <c r="G19" s="8" t="s">
        <v>90</v>
      </c>
      <c r="H19" s="9" t="s">
        <v>108</v>
      </c>
      <c r="I19" s="13" t="s">
        <v>109</v>
      </c>
      <c r="J19" s="34">
        <v>1</v>
      </c>
      <c r="M19" s="0" t="s">
        <v>81</v>
      </c>
      <c r="N19" s="32" t="s">
        <v>105</v>
      </c>
      <c r="O19" s="0">
        <v>9318</v>
      </c>
      <c r="P19" s="0">
        <v>7936</v>
      </c>
      <c r="Q19" s="13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R19" s="8" t="s">
        <v>90</v>
      </c>
      <c r="S19" s="9" t="s">
        <v>108</v>
      </c>
      <c r="T19" s="13" t="s">
        <v>109</v>
      </c>
      <c r="U19" s="34">
        <v>1</v>
      </c>
      <c r="V19" s="34">
        <v>7</v>
      </c>
      <c r="W19" s="52">
        <v>2</v>
      </c>
      <c r="X19" s="32">
        <v>9</v>
      </c>
      <c r="Y19" s="90">
        <v>9</v>
      </c>
      <c r="Z19" s="0" t="s">
        <v>235</v>
      </c>
      <c r="AA19" s="34" t="s">
        <v>129</v>
      </c>
      <c r="AB19" s="0">
        <f>IF(TABLEAUFINSPRINT[[#THIS ROW],[LIVRÉ]]="N",0,TABLEAUFINSPRINT[[#THIS ROW],[SP]])</f>
        <v>1</v>
      </c>
      <c r="AC19" s="47">
        <f>IF(TABLEAUFINSPRINT[[#THIS ROW],[LIVRÉ]]="N",0,TABLEAUFINSPRINT[[#THIS ROW],[HEURES DE DEV TOTALES]]/HEURES)</f>
        <v>1.5</v>
      </c>
    </row>
    <row r="20" ht="45" customHeight="1">
      <c r="B20" s="0" t="s">
        <v>81</v>
      </c>
      <c r="C20" s="32" t="s">
        <v>82</v>
      </c>
      <c r="D20" s="0">
        <v>10800</v>
      </c>
      <c r="E20" s="0">
        <v>9238</v>
      </c>
      <c r="F20" s="13" t="s">
        <v>251</v>
      </c>
      <c r="G20" s="8" t="s">
        <v>83</v>
      </c>
      <c r="H20" s="9" t="s">
        <v>112</v>
      </c>
      <c r="I20" s="13" t="s">
        <v>113</v>
      </c>
      <c r="J20" s="34">
        <v>2</v>
      </c>
      <c r="M20" s="0" t="s">
        <v>81</v>
      </c>
      <c r="N20" s="32" t="s">
        <v>82</v>
      </c>
      <c r="O20" s="0">
        <v>10800</v>
      </c>
      <c r="P20" s="0">
        <v>9238</v>
      </c>
      <c r="Q20" s="13" t="str">
        <f>IF(TABLEAUSUIVISPRINT[[#THIS ROW],[N° FEATURE]]&lt;&gt;"",VLOOKUP(TABLEAUSUIVISPRINT[[#THIS ROW],[N° FEATURE]],SSG_FEATURES[[#ALL],[ID]:[TAGS]],3,FALSE),"")</f>
        <v>S20221107 Tableau des effectifs - Lot 1</v>
      </c>
      <c r="R20" s="8" t="s">
        <v>83</v>
      </c>
      <c r="S20" s="9" t="s">
        <v>112</v>
      </c>
      <c r="T20" s="13" t="s">
        <v>113</v>
      </c>
      <c r="U20" s="34">
        <v>2</v>
      </c>
      <c r="V20" s="34">
        <v>14</v>
      </c>
      <c r="W20" s="52">
        <v>4</v>
      </c>
      <c r="X20" s="32">
        <v>18</v>
      </c>
      <c r="Y20" s="90">
        <v>9</v>
      </c>
      <c r="Z20" s="0" t="s">
        <v>235</v>
      </c>
      <c r="AA20" s="34" t="s">
        <v>129</v>
      </c>
      <c r="AB20" s="0">
        <f>IF(TABLEAUFINSPRINT[[#THIS ROW],[LIVRÉ]]="N",0,TABLEAUFINSPRINT[[#THIS ROW],[SP]])</f>
        <v>2</v>
      </c>
      <c r="AC20" s="47">
        <f>IF(TABLEAUFINSPRINT[[#THIS ROW],[LIVRÉ]]="N",0,TABLEAUFINSPRINT[[#THIS ROW],[HEURES DE DEV TOTALES]]/HEURES)</f>
        <v>3</v>
      </c>
    </row>
    <row r="21" ht="45" customHeight="1">
      <c r="B21" s="0" t="s">
        <v>81</v>
      </c>
      <c r="C21" s="32" t="s">
        <v>82</v>
      </c>
      <c r="D21" s="0">
        <v>10738</v>
      </c>
      <c r="E21" s="0">
        <v>9238</v>
      </c>
      <c r="F21" s="13" t="s">
        <v>251</v>
      </c>
      <c r="G21" s="8" t="s">
        <v>83</v>
      </c>
      <c r="H21" s="9" t="s">
        <v>116</v>
      </c>
      <c r="I21" s="13" t="s">
        <v>117</v>
      </c>
      <c r="J21" s="34">
        <v>2</v>
      </c>
      <c r="M21" s="0" t="s">
        <v>81</v>
      </c>
      <c r="N21" s="32" t="s">
        <v>82</v>
      </c>
      <c r="O21" s="0">
        <v>10738</v>
      </c>
      <c r="P21" s="0">
        <v>9238</v>
      </c>
      <c r="Q21" s="13" t="str">
        <f>IF(TABLEAUSUIVISPRINT[[#THIS ROW],[N° FEATURE]]&lt;&gt;"",VLOOKUP(TABLEAUSUIVISPRINT[[#THIS ROW],[N° FEATURE]],SSG_FEATURES[[#ALL],[ID]:[TAGS]],3,FALSE),"")</f>
        <v>S20221107 Tableau des effectifs - Lot 1</v>
      </c>
      <c r="R21" s="8" t="s">
        <v>83</v>
      </c>
      <c r="S21" s="9" t="s">
        <v>116</v>
      </c>
      <c r="T21" s="13" t="s">
        <v>117</v>
      </c>
      <c r="U21" s="34">
        <v>2</v>
      </c>
      <c r="V21" s="34">
        <v>14</v>
      </c>
      <c r="W21" s="52">
        <v>4</v>
      </c>
      <c r="X21" s="32">
        <v>18</v>
      </c>
      <c r="Y21" s="90">
        <v>13</v>
      </c>
      <c r="Z21" s="0" t="s">
        <v>235</v>
      </c>
      <c r="AA21" s="34" t="s">
        <v>129</v>
      </c>
      <c r="AB21" s="163">
        <f>IF(TABLEAUFINSPRINT[[#THIS ROW],[LIVRÉ]]="N",0,TABLEAUFINSPRINT[[#THIS ROW],[SP]])</f>
        <v>2</v>
      </c>
      <c r="AC21" s="47">
        <f>IF(TABLEAUFINSPRINT[[#THIS ROW],[LIVRÉ]]="N",0,TABLEAUFINSPRINT[[#THIS ROW],[HEURES DE DEV TOTALES]]/HEURES)</f>
        <v>3</v>
      </c>
    </row>
    <row r="22" ht="45" customHeight="1">
      <c r="B22" s="0" t="s">
        <v>81</v>
      </c>
      <c r="C22" s="32" t="s">
        <v>105</v>
      </c>
      <c r="D22" s="0">
        <v>9605</v>
      </c>
      <c r="E22" s="0">
        <v>7936</v>
      </c>
      <c r="F22" s="13" t="s">
        <v>256</v>
      </c>
      <c r="G22" s="8" t="s">
        <v>90</v>
      </c>
      <c r="H22" s="9" t="s">
        <v>120</v>
      </c>
      <c r="I22" s="13" t="s">
        <v>121</v>
      </c>
      <c r="J22" s="34">
        <v>3</v>
      </c>
      <c r="M22" s="5" t="s">
        <v>81</v>
      </c>
      <c r="N22" s="225" t="s">
        <v>105</v>
      </c>
      <c r="O22" s="5">
        <v>9605</v>
      </c>
      <c r="P22" s="5">
        <v>7936</v>
      </c>
      <c r="Q22" s="226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R22" s="227" t="s">
        <v>90</v>
      </c>
      <c r="S22" s="228" t="s">
        <v>120</v>
      </c>
      <c r="T22" s="226" t="s">
        <v>121</v>
      </c>
      <c r="U22" s="229">
        <v>3</v>
      </c>
      <c r="V22" s="229">
        <v>21</v>
      </c>
      <c r="W22" s="230">
        <v>6</v>
      </c>
      <c r="X22" s="225">
        <v>27</v>
      </c>
      <c r="Y22" s="90">
        <v>29</v>
      </c>
      <c r="Z22" s="0" t="s">
        <v>235</v>
      </c>
      <c r="AA22" s="34" t="s">
        <v>255</v>
      </c>
      <c r="AB22" s="163">
        <f>IF(TABLEAUFINSPRINT[[#THIS ROW],[LIVRÉ]]="N",0,TABLEAUFINSPRINT[[#THIS ROW],[SP]])</f>
        <v>0</v>
      </c>
      <c r="AC22" s="47">
        <f>IF(TABLEAUFINSPRINT[[#THIS ROW],[LIVRÉ]]="N",0,TABLEAUFINSPRINT[[#THIS ROW],[HEURES DE DEV TOTALES]]/HEURES)</f>
        <v>0</v>
      </c>
    </row>
    <row r="23" ht="45" customHeight="1">
      <c r="B23" s="164" t="s">
        <v>81</v>
      </c>
      <c r="C23" s="169" t="s">
        <v>105</v>
      </c>
      <c r="D23" s="164">
        <v>9319</v>
      </c>
      <c r="E23" s="164">
        <v>7936</v>
      </c>
      <c r="F23" s="165" t="s">
        <v>256</v>
      </c>
      <c r="G23" s="166" t="s">
        <v>90</v>
      </c>
      <c r="H23" s="167" t="s">
        <v>126</v>
      </c>
      <c r="I23" s="165" t="s">
        <v>134</v>
      </c>
      <c r="J23" s="168">
        <v>2</v>
      </c>
      <c r="M23" s="48" t="s">
        <v>81</v>
      </c>
      <c r="N23" s="203" t="s">
        <v>124</v>
      </c>
      <c r="O23" s="48">
        <v>12547</v>
      </c>
      <c r="P23" s="178">
        <v>12550</v>
      </c>
      <c r="Q23" s="237" t="str">
        <f>IF(TABLEAUSUIVISPRINT[[#THIS ROW],[N° FEATURE]]&lt;&gt;"",VLOOKUP(TABLEAUSUIVISPRINT[[#THIS ROW],[N° FEATURE]],SSG_FEATURES[[#ALL],[ID]:[TAGS]],3,FALSE),"")</f>
        <v>[I230720_058]  Erreur génération automatique du bulletin de situation de l’agent</v>
      </c>
      <c r="R23" s="205" t="s">
        <v>125</v>
      </c>
      <c r="S23" s="206" t="s">
        <v>126</v>
      </c>
      <c r="T23" s="204" t="s">
        <v>127</v>
      </c>
      <c r="U23" s="215">
        <v>2</v>
      </c>
      <c r="V23" s="207">
        <v>12</v>
      </c>
      <c r="W23" s="207">
        <v>4</v>
      </c>
      <c r="X23" s="203">
        <v>16</v>
      </c>
      <c r="Y23" s="90">
        <v>19</v>
      </c>
      <c r="Z23" s="13" t="s">
        <v>257</v>
      </c>
      <c r="AA23" s="177" t="s">
        <v>129</v>
      </c>
      <c r="AB23" s="163">
        <f>IF(TABLEAUFINSPRINT[[#THIS ROW],[LIVRÉ]]="N",0,TABLEAUFINSPRINT[[#THIS ROW],[SP]])</f>
        <v>2</v>
      </c>
      <c r="AC23" s="47">
        <f>IF(TABLEAUFINSPRINT[[#THIS ROW],[LIVRÉ]]="N",0,TABLEAUFINSPRINT[[#THIS ROW],[HEURES DE DEV TOTALES]]/HEURES)</f>
        <v>2.6666666666666665</v>
      </c>
    </row>
    <row r="24" ht="45" customHeight="1">
      <c r="B24" s="0" t="s">
        <v>186</v>
      </c>
      <c r="C24" s="0" t="s">
        <v>185</v>
      </c>
      <c r="D24" s="0" t="s">
        <v>185</v>
      </c>
      <c r="E24" s="0" t="s">
        <v>185</v>
      </c>
      <c r="F24" s="0" t="s">
        <v>185</v>
      </c>
      <c r="G24" s="0" t="s">
        <v>185</v>
      </c>
      <c r="H24" s="0" t="s">
        <v>185</v>
      </c>
      <c r="I24" s="13" t="s">
        <v>185</v>
      </c>
      <c r="J24" s="34">
        <f>SUBTOTAL(109,Tableau6[SP])</f>
        <v>40</v>
      </c>
      <c r="M24" s="48" t="s">
        <v>81</v>
      </c>
      <c r="N24" s="203" t="s">
        <v>124</v>
      </c>
      <c r="O24" s="48">
        <v>12597</v>
      </c>
      <c r="P24" s="178">
        <v>12550</v>
      </c>
      <c r="Q24" s="237" t="str">
        <f>IF(TABLEAUSUIVISPRINT[[#THIS ROW],[N° FEATURE]]&lt;&gt;"",VLOOKUP(TABLEAUSUIVISPRINT[[#THIS ROW],[N° FEATURE]],SSG_FEATURES[[#ALL],[ID]:[TAGS]],3,FALSE),"")</f>
        <v>[I230720_058]  Erreur génération automatique du bulletin de situation de l’agent</v>
      </c>
      <c r="R24" s="205" t="s">
        <v>125</v>
      </c>
      <c r="S24" s="206" t="s">
        <v>130</v>
      </c>
      <c r="T24" s="204" t="s">
        <v>131</v>
      </c>
      <c r="U24" s="215">
        <v>2</v>
      </c>
      <c r="V24" s="207">
        <v>8</v>
      </c>
      <c r="W24" s="207">
        <v>4</v>
      </c>
      <c r="X24" s="203">
        <v>12</v>
      </c>
      <c r="Y24" s="90">
        <v>19</v>
      </c>
      <c r="Z24" s="13" t="s">
        <v>257</v>
      </c>
      <c r="AA24" s="34" t="s">
        <v>129</v>
      </c>
      <c r="AB24" s="163">
        <f>IF(TABLEAUFINSPRINT[[#THIS ROW],[LIVRÉ]]="N",0,TABLEAUFINSPRINT[[#THIS ROW],[SP]])</f>
        <v>2</v>
      </c>
      <c r="AC24" s="47">
        <f>IF(TABLEAUFINSPRINT[[#THIS ROW],[LIVRÉ]]="N",0,TABLEAUFINSPRINT[[#THIS ROW],[HEURES DE DEV TOTALES]]/HEURES)</f>
        <v>2</v>
      </c>
    </row>
    <row r="25" ht="45" customHeight="1">
      <c r="D25" s="322" t="s">
        <v>258</v>
      </c>
      <c r="E25" s="322"/>
      <c r="F25" s="322"/>
      <c r="G25" s="322"/>
      <c r="H25" s="322"/>
      <c r="I25" s="322"/>
      <c r="J25" s="322"/>
      <c r="M25" s="208" t="s">
        <v>81</v>
      </c>
      <c r="N25" s="209" t="s">
        <v>105</v>
      </c>
      <c r="O25" s="208">
        <v>9319</v>
      </c>
      <c r="P25" s="208">
        <v>7936</v>
      </c>
      <c r="Q25" s="210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R25" s="211" t="s">
        <v>90</v>
      </c>
      <c r="S25" s="212" t="s">
        <v>60</v>
      </c>
      <c r="T25" s="210" t="s">
        <v>134</v>
      </c>
      <c r="U25" s="213">
        <v>2</v>
      </c>
      <c r="V25" s="209">
        <v>14</v>
      </c>
      <c r="W25" s="209">
        <v>4</v>
      </c>
      <c r="X25" s="209">
        <v>18</v>
      </c>
      <c r="Y25" s="90"/>
      <c r="Z25" s="13" t="s">
        <v>235</v>
      </c>
      <c r="AA25" s="34" t="s">
        <v>255</v>
      </c>
      <c r="AB25" s="163">
        <f>IF(TABLEAUFINSPRINT[[#THIS ROW],[LIVRÉ]]="N",0,TABLEAUFINSPRINT[[#THIS ROW],[SP]])</f>
        <v>0</v>
      </c>
      <c r="AC25" s="47">
        <f>IF(TABLEAUFINSPRINT[[#THIS ROW],[LIVRÉ]]="N",0,TABLEAUFINSPRINT[[#THIS ROW],[HEURES DE DEV TOTALES]]/HEURES)</f>
        <v>0</v>
      </c>
    </row>
    <row r="26" ht="45" customHeight="1">
      <c r="B26" s="15" t="s">
        <v>23</v>
      </c>
      <c r="C26" s="45" t="s">
        <v>234</v>
      </c>
      <c r="D26" s="10" t="s">
        <v>235</v>
      </c>
      <c r="E26" s="19" t="s">
        <v>236</v>
      </c>
      <c r="F26" s="19" t="s">
        <v>27</v>
      </c>
      <c r="G26" s="19" t="s">
        <v>28</v>
      </c>
      <c r="H26" s="19" t="s">
        <v>237</v>
      </c>
      <c r="I26" s="19" t="s">
        <v>30</v>
      </c>
      <c r="J26" s="19" t="s">
        <v>31</v>
      </c>
      <c r="M26" s="194" t="s">
        <v>81</v>
      </c>
      <c r="N26" s="194" t="s">
        <v>137</v>
      </c>
      <c r="O26" s="202">
        <v>12531</v>
      </c>
      <c r="P26" s="240">
        <v>12533</v>
      </c>
      <c r="Q26" s="239" t="str">
        <f>IF(TABLEAUSUIVISPRINT[[#THIS ROW],[N° FEATURE]]&lt;&gt;"",VLOOKUP(TABLEAUSUIVISPRINT[[#THIS ROW],[N° FEATURE]],SSG_FEATURES[[#ALL],[ID]:[TAGS]],3,FALSE),"")</f>
        <v>[I230718_143] Problème de création du client Keycloak  lors du déploiement via la pipeline</v>
      </c>
      <c r="R26" s="198"/>
      <c r="S26" s="199"/>
      <c r="T26" s="197" t="s">
        <v>138</v>
      </c>
      <c r="U26" s="200">
        <v>1</v>
      </c>
      <c r="V26" s="201">
        <v>6</v>
      </c>
      <c r="W26" s="201">
        <v>0</v>
      </c>
      <c r="X26" s="201">
        <v>6</v>
      </c>
      <c r="Y26" s="90">
        <v>3</v>
      </c>
      <c r="Z26" s="13" t="s">
        <v>257</v>
      </c>
      <c r="AA26" s="34" t="s">
        <v>129</v>
      </c>
      <c r="AB26" s="0">
        <f>IF(TABLEAUFINSPRINT[[#THIS ROW],[LIVRÉ]]="N",0,TABLEAUFINSPRINT[[#THIS ROW],[SP]])</f>
        <v>1</v>
      </c>
      <c r="AC26" s="47">
        <f>IF(TABLEAUFINSPRINT[[#THIS ROW],[LIVRÉ]]="N",0,TABLEAUFINSPRINT[[#THIS ROW],[HEURES DE DEV TOTALES]]/HEURES)</f>
        <v>1</v>
      </c>
    </row>
    <row r="27" ht="45" customHeight="1">
      <c r="B27" s="0" t="s">
        <v>47</v>
      </c>
      <c r="C27" s="0" t="s">
        <v>48</v>
      </c>
      <c r="D27" s="0">
        <v>12269</v>
      </c>
      <c r="E27" s="0">
        <v>8554</v>
      </c>
      <c r="F27" s="13" t="s">
        <v>246</v>
      </c>
      <c r="G27" s="8" t="s">
        <v>49</v>
      </c>
      <c r="H27" s="9">
        <v>1</v>
      </c>
      <c r="I27" s="92" t="s">
        <v>50</v>
      </c>
      <c r="J27" s="34">
        <v>2</v>
      </c>
      <c r="M27" s="48" t="s">
        <v>141</v>
      </c>
      <c r="N27" s="48" t="s">
        <v>142</v>
      </c>
      <c r="O27" s="48">
        <v>12603</v>
      </c>
      <c r="P27" s="242">
        <v>12604</v>
      </c>
      <c r="Q27" s="243" t="str">
        <f>IF(TABLEAUSUIVISPRINT[[#THIS ROW],[N° FEATURE]]&lt;&gt;"",VLOOKUP(TABLEAUSUIVISPRINT[[#THIS ROW],[N° FEATURE]],SSG_FEATURES[[#ALL],[ID]:[TAGS]],3,FALSE),"")</f>
        <v>Problème sur les listes des OMP</v>
      </c>
      <c r="R27" s="205" t="s">
        <v>143</v>
      </c>
      <c r="S27" s="206"/>
      <c r="T27" s="204" t="s">
        <v>144</v>
      </c>
      <c r="U27" s="231">
        <v>1</v>
      </c>
      <c r="V27" s="231">
        <v>6</v>
      </c>
      <c r="W27" s="207"/>
      <c r="X27" s="203">
        <v>6</v>
      </c>
      <c r="Y27" s="90"/>
      <c r="Z27" s="13" t="s">
        <v>257</v>
      </c>
      <c r="AA27" s="34" t="s">
        <v>255</v>
      </c>
      <c r="AB27" s="0">
        <f>IF(TABLEAUFINSPRINT[[#THIS ROW],[LIVRÉ]]="N",0,TABLEAUFINSPRINT[[#THIS ROW],[SP]])</f>
        <v>0</v>
      </c>
      <c r="AC27" s="47">
        <f>IF(TABLEAUFINSPRINT[[#THIS ROW],[LIVRÉ]]="N",0,TABLEAUFINSPRINT[[#THIS ROW],[HEURES DE DEV TOTALES]]/HEURES)</f>
        <v>0</v>
      </c>
    </row>
    <row r="28" ht="45">
      <c r="B28" s="0" t="s">
        <v>47</v>
      </c>
      <c r="C28" s="0" t="s">
        <v>48</v>
      </c>
      <c r="D28" s="0">
        <v>12277</v>
      </c>
      <c r="E28" s="0">
        <v>8554</v>
      </c>
      <c r="F28" s="13" t="s">
        <v>246</v>
      </c>
      <c r="G28" s="8" t="s">
        <v>49</v>
      </c>
      <c r="H28" s="9">
        <v>2</v>
      </c>
      <c r="I28" s="13" t="s">
        <v>53</v>
      </c>
      <c r="J28" s="34">
        <v>3</v>
      </c>
      <c r="M28" s="0" t="s">
        <v>186</v>
      </c>
      <c r="N28" s="0" t="s">
        <v>185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13" t="s">
        <v>185</v>
      </c>
      <c r="U28" s="13">
        <f>SUBTOTAL(109,TableauFinSprint[SP])</f>
        <v>46</v>
      </c>
      <c r="V28" s="13" t="s">
        <v>185</v>
      </c>
      <c r="W28" s="13" t="s">
        <v>185</v>
      </c>
      <c r="X28" s="13" t="s">
        <v>185</v>
      </c>
      <c r="Y28" s="13" t="s">
        <v>185</v>
      </c>
      <c r="Z28" s="13" t="s">
        <v>185</v>
      </c>
      <c r="AA28" s="34" t="s">
        <v>185</v>
      </c>
      <c r="AB28" s="0">
        <f>SUBTOTAL(109,TableauFinSprint[SP Livré])</f>
        <v>38</v>
      </c>
      <c r="AC28" s="47">
        <f>SUBTOTAL(109,TableauFinSprint[Jour de dev])</f>
        <v>42.833333333333336</v>
      </c>
    </row>
    <row r="29" ht="45">
      <c r="B29" s="0" t="s">
        <v>47</v>
      </c>
      <c r="C29" s="0" t="s">
        <v>55</v>
      </c>
      <c r="D29" s="0">
        <v>10679</v>
      </c>
      <c r="E29" s="0">
        <v>9308</v>
      </c>
      <c r="F29" s="13" t="s">
        <v>247</v>
      </c>
      <c r="G29" s="8" t="s">
        <v>56</v>
      </c>
      <c r="H29" s="9">
        <v>3</v>
      </c>
      <c r="I29" s="13" t="s">
        <v>57</v>
      </c>
      <c r="J29" s="34">
        <v>2</v>
      </c>
      <c r="M29" s="23" t="s">
        <v>259</v>
      </c>
      <c r="N29" s="23"/>
      <c r="O29" s="94">
        <f>SUMIFS(TableauFinSprint[[#All],[Jour de dev]],TableauFinSprint[[#All],[Type]],"Bug")</f>
        <v>5.6666666666666661</v>
      </c>
    </row>
    <row r="30" ht="45">
      <c r="B30" s="0" t="s">
        <v>47</v>
      </c>
      <c r="C30" s="0" t="s">
        <v>55</v>
      </c>
      <c r="D30" s="0">
        <v>10706</v>
      </c>
      <c r="E30" s="0">
        <v>9308</v>
      </c>
      <c r="F30" s="13" t="s">
        <v>247</v>
      </c>
      <c r="G30" s="8" t="s">
        <v>56</v>
      </c>
      <c r="H30" s="9">
        <v>4</v>
      </c>
      <c r="I30" s="13" t="s">
        <v>61</v>
      </c>
      <c r="J30" s="34">
        <v>2</v>
      </c>
      <c r="M30" s="23" t="s">
        <v>260</v>
      </c>
      <c r="N30" s="23"/>
      <c r="O30" s="94">
        <f>SUMIFS(TableauFinSprint[[#All],[Jour de dev]],TableauFinSprint[[#All],[Type]],"&lt;&gt;Bug")</f>
        <v>80</v>
      </c>
    </row>
    <row r="31" ht="45">
      <c r="B31" s="0" t="s">
        <v>47</v>
      </c>
      <c r="C31" s="0" t="s">
        <v>55</v>
      </c>
      <c r="D31" s="0">
        <v>10703</v>
      </c>
      <c r="E31" s="0">
        <v>9308</v>
      </c>
      <c r="F31" s="13" t="s">
        <v>247</v>
      </c>
      <c r="G31" s="8" t="s">
        <v>56</v>
      </c>
      <c r="H31" s="9">
        <v>5</v>
      </c>
      <c r="I31" s="13" t="s">
        <v>64</v>
      </c>
      <c r="J31" s="34">
        <v>3</v>
      </c>
      <c r="M31" s="0" t="s">
        <v>261</v>
      </c>
      <c r="O31" s="0">
        <f>TableauFinSprint[[#Totals],[SP Livré]]/'PI2023.08-1 Suivi Sprint-Init'!E26</f>
        <v>0.82384823848238486</v>
      </c>
      <c r="P31" s="74"/>
      <c r="Q31" s="74"/>
      <c r="R31" s="13"/>
      <c r="S31" s="34"/>
      <c r="T31" s="34"/>
      <c r="U31" s="34"/>
      <c r="V31" s="73"/>
    </row>
    <row r="32" ht="45">
      <c r="B32" s="0" t="s">
        <v>47</v>
      </c>
      <c r="C32" s="0" t="s">
        <v>48</v>
      </c>
      <c r="D32" s="0">
        <v>12043</v>
      </c>
      <c r="E32" s="0">
        <v>11918</v>
      </c>
      <c r="F32" s="13" t="s">
        <v>248</v>
      </c>
      <c r="G32" s="8" t="s">
        <v>66</v>
      </c>
      <c r="H32" s="9">
        <v>6</v>
      </c>
      <c r="I32" s="13" t="s">
        <v>67</v>
      </c>
      <c r="J32" s="34">
        <v>5</v>
      </c>
      <c r="P32" s="74"/>
      <c r="Q32" s="74"/>
      <c r="R32" s="13"/>
      <c r="S32" s="34"/>
      <c r="T32" s="34"/>
      <c r="U32" s="34"/>
      <c r="V32" s="73"/>
    </row>
    <row r="33" ht="30">
      <c r="B33" s="0" t="s">
        <v>47</v>
      </c>
      <c r="C33" s="0" t="s">
        <v>48</v>
      </c>
      <c r="D33" s="0">
        <v>12041</v>
      </c>
      <c r="E33" s="0">
        <v>11918</v>
      </c>
      <c r="F33" s="13" t="s">
        <v>248</v>
      </c>
      <c r="G33" s="8" t="s">
        <v>66</v>
      </c>
      <c r="H33" s="9">
        <v>7</v>
      </c>
      <c r="I33" s="74" t="s">
        <v>68</v>
      </c>
      <c r="J33" s="34">
        <v>1</v>
      </c>
      <c r="P33" s="74"/>
      <c r="Q33" s="74"/>
      <c r="R33" s="13"/>
      <c r="S33" s="34"/>
      <c r="T33" s="34"/>
      <c r="U33" s="34"/>
      <c r="V33" s="73"/>
    </row>
    <row r="34" ht="60">
      <c r="B34" s="180" t="s">
        <v>47</v>
      </c>
      <c r="C34" s="180" t="s">
        <v>72</v>
      </c>
      <c r="D34" s="180">
        <v>12462</v>
      </c>
      <c r="E34" s="180">
        <v>12179</v>
      </c>
      <c r="F34" s="182" t="s">
        <v>262</v>
      </c>
      <c r="G34" s="183" t="s">
        <v>73</v>
      </c>
      <c r="H34" s="184">
        <v>8</v>
      </c>
      <c r="I34" s="182" t="s">
        <v>74</v>
      </c>
      <c r="J34" s="185">
        <v>1</v>
      </c>
      <c r="M34" s="46" t="s">
        <v>190</v>
      </c>
      <c r="P34" s="13"/>
      <c r="Q34" s="13"/>
      <c r="R34" s="13"/>
      <c r="S34" s="34"/>
      <c r="T34" s="34"/>
      <c r="U34" s="34"/>
      <c r="V34" s="73"/>
    </row>
    <row r="35" ht="45">
      <c r="B35" s="0" t="s">
        <v>47</v>
      </c>
      <c r="C35" s="0" t="s">
        <v>55</v>
      </c>
      <c r="D35" s="0">
        <v>10684</v>
      </c>
      <c r="E35" s="0">
        <v>9308</v>
      </c>
      <c r="F35" s="13" t="s">
        <v>247</v>
      </c>
      <c r="G35" s="8" t="s">
        <v>56</v>
      </c>
      <c r="H35" s="9">
        <v>9</v>
      </c>
      <c r="I35" s="13" t="s">
        <v>77</v>
      </c>
      <c r="J35" s="34">
        <v>2</v>
      </c>
      <c r="M35" s="135"/>
      <c r="N35" s="0" t="s">
        <v>192</v>
      </c>
      <c r="O35" s="13"/>
      <c r="P35" s="13"/>
      <c r="Q35" s="13"/>
      <c r="R35" s="13"/>
      <c r="S35" s="34"/>
      <c r="T35" s="13"/>
      <c r="U35" s="34"/>
      <c r="V35" s="73"/>
    </row>
    <row r="36" ht="45.75">
      <c r="B36" s="170" t="s">
        <v>47</v>
      </c>
      <c r="C36" s="170" t="s">
        <v>55</v>
      </c>
      <c r="D36" s="170">
        <v>10704</v>
      </c>
      <c r="E36" s="170">
        <v>9308</v>
      </c>
      <c r="F36" s="172" t="s">
        <v>247</v>
      </c>
      <c r="G36" s="173" t="s">
        <v>56</v>
      </c>
      <c r="H36" s="174">
        <v>10</v>
      </c>
      <c r="I36" s="172" t="s">
        <v>249</v>
      </c>
      <c r="J36" s="175">
        <v>2</v>
      </c>
      <c r="M36" s="136"/>
      <c r="N36" s="0" t="s">
        <v>196</v>
      </c>
      <c r="P36" s="13"/>
      <c r="Q36" s="13"/>
      <c r="R36" s="13"/>
      <c r="S36" s="34"/>
      <c r="T36" s="34"/>
      <c r="U36" s="34"/>
      <c r="V36" s="73"/>
    </row>
    <row r="37" ht="45">
      <c r="B37" s="0" t="s">
        <v>81</v>
      </c>
      <c r="C37" s="32" t="s">
        <v>82</v>
      </c>
      <c r="D37" s="0">
        <v>10799</v>
      </c>
      <c r="E37" s="0">
        <v>9238</v>
      </c>
      <c r="F37" s="13" t="s">
        <v>251</v>
      </c>
      <c r="G37" s="8" t="s">
        <v>83</v>
      </c>
      <c r="H37" s="9" t="s">
        <v>84</v>
      </c>
      <c r="I37" s="13" t="s">
        <v>85</v>
      </c>
      <c r="J37" s="34">
        <v>2</v>
      </c>
      <c r="M37" s="97"/>
      <c r="N37" s="0" t="s">
        <v>200</v>
      </c>
      <c r="P37" s="13"/>
      <c r="Q37" s="13"/>
      <c r="R37" s="13"/>
      <c r="S37" s="34"/>
      <c r="U37" s="34"/>
      <c r="V37" s="73"/>
    </row>
    <row r="38" ht="30">
      <c r="B38" s="0" t="s">
        <v>81</v>
      </c>
      <c r="C38" s="32" t="s">
        <v>89</v>
      </c>
      <c r="D38" s="0">
        <v>12346</v>
      </c>
      <c r="E38" s="0">
        <v>9576</v>
      </c>
      <c r="F38" s="13" t="s">
        <v>252</v>
      </c>
      <c r="G38" s="8" t="s">
        <v>90</v>
      </c>
      <c r="H38" s="9" t="s">
        <v>84</v>
      </c>
      <c r="I38" s="13" t="s">
        <v>91</v>
      </c>
      <c r="J38" s="129">
        <v>0</v>
      </c>
      <c r="N38" s="0" t="s">
        <v>204</v>
      </c>
      <c r="R38" s="9"/>
      <c r="S38" s="34"/>
      <c r="U38" s="34"/>
      <c r="V38" s="73"/>
    </row>
    <row r="39" ht="45">
      <c r="B39" s="153" t="s">
        <v>81</v>
      </c>
      <c r="C39" s="4" t="s">
        <v>94</v>
      </c>
      <c r="D39" s="4">
        <v>11950</v>
      </c>
      <c r="E39" s="4">
        <v>5159</v>
      </c>
      <c r="F39" s="154" t="s">
        <v>254</v>
      </c>
      <c r="G39" s="155" t="s">
        <v>95</v>
      </c>
      <c r="H39" s="156" t="s">
        <v>96</v>
      </c>
      <c r="I39" s="154" t="s">
        <v>97</v>
      </c>
      <c r="J39" s="157">
        <v>2</v>
      </c>
      <c r="R39" s="13"/>
      <c r="S39" s="34"/>
      <c r="U39" s="34"/>
      <c r="V39" s="73"/>
    </row>
    <row r="40" ht="45">
      <c r="B40" s="0" t="s">
        <v>81</v>
      </c>
      <c r="C40" s="32" t="s">
        <v>82</v>
      </c>
      <c r="D40" s="0">
        <v>12281</v>
      </c>
      <c r="E40" s="0">
        <v>9238</v>
      </c>
      <c r="F40" s="13" t="s">
        <v>251</v>
      </c>
      <c r="G40" s="8" t="s">
        <v>83</v>
      </c>
      <c r="H40" s="9" t="s">
        <v>101</v>
      </c>
      <c r="I40" s="13" t="s">
        <v>102</v>
      </c>
      <c r="J40" s="34">
        <v>1</v>
      </c>
      <c r="M40" s="98"/>
      <c r="N40" s="0" t="s">
        <v>209</v>
      </c>
      <c r="P40" s="13"/>
      <c r="Q40" s="13"/>
      <c r="R40" s="13"/>
      <c r="S40" s="13"/>
      <c r="T40" s="34"/>
      <c r="U40" s="34"/>
    </row>
    <row r="41" ht="45">
      <c r="B41" s="0" t="s">
        <v>81</v>
      </c>
      <c r="C41" s="32" t="s">
        <v>105</v>
      </c>
      <c r="D41" s="0">
        <v>9317</v>
      </c>
      <c r="E41" s="0">
        <v>7936</v>
      </c>
      <c r="F41" s="13" t="s">
        <v>256</v>
      </c>
      <c r="G41" s="8" t="s">
        <v>90</v>
      </c>
      <c r="H41" s="9" t="s">
        <v>52</v>
      </c>
      <c r="I41" s="13" t="s">
        <v>106</v>
      </c>
      <c r="J41" s="34">
        <v>2</v>
      </c>
      <c r="M41" s="99"/>
      <c r="N41" s="0" t="s">
        <v>211</v>
      </c>
    </row>
    <row r="42" ht="45">
      <c r="B42" s="0" t="s">
        <v>81</v>
      </c>
      <c r="C42" s="32" t="s">
        <v>105</v>
      </c>
      <c r="D42" s="0">
        <v>9318</v>
      </c>
      <c r="E42" s="0">
        <v>7936</v>
      </c>
      <c r="F42" s="13" t="s">
        <v>256</v>
      </c>
      <c r="G42" s="8" t="s">
        <v>90</v>
      </c>
      <c r="H42" s="9" t="s">
        <v>108</v>
      </c>
      <c r="I42" s="13" t="s">
        <v>109</v>
      </c>
      <c r="J42" s="34">
        <v>1</v>
      </c>
    </row>
    <row r="43" ht="30">
      <c r="B43" s="0" t="s">
        <v>81</v>
      </c>
      <c r="C43" s="32" t="s">
        <v>82</v>
      </c>
      <c r="D43" s="0">
        <v>10800</v>
      </c>
      <c r="E43" s="0">
        <v>9238</v>
      </c>
      <c r="F43" s="13" t="s">
        <v>251</v>
      </c>
      <c r="G43" s="8" t="s">
        <v>83</v>
      </c>
      <c r="H43" s="9" t="s">
        <v>112</v>
      </c>
      <c r="I43" s="13" t="s">
        <v>113</v>
      </c>
      <c r="J43" s="34">
        <v>2</v>
      </c>
      <c r="M43" s="137"/>
      <c r="N43" s="0" t="s">
        <v>216</v>
      </c>
    </row>
    <row r="44" ht="30">
      <c r="B44" s="0" t="s">
        <v>81</v>
      </c>
      <c r="C44" s="32" t="s">
        <v>82</v>
      </c>
      <c r="D44" s="0">
        <v>10738</v>
      </c>
      <c r="E44" s="0">
        <v>9238</v>
      </c>
      <c r="F44" s="13" t="s">
        <v>251</v>
      </c>
      <c r="G44" s="8" t="s">
        <v>83</v>
      </c>
      <c r="H44" s="9" t="s">
        <v>116</v>
      </c>
      <c r="I44" s="13" t="s">
        <v>117</v>
      </c>
      <c r="J44" s="34">
        <v>2</v>
      </c>
      <c r="M44" s="100"/>
      <c r="N44" s="0" t="s">
        <v>219</v>
      </c>
    </row>
    <row r="45" ht="45">
      <c r="B45" s="0" t="s">
        <v>81</v>
      </c>
      <c r="C45" s="32" t="s">
        <v>105</v>
      </c>
      <c r="D45" s="0">
        <v>9605</v>
      </c>
      <c r="E45" s="0">
        <v>7936</v>
      </c>
      <c r="F45" s="13" t="s">
        <v>256</v>
      </c>
      <c r="G45" s="8" t="s">
        <v>90</v>
      </c>
      <c r="H45" s="9" t="s">
        <v>120</v>
      </c>
      <c r="I45" s="13" t="s">
        <v>121</v>
      </c>
      <c r="J45" s="34">
        <v>3</v>
      </c>
    </row>
    <row r="46" ht="45">
      <c r="B46" s="164" t="s">
        <v>81</v>
      </c>
      <c r="C46" s="169" t="s">
        <v>105</v>
      </c>
      <c r="D46" s="164">
        <v>9319</v>
      </c>
      <c r="E46" s="164">
        <v>7936</v>
      </c>
      <c r="F46" s="165" t="s">
        <v>256</v>
      </c>
      <c r="G46" s="166" t="s">
        <v>90</v>
      </c>
      <c r="H46" s="167" t="s">
        <v>126</v>
      </c>
      <c r="I46" s="165" t="s">
        <v>134</v>
      </c>
      <c r="J46" s="168">
        <v>2</v>
      </c>
      <c r="M46" s="101"/>
      <c r="N46" s="0" t="s">
        <v>223</v>
      </c>
    </row>
    <row r="47">
      <c r="B47" s="0" t="s">
        <v>186</v>
      </c>
      <c r="C47" s="0" t="s">
        <v>185</v>
      </c>
      <c r="D47" s="0" t="s">
        <v>185</v>
      </c>
      <c r="E47" s="0" t="s">
        <v>185</v>
      </c>
      <c r="F47" s="0" t="s">
        <v>185</v>
      </c>
      <c r="G47" s="0" t="s">
        <v>185</v>
      </c>
      <c r="H47" s="0" t="s">
        <v>185</v>
      </c>
      <c r="I47" s="13" t="s">
        <v>185</v>
      </c>
      <c r="J47" s="34">
        <f>SUBTOTAL(109,Tableau65[SP])</f>
        <v>40</v>
      </c>
      <c r="M47" s="161"/>
      <c r="N47" s="0" t="s">
        <v>225</v>
      </c>
    </row>
    <row r="49">
      <c r="M49" s="102"/>
      <c r="N49" s="0" t="s">
        <v>228</v>
      </c>
    </row>
    <row r="51">
      <c r="M51" s="178"/>
      <c r="N51" s="0" t="s">
        <v>263</v>
      </c>
    </row>
    <row r="52">
      <c r="M52" s="242"/>
      <c r="N52" s="0" t="s">
        <v>264</v>
      </c>
    </row>
  </sheetData>
  <protectedRanges>
    <protectedRange sqref="B4:J22" name="Modif" securityDescriptor="O:WDG:WDD:(A;;CC;;;WD)"/>
    <protectedRange sqref="B46:J46 B27:J44" name="Modif_3" securityDescriptor="O:WDG:WDD:(A;;CC;;;WD)"/>
    <protectedRange sqref="M4:Y13" name="Modif_2" securityDescriptor="O:WDG:WDD:(A;;CC;;;WD)"/>
    <protectedRange sqref="Y14:Y25" name="Modif_6" securityDescriptor="O:WDG:WDD:(A;;CC;;;WD)"/>
    <protectedRange sqref="M14:X21 U23:X27 M23:T26 Q27" name="Modif_1" securityDescriptor="O:WDG:WDD:(A;;CC;;;WD)"/>
  </protectedRanges>
  <mergeCells>
    <mergeCell ref="D2:J2"/>
    <mergeCell ref="M2:S2"/>
    <mergeCell ref="D25:J25"/>
  </mergeCells>
  <phoneticPr fontId="13" type="noConversion"/>
  <conditionalFormatting sqref="Y4:Y27">
    <cfRule type="expression" dxfId="0" priority="1">
      <formula>(Y4 &gt; X4)</formula>
    </cfRule>
  </conditionalFormatting>
  <dataValidations count="4">
    <dataValidation type="list" allowBlank="1" showInputMessage="1" showErrorMessage="1" sqref="S31:S39 U31:U39 AA4:AA27" xr:uid="{00000000-0002-0000-0100-000000000000}">
      <formula1>Liste_valeur</formula1>
    </dataValidation>
    <dataValidation type="list" allowBlank="1" showInputMessage="1" showErrorMessage="1" sqref="M4:M27 C12 C36" xr:uid="{00000000-0002-0000-0100-000001000000}">
      <formula1>Liste_Techno</formula1>
    </dataValidation>
    <dataValidation type="list" allowBlank="1" showInputMessage="1" showErrorMessage="1" sqref="B12:B14 B36:B38" xr:uid="{00000000-0002-0000-0100-000002000000}">
      <formula1>Liste_Projet</formula1>
    </dataValidation>
    <dataValidation type="list" allowBlank="1" showInputMessage="1" showErrorMessage="1" sqref="Z4:Z27" xr:uid="{9609F791-4631-44B4-8DCC-8B610AFC1528}">
      <formula1>Type_Ticket</formula1>
    </dataValidation>
  </dataValidations>
  <pageMargins left="0.7" right="0.7" top="0.75" bottom="0.75" header="0.3" footer="0.3"/>
  <pageSetup paperSize="9" orientation="portrait"/>
  <headerFooter>
    <oddFooter>&amp;L&amp;1#&amp;"Tahoma"&amp;9&amp;KCF022BC2 – Usage restreint</oddFooter>
  </headerFooter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B2:C4"/>
  <sheetViews>
    <sheetView workbookViewId="0"/>
  </sheetViews>
  <sheetFormatPr baseColWidth="10" defaultColWidth="11.42578125" defaultRowHeight="15" x14ac:dyDescent="0.25"/>
  <cols>
    <col min="2" max="2" bestFit="1" width="30.28515625" customWidth="1"/>
  </cols>
  <sheetData>
    <row r="2">
      <c r="B2" s="0" t="s">
        <v>265</v>
      </c>
      <c r="C2" s="0" t="s">
        <v>31</v>
      </c>
    </row>
    <row r="3">
      <c r="B3" s="16" t="s">
        <v>266</v>
      </c>
      <c r="C3" s="0">
        <v>3</v>
      </c>
    </row>
    <row r="4">
      <c r="B4" s="0" t="s">
        <v>267</v>
      </c>
      <c r="C4" s="0">
        <v>3</v>
      </c>
    </row>
  </sheetData>
  <pageMargins left="0.7" right="0.7" top="0.75" bottom="0.75" header="0.3" footer="0.3"/>
  <pageSetup paperSize="9" orientation="portrait"/>
  <headerFooter>
    <oddFooter>&amp;L&amp;1#&amp;"Tahoma"&amp;9&amp;KCF022BC2 – Usage restreint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A34"/>
  <sheetViews>
    <sheetView workbookViewId="0">
      <selection activeCell="A32" sqref="A32"/>
    </sheetView>
  </sheetViews>
  <sheetFormatPr baseColWidth="10" defaultColWidth="11.42578125" defaultRowHeight="15" x14ac:dyDescent="0.25"/>
  <cols>
    <col min="1" max="1" bestFit="1" width="21" customWidth="1"/>
  </cols>
  <sheetData>
    <row r="1">
      <c r="A1" s="72" t="s">
        <v>268</v>
      </c>
    </row>
    <row r="2">
      <c r="A2" s="7" t="s">
        <v>129</v>
      </c>
    </row>
    <row r="3">
      <c r="A3" s="7" t="s">
        <v>255</v>
      </c>
    </row>
    <row r="5">
      <c r="A5" s="72" t="s">
        <v>269</v>
      </c>
    </row>
    <row r="6">
      <c r="A6" s="7" t="s">
        <v>270</v>
      </c>
    </row>
    <row r="7">
      <c r="A7" s="7" t="s">
        <v>43</v>
      </c>
    </row>
    <row r="9">
      <c r="A9" s="72" t="s">
        <v>23</v>
      </c>
    </row>
    <row r="10">
      <c r="A10" s="7" t="s">
        <v>271</v>
      </c>
    </row>
    <row r="11">
      <c r="A11" s="7" t="s">
        <v>40</v>
      </c>
    </row>
    <row r="12">
      <c r="A12" s="7" t="s">
        <v>44</v>
      </c>
    </row>
    <row r="14">
      <c r="A14" s="72" t="s">
        <v>242</v>
      </c>
    </row>
    <row r="15">
      <c r="A15" s="7" t="s">
        <v>257</v>
      </c>
    </row>
    <row r="16">
      <c r="A16" s="7" t="s">
        <v>235</v>
      </c>
    </row>
    <row r="18">
      <c r="A18" s="72" t="s">
        <v>272</v>
      </c>
    </row>
    <row r="19">
      <c r="A19" s="7">
        <v>6</v>
      </c>
    </row>
    <row r="21">
      <c r="A21" s="72" t="s">
        <v>273</v>
      </c>
    </row>
    <row r="22">
      <c r="A22" s="7" t="str">
        <f ref="A22:A22" t="array">MID(CELL("nomfichier"),FIND("[",CELL("nomfichier"))+1,FIND("]",CELL("nomfichier"))-(FIND("[",CELL("nomfichier"))+1))</f>
        <v>CD13_PI08_S31-32.xlsx</v>
      </c>
    </row>
    <row r="23">
      <c r="A23" s="7" t="str">
        <f>MID(A22,FIND("S",A22),FIND(".",A22)-(FIND("S",A22)))</f>
        <v>S31-32</v>
      </c>
    </row>
    <row r="25">
      <c r="A25" s="72" t="s">
        <v>274</v>
      </c>
    </row>
    <row r="26">
      <c r="A26" s="7">
        <v>2023</v>
      </c>
    </row>
    <row r="28">
      <c r="A28" s="72" t="s">
        <v>275</v>
      </c>
    </row>
    <row r="29">
      <c r="A29" s="7" t="str">
        <f>MID(A22,FIND("S",A22)+1,2)</f>
        <v>31</v>
      </c>
    </row>
    <row r="31">
      <c r="A31" s="72" t="s">
        <v>276</v>
      </c>
    </row>
    <row r="32">
      <c r="A32" s="116">
        <f>7*A29+DATE(A26,1,3)-WEEKDAY(DATE(A26,1,3))-5</f>
        <v>45138</v>
      </c>
    </row>
    <row r="34">
      <c r="A34" s="0" t="s">
        <v>277</v>
      </c>
    </row>
  </sheetData>
  <pageMargins left="0.7" right="0.7" top="0.75" bottom="0.75" header="0.3" footer="0.3"/>
  <pageSetup paperSize="9" orientation="portrait"/>
  <headerFooter>
    <oddFooter>&amp;L&amp;1#&amp;"Tahoma"&amp;9&amp;KCF022BC2 –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5:H7"/>
  <sheetViews>
    <sheetView workbookViewId="0"/>
  </sheetViews>
  <sheetFormatPr baseColWidth="10" defaultColWidth="11.42578125" defaultRowHeight="15" x14ac:dyDescent="0.25"/>
  <cols>
    <col min="1" max="1" width="3.5703125" customWidth="1"/>
    <col min="2" max="2" width="13.7109375" customWidth="1"/>
    <col min="3" max="3" bestFit="1" width="4.7109375" customWidth="1"/>
    <col min="4" max="4" width="14.5703125" customWidth="1"/>
    <col min="5" max="5" bestFit="1" width="58.5703125" customWidth="1"/>
    <col min="7" max="7" width="15.28515625" customWidth="1"/>
    <col min="8" max="8" width="14.28515625" customWidth="1"/>
  </cols>
  <sheetData>
    <row r="5">
      <c r="B5" s="0" t="s">
        <v>278</v>
      </c>
      <c r="C5" s="0" t="s">
        <v>279</v>
      </c>
      <c r="D5" s="0" t="s">
        <v>280</v>
      </c>
      <c r="E5" s="0" t="s">
        <v>265</v>
      </c>
      <c r="F5" s="0" t="s">
        <v>281</v>
      </c>
      <c r="G5" s="0" t="s">
        <v>282</v>
      </c>
      <c r="H5" s="0" t="s">
        <v>283</v>
      </c>
    </row>
    <row r="6">
      <c r="B6" s="0" t="s">
        <v>105</v>
      </c>
      <c r="C6" s="0">
        <v>1041</v>
      </c>
      <c r="D6" s="0" t="s">
        <v>284</v>
      </c>
      <c r="E6" s="0" t="s">
        <v>285</v>
      </c>
      <c r="F6" s="3" t="s">
        <v>243</v>
      </c>
      <c r="G6" s="18">
        <v>43920</v>
      </c>
    </row>
    <row r="7">
      <c r="B7" s="0" t="s">
        <v>105</v>
      </c>
      <c r="C7" s="0">
        <v>1042</v>
      </c>
      <c r="D7" s="0" t="s">
        <v>284</v>
      </c>
      <c r="E7" s="0" t="s">
        <v>286</v>
      </c>
      <c r="F7" s="3" t="s">
        <v>243</v>
      </c>
      <c r="G7" s="18">
        <v>43920</v>
      </c>
    </row>
  </sheetData>
  <pageMargins left="0.7" right="0.7" top="0.75" bottom="0.75" header="0.3" footer="0.3"/>
  <pageSetup paperSize="9" orientation="portrait"/>
  <headerFooter>
    <oddFooter>&amp;L&amp;1#&amp;"Tahoma"&amp;9&amp;KCF022BC2 – Usage restreint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B375-6BEC-4793-87CF-75D35BBF4131}">
  <dimension ref="A1:H458"/>
  <sheetViews>
    <sheetView workbookViewId="0">
      <selection sqref="A1:H329"/>
    </sheetView>
  </sheetViews>
  <sheetFormatPr baseColWidth="10" defaultColWidth="11.42578125" defaultRowHeight="15" x14ac:dyDescent="0.25"/>
  <cols>
    <col min="1" max="1" bestFit="1" width="14.5703125" customWidth="1"/>
    <col min="2" max="2" bestFit="1" width="6" customWidth="1"/>
    <col min="3" max="3" bestFit="1" width="17.42578125" customWidth="1"/>
    <col min="4" max="4" bestFit="1" width="81.140625" customWidth="1"/>
    <col min="5" max="5" bestFit="1" width="8.7109375" customWidth="1"/>
    <col min="6" max="6" bestFit="1" width="64" customWidth="1"/>
    <col min="7" max="7" bestFit="1" width="9.42578125" customWidth="1"/>
    <col min="8" max="8" bestFit="1" width="81.140625" customWidth="1"/>
  </cols>
  <sheetData>
    <row r="1">
      <c r="A1" s="0" t="s">
        <v>287</v>
      </c>
      <c r="B1" s="0" t="s">
        <v>279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</row>
    <row r="2">
      <c r="A2" s="0" t="s">
        <v>294</v>
      </c>
      <c r="B2" s="0">
        <v>146</v>
      </c>
      <c r="C2" s="0" t="s">
        <v>236</v>
      </c>
      <c r="D2" s="0" t="s">
        <v>295</v>
      </c>
      <c r="E2" s="0" t="s">
        <v>185</v>
      </c>
      <c r="F2" s="0" t="s">
        <v>296</v>
      </c>
      <c r="G2" s="0" t="s">
        <v>297</v>
      </c>
      <c r="H2" s="0" t="s">
        <v>185</v>
      </c>
    </row>
    <row r="3">
      <c r="A3" s="0" t="s">
        <v>294</v>
      </c>
      <c r="B3" s="0">
        <v>159</v>
      </c>
      <c r="C3" s="0" t="s">
        <v>236</v>
      </c>
      <c r="D3" s="0" t="s">
        <v>298</v>
      </c>
      <c r="E3" s="0" t="s">
        <v>185</v>
      </c>
      <c r="F3" s="0" t="s">
        <v>296</v>
      </c>
      <c r="G3" s="0" t="s">
        <v>297</v>
      </c>
      <c r="H3" s="0" t="s">
        <v>185</v>
      </c>
    </row>
    <row r="4">
      <c r="A4" s="0" t="s">
        <v>294</v>
      </c>
      <c r="B4" s="0">
        <v>160</v>
      </c>
      <c r="C4" s="0" t="s">
        <v>236</v>
      </c>
      <c r="D4" s="0" t="s">
        <v>299</v>
      </c>
      <c r="E4" s="0" t="s">
        <v>185</v>
      </c>
      <c r="F4" s="0" t="s">
        <v>296</v>
      </c>
      <c r="G4" s="0" t="s">
        <v>297</v>
      </c>
      <c r="H4" s="0" t="s">
        <v>185</v>
      </c>
    </row>
    <row r="5">
      <c r="A5" s="0" t="s">
        <v>294</v>
      </c>
      <c r="B5" s="0">
        <v>161</v>
      </c>
      <c r="C5" s="0" t="s">
        <v>236</v>
      </c>
      <c r="D5" s="0" t="s">
        <v>300</v>
      </c>
      <c r="E5" s="0" t="s">
        <v>185</v>
      </c>
      <c r="F5" s="0" t="s">
        <v>185</v>
      </c>
      <c r="G5" s="0" t="s">
        <v>297</v>
      </c>
      <c r="H5" s="0" t="s">
        <v>185</v>
      </c>
    </row>
    <row r="6">
      <c r="A6" s="0" t="s">
        <v>294</v>
      </c>
      <c r="B6" s="0">
        <v>162</v>
      </c>
      <c r="C6" s="0" t="s">
        <v>236</v>
      </c>
      <c r="D6" s="0" t="s">
        <v>301</v>
      </c>
      <c r="E6" s="0" t="s">
        <v>185</v>
      </c>
      <c r="F6" s="0" t="s">
        <v>185</v>
      </c>
      <c r="G6" s="0" t="s">
        <v>297</v>
      </c>
      <c r="H6" s="0" t="s">
        <v>185</v>
      </c>
    </row>
    <row r="7">
      <c r="A7" s="0" t="s">
        <v>294</v>
      </c>
      <c r="B7" s="0">
        <v>163</v>
      </c>
      <c r="C7" s="0" t="s">
        <v>236</v>
      </c>
      <c r="D7" s="0" t="s">
        <v>302</v>
      </c>
      <c r="E7" s="0" t="s">
        <v>185</v>
      </c>
      <c r="F7" s="0" t="s">
        <v>296</v>
      </c>
      <c r="G7" s="0" t="s">
        <v>303</v>
      </c>
      <c r="H7" s="0" t="s">
        <v>304</v>
      </c>
    </row>
    <row r="8">
      <c r="A8" s="0" t="s">
        <v>294</v>
      </c>
      <c r="B8" s="0">
        <v>164</v>
      </c>
      <c r="C8" s="0" t="s">
        <v>236</v>
      </c>
      <c r="D8" s="0" t="s">
        <v>305</v>
      </c>
      <c r="E8" s="0" t="s">
        <v>185</v>
      </c>
      <c r="F8" s="0" t="s">
        <v>296</v>
      </c>
      <c r="G8" s="0" t="s">
        <v>303</v>
      </c>
      <c r="H8" s="0" t="s">
        <v>306</v>
      </c>
    </row>
    <row r="9">
      <c r="A9" s="0" t="s">
        <v>294</v>
      </c>
      <c r="B9" s="0">
        <v>165</v>
      </c>
      <c r="C9" s="0" t="s">
        <v>236</v>
      </c>
      <c r="D9" s="0" t="s">
        <v>307</v>
      </c>
      <c r="E9" s="0" t="s">
        <v>185</v>
      </c>
      <c r="F9" s="0" t="s">
        <v>296</v>
      </c>
      <c r="G9" s="0" t="s">
        <v>303</v>
      </c>
      <c r="H9" s="0" t="s">
        <v>308</v>
      </c>
    </row>
    <row r="10">
      <c r="A10" s="0" t="s">
        <v>294</v>
      </c>
      <c r="B10" s="0">
        <v>167</v>
      </c>
      <c r="C10" s="0" t="s">
        <v>236</v>
      </c>
      <c r="D10" s="0" t="s">
        <v>309</v>
      </c>
      <c r="E10" s="0" t="s">
        <v>185</v>
      </c>
      <c r="F10" s="0" t="s">
        <v>185</v>
      </c>
      <c r="G10" s="0" t="s">
        <v>297</v>
      </c>
      <c r="H10" s="0" t="s">
        <v>310</v>
      </c>
    </row>
    <row r="11">
      <c r="A11" s="0" t="s">
        <v>294</v>
      </c>
      <c r="B11" s="0">
        <v>174</v>
      </c>
      <c r="C11" s="0" t="s">
        <v>236</v>
      </c>
      <c r="D11" s="0" t="s">
        <v>311</v>
      </c>
      <c r="E11" s="0" t="s">
        <v>185</v>
      </c>
      <c r="F11" s="0" t="s">
        <v>185</v>
      </c>
      <c r="G11" s="0" t="s">
        <v>297</v>
      </c>
      <c r="H11" s="0" t="s">
        <v>312</v>
      </c>
    </row>
    <row r="12">
      <c r="A12" s="0" t="s">
        <v>294</v>
      </c>
      <c r="B12" s="0">
        <v>179</v>
      </c>
      <c r="C12" s="0" t="s">
        <v>236</v>
      </c>
      <c r="D12" s="0" t="s">
        <v>313</v>
      </c>
      <c r="E12" s="0" t="s">
        <v>185</v>
      </c>
      <c r="F12" s="0" t="s">
        <v>185</v>
      </c>
      <c r="G12" s="0" t="s">
        <v>297</v>
      </c>
      <c r="H12" s="0" t="s">
        <v>185</v>
      </c>
    </row>
    <row r="13">
      <c r="A13" s="0" t="s">
        <v>294</v>
      </c>
      <c r="B13" s="0">
        <v>201</v>
      </c>
      <c r="C13" s="0" t="s">
        <v>236</v>
      </c>
      <c r="D13" s="0" t="s">
        <v>314</v>
      </c>
      <c r="E13" s="0" t="s">
        <v>185</v>
      </c>
      <c r="F13" s="0" t="s">
        <v>315</v>
      </c>
      <c r="G13" s="0" t="s">
        <v>303</v>
      </c>
      <c r="H13" s="0" t="s">
        <v>185</v>
      </c>
    </row>
    <row r="14">
      <c r="A14" s="0" t="s">
        <v>294</v>
      </c>
      <c r="B14" s="0">
        <v>202</v>
      </c>
      <c r="C14" s="0" t="s">
        <v>236</v>
      </c>
      <c r="D14" s="0" t="s">
        <v>316</v>
      </c>
      <c r="E14" s="0" t="s">
        <v>185</v>
      </c>
      <c r="F14" s="0" t="s">
        <v>315</v>
      </c>
      <c r="G14" s="0" t="s">
        <v>303</v>
      </c>
      <c r="H14" s="0" t="s">
        <v>185</v>
      </c>
    </row>
    <row r="15">
      <c r="A15" s="0" t="s">
        <v>294</v>
      </c>
      <c r="B15" s="0">
        <v>204</v>
      </c>
      <c r="C15" s="0" t="s">
        <v>236</v>
      </c>
      <c r="D15" s="0" t="s">
        <v>317</v>
      </c>
      <c r="E15" s="0" t="s">
        <v>185</v>
      </c>
      <c r="F15" s="0" t="s">
        <v>315</v>
      </c>
      <c r="G15" s="0" t="s">
        <v>303</v>
      </c>
      <c r="H15" s="0" t="s">
        <v>185</v>
      </c>
    </row>
    <row r="16">
      <c r="A16" s="0" t="s">
        <v>318</v>
      </c>
      <c r="B16" s="0">
        <v>582</v>
      </c>
      <c r="C16" s="0" t="s">
        <v>236</v>
      </c>
      <c r="D16" s="0" t="s">
        <v>319</v>
      </c>
      <c r="E16" s="0" t="s">
        <v>185</v>
      </c>
      <c r="F16" s="0" t="s">
        <v>185</v>
      </c>
      <c r="G16" s="0" t="s">
        <v>297</v>
      </c>
      <c r="H16" s="0" t="s">
        <v>185</v>
      </c>
    </row>
    <row r="17">
      <c r="A17" s="0" t="s">
        <v>318</v>
      </c>
      <c r="B17" s="0">
        <v>621</v>
      </c>
      <c r="C17" s="0" t="s">
        <v>236</v>
      </c>
      <c r="D17" s="0" t="s">
        <v>320</v>
      </c>
      <c r="E17" s="0" t="s">
        <v>185</v>
      </c>
      <c r="F17" s="0" t="s">
        <v>185</v>
      </c>
      <c r="G17" s="0" t="s">
        <v>297</v>
      </c>
      <c r="H17" s="0" t="s">
        <v>185</v>
      </c>
    </row>
    <row r="18">
      <c r="A18" s="0" t="s">
        <v>318</v>
      </c>
      <c r="B18" s="0">
        <v>653</v>
      </c>
      <c r="C18" s="0" t="s">
        <v>236</v>
      </c>
      <c r="D18" s="0" t="s">
        <v>321</v>
      </c>
      <c r="E18" s="0" t="s">
        <v>185</v>
      </c>
      <c r="F18" s="0" t="s">
        <v>185</v>
      </c>
      <c r="G18" s="0" t="s">
        <v>297</v>
      </c>
      <c r="H18" s="0" t="s">
        <v>185</v>
      </c>
    </row>
    <row r="19">
      <c r="A19" s="0" t="s">
        <v>318</v>
      </c>
      <c r="B19" s="0">
        <v>654</v>
      </c>
      <c r="C19" s="0" t="s">
        <v>236</v>
      </c>
      <c r="D19" s="0" t="s">
        <v>322</v>
      </c>
      <c r="E19" s="0" t="s">
        <v>185</v>
      </c>
      <c r="F19" s="0" t="s">
        <v>185</v>
      </c>
      <c r="G19" s="0" t="s">
        <v>297</v>
      </c>
      <c r="H19" s="0" t="s">
        <v>185</v>
      </c>
    </row>
    <row r="20">
      <c r="A20" s="0" t="s">
        <v>318</v>
      </c>
      <c r="B20" s="0">
        <v>655</v>
      </c>
      <c r="C20" s="0" t="s">
        <v>236</v>
      </c>
      <c r="D20" s="0" t="s">
        <v>323</v>
      </c>
      <c r="E20" s="0" t="s">
        <v>185</v>
      </c>
      <c r="F20" s="0" t="s">
        <v>185</v>
      </c>
      <c r="G20" s="0" t="s">
        <v>297</v>
      </c>
      <c r="H20" s="0" t="s">
        <v>185</v>
      </c>
    </row>
    <row r="21">
      <c r="A21" s="0" t="s">
        <v>318</v>
      </c>
      <c r="B21" s="0">
        <v>656</v>
      </c>
      <c r="C21" s="0" t="s">
        <v>236</v>
      </c>
      <c r="D21" s="0" t="s">
        <v>324</v>
      </c>
      <c r="E21" s="0" t="s">
        <v>185</v>
      </c>
      <c r="F21" s="0" t="s">
        <v>185</v>
      </c>
      <c r="G21" s="0" t="s">
        <v>297</v>
      </c>
      <c r="H21" s="0" t="s">
        <v>185</v>
      </c>
    </row>
    <row r="22">
      <c r="A22" s="0" t="s">
        <v>318</v>
      </c>
      <c r="B22" s="0">
        <v>657</v>
      </c>
      <c r="C22" s="0" t="s">
        <v>236</v>
      </c>
      <c r="D22" s="0" t="s">
        <v>325</v>
      </c>
      <c r="E22" s="0" t="s">
        <v>185</v>
      </c>
      <c r="F22" s="0" t="s">
        <v>185</v>
      </c>
      <c r="G22" s="0" t="s">
        <v>297</v>
      </c>
      <c r="H22" s="0" t="s">
        <v>185</v>
      </c>
    </row>
    <row r="23">
      <c r="A23" s="0" t="s">
        <v>326</v>
      </c>
      <c r="B23" s="0">
        <v>913</v>
      </c>
      <c r="C23" s="0" t="s">
        <v>236</v>
      </c>
      <c r="D23" s="0" t="s">
        <v>327</v>
      </c>
      <c r="E23" s="0" t="s">
        <v>185</v>
      </c>
      <c r="F23" s="0" t="s">
        <v>328</v>
      </c>
      <c r="G23" s="0" t="s">
        <v>329</v>
      </c>
      <c r="H23" s="0" t="s">
        <v>185</v>
      </c>
    </row>
    <row r="24">
      <c r="A24" s="0" t="s">
        <v>326</v>
      </c>
      <c r="B24" s="0">
        <v>914</v>
      </c>
      <c r="C24" s="0" t="s">
        <v>236</v>
      </c>
      <c r="D24" s="0" t="s">
        <v>330</v>
      </c>
      <c r="E24" s="0" t="s">
        <v>185</v>
      </c>
      <c r="F24" s="0" t="s">
        <v>331</v>
      </c>
      <c r="G24" s="0" t="s">
        <v>329</v>
      </c>
      <c r="H24" s="0" t="s">
        <v>185</v>
      </c>
    </row>
    <row r="25">
      <c r="A25" s="0" t="s">
        <v>326</v>
      </c>
      <c r="B25" s="0">
        <v>915</v>
      </c>
      <c r="C25" s="0" t="s">
        <v>236</v>
      </c>
      <c r="D25" s="0" t="s">
        <v>332</v>
      </c>
      <c r="E25" s="0" t="s">
        <v>185</v>
      </c>
      <c r="F25" s="0" t="s">
        <v>328</v>
      </c>
      <c r="G25" s="0" t="s">
        <v>329</v>
      </c>
      <c r="H25" s="0" t="s">
        <v>185</v>
      </c>
    </row>
    <row r="26">
      <c r="A26" s="0" t="s">
        <v>326</v>
      </c>
      <c r="B26" s="0">
        <v>1057</v>
      </c>
      <c r="C26" s="0" t="s">
        <v>236</v>
      </c>
      <c r="D26" s="0" t="s">
        <v>333</v>
      </c>
      <c r="E26" s="0" t="s">
        <v>185</v>
      </c>
      <c r="F26" s="0" t="s">
        <v>334</v>
      </c>
      <c r="G26" s="0" t="s">
        <v>329</v>
      </c>
      <c r="H26" s="0" t="s">
        <v>185</v>
      </c>
    </row>
    <row r="27">
      <c r="A27" s="0" t="s">
        <v>326</v>
      </c>
      <c r="B27" s="0">
        <v>1058</v>
      </c>
      <c r="C27" s="0" t="s">
        <v>236</v>
      </c>
      <c r="D27" s="0" t="s">
        <v>335</v>
      </c>
      <c r="E27" s="0" t="s">
        <v>185</v>
      </c>
      <c r="F27" s="0" t="s">
        <v>334</v>
      </c>
      <c r="G27" s="0" t="s">
        <v>329</v>
      </c>
      <c r="H27" s="0" t="s">
        <v>185</v>
      </c>
    </row>
    <row r="28">
      <c r="A28" s="0" t="s">
        <v>326</v>
      </c>
      <c r="B28" s="0">
        <v>1059</v>
      </c>
      <c r="C28" s="0" t="s">
        <v>236</v>
      </c>
      <c r="D28" s="0" t="s">
        <v>336</v>
      </c>
      <c r="E28" s="0" t="s">
        <v>185</v>
      </c>
      <c r="F28" s="0" t="s">
        <v>334</v>
      </c>
      <c r="G28" s="0" t="s">
        <v>329</v>
      </c>
      <c r="H28" s="0" t="s">
        <v>185</v>
      </c>
    </row>
    <row r="29">
      <c r="A29" s="0" t="s">
        <v>326</v>
      </c>
      <c r="B29" s="0">
        <v>1109</v>
      </c>
      <c r="C29" s="0" t="s">
        <v>236</v>
      </c>
      <c r="D29" s="0" t="s">
        <v>337</v>
      </c>
      <c r="E29" s="0" t="s">
        <v>185</v>
      </c>
      <c r="F29" s="0" t="s">
        <v>331</v>
      </c>
      <c r="G29" s="0" t="s">
        <v>329</v>
      </c>
      <c r="H29" s="0" t="s">
        <v>185</v>
      </c>
    </row>
    <row r="30">
      <c r="A30" s="0" t="s">
        <v>326</v>
      </c>
      <c r="B30" s="0">
        <v>1110</v>
      </c>
      <c r="C30" s="0" t="s">
        <v>236</v>
      </c>
      <c r="D30" s="0" t="s">
        <v>338</v>
      </c>
      <c r="E30" s="0" t="s">
        <v>185</v>
      </c>
      <c r="F30" s="0" t="s">
        <v>328</v>
      </c>
      <c r="G30" s="0" t="s">
        <v>329</v>
      </c>
      <c r="H30" s="0" t="s">
        <v>185</v>
      </c>
    </row>
    <row r="31">
      <c r="A31" s="0" t="s">
        <v>326</v>
      </c>
      <c r="B31" s="0">
        <v>1143</v>
      </c>
      <c r="C31" s="0" t="s">
        <v>236</v>
      </c>
      <c r="D31" s="0" t="s">
        <v>339</v>
      </c>
      <c r="E31" s="0" t="s">
        <v>185</v>
      </c>
      <c r="F31" s="0" t="s">
        <v>331</v>
      </c>
      <c r="G31" s="0" t="s">
        <v>329</v>
      </c>
      <c r="H31" s="0" t="s">
        <v>185</v>
      </c>
    </row>
    <row r="32">
      <c r="A32" s="0" t="s">
        <v>326</v>
      </c>
      <c r="B32" s="0">
        <v>1144</v>
      </c>
      <c r="C32" s="0" t="s">
        <v>236</v>
      </c>
      <c r="D32" s="0" t="s">
        <v>340</v>
      </c>
      <c r="E32" s="0" t="s">
        <v>185</v>
      </c>
      <c r="F32" s="0" t="s">
        <v>328</v>
      </c>
      <c r="G32" s="0" t="s">
        <v>329</v>
      </c>
      <c r="H32" s="0" t="s">
        <v>185</v>
      </c>
    </row>
    <row r="33">
      <c r="A33" s="0" t="s">
        <v>326</v>
      </c>
      <c r="B33" s="0">
        <v>1163</v>
      </c>
      <c r="C33" s="0" t="s">
        <v>236</v>
      </c>
      <c r="D33" s="0" t="s">
        <v>341</v>
      </c>
      <c r="E33" s="0" t="s">
        <v>185</v>
      </c>
      <c r="F33" s="0" t="s">
        <v>334</v>
      </c>
      <c r="G33" s="0" t="s">
        <v>329</v>
      </c>
      <c r="H33" s="0" t="s">
        <v>185</v>
      </c>
    </row>
    <row r="34">
      <c r="A34" s="0" t="s">
        <v>326</v>
      </c>
      <c r="B34" s="0">
        <v>1171</v>
      </c>
      <c r="C34" s="0" t="s">
        <v>236</v>
      </c>
      <c r="D34" s="0" t="s">
        <v>342</v>
      </c>
      <c r="E34" s="0" t="s">
        <v>185</v>
      </c>
      <c r="F34" s="0" t="s">
        <v>334</v>
      </c>
      <c r="G34" s="0" t="s">
        <v>329</v>
      </c>
      <c r="H34" s="0" t="s">
        <v>185</v>
      </c>
    </row>
    <row r="35">
      <c r="A35" s="0" t="s">
        <v>105</v>
      </c>
      <c r="B35" s="0">
        <v>1195</v>
      </c>
      <c r="C35" s="0" t="s">
        <v>236</v>
      </c>
      <c r="D35" s="0" t="s">
        <v>343</v>
      </c>
      <c r="E35" s="0" t="s">
        <v>185</v>
      </c>
      <c r="F35" s="0" t="s">
        <v>344</v>
      </c>
      <c r="G35" s="0" t="s">
        <v>329</v>
      </c>
      <c r="H35" s="0" t="s">
        <v>185</v>
      </c>
    </row>
    <row r="36">
      <c r="A36" s="0" t="s">
        <v>105</v>
      </c>
      <c r="B36" s="0">
        <v>1196</v>
      </c>
      <c r="C36" s="0" t="s">
        <v>236</v>
      </c>
      <c r="D36" s="0" t="s">
        <v>345</v>
      </c>
      <c r="E36" s="0" t="s">
        <v>185</v>
      </c>
      <c r="F36" s="0" t="s">
        <v>344</v>
      </c>
      <c r="G36" s="0" t="s">
        <v>329</v>
      </c>
      <c r="H36" s="0" t="s">
        <v>185</v>
      </c>
    </row>
    <row r="37">
      <c r="A37" s="0" t="s">
        <v>326</v>
      </c>
      <c r="B37" s="0">
        <v>1423</v>
      </c>
      <c r="C37" s="0" t="s">
        <v>236</v>
      </c>
      <c r="D37" s="0" t="s">
        <v>346</v>
      </c>
      <c r="E37" s="0" t="s">
        <v>185</v>
      </c>
      <c r="F37" s="0" t="s">
        <v>347</v>
      </c>
      <c r="G37" s="0" t="s">
        <v>329</v>
      </c>
      <c r="H37" s="0" t="s">
        <v>185</v>
      </c>
    </row>
    <row r="38">
      <c r="A38" s="0" t="s">
        <v>326</v>
      </c>
      <c r="B38" s="0">
        <v>1463</v>
      </c>
      <c r="C38" s="0" t="s">
        <v>236</v>
      </c>
      <c r="D38" s="0" t="s">
        <v>348</v>
      </c>
      <c r="E38" s="0" t="s">
        <v>185</v>
      </c>
      <c r="F38" s="0" t="s">
        <v>328</v>
      </c>
      <c r="G38" s="0" t="s">
        <v>329</v>
      </c>
      <c r="H38" s="0" t="s">
        <v>185</v>
      </c>
    </row>
    <row r="39">
      <c r="A39" s="0" t="s">
        <v>326</v>
      </c>
      <c r="B39" s="0">
        <v>1464</v>
      </c>
      <c r="C39" s="0" t="s">
        <v>236</v>
      </c>
      <c r="D39" s="0" t="s">
        <v>349</v>
      </c>
      <c r="E39" s="0" t="s">
        <v>185</v>
      </c>
      <c r="F39" s="0" t="s">
        <v>185</v>
      </c>
      <c r="G39" s="0" t="s">
        <v>297</v>
      </c>
      <c r="H39" s="0" t="s">
        <v>185</v>
      </c>
    </row>
    <row r="40">
      <c r="A40" s="0" t="s">
        <v>326</v>
      </c>
      <c r="B40" s="0">
        <v>1533</v>
      </c>
      <c r="C40" s="0" t="s">
        <v>236</v>
      </c>
      <c r="D40" s="0" t="s">
        <v>350</v>
      </c>
      <c r="E40" s="0" t="s">
        <v>185</v>
      </c>
      <c r="F40" s="0" t="s">
        <v>185</v>
      </c>
      <c r="G40" s="0" t="s">
        <v>297</v>
      </c>
      <c r="H40" s="0" t="s">
        <v>185</v>
      </c>
    </row>
    <row r="41">
      <c r="A41" s="0" t="s">
        <v>351</v>
      </c>
      <c r="B41" s="0">
        <v>1608</v>
      </c>
      <c r="C41" s="0" t="s">
        <v>236</v>
      </c>
      <c r="D41" s="0" t="s">
        <v>352</v>
      </c>
      <c r="E41" s="0" t="s">
        <v>185</v>
      </c>
      <c r="F41" s="0" t="s">
        <v>185</v>
      </c>
      <c r="G41" s="0" t="s">
        <v>353</v>
      </c>
      <c r="H41" s="0" t="s">
        <v>185</v>
      </c>
    </row>
    <row r="42">
      <c r="A42" s="0" t="s">
        <v>354</v>
      </c>
      <c r="B42" s="0">
        <v>1666</v>
      </c>
      <c r="C42" s="0" t="s">
        <v>236</v>
      </c>
      <c r="D42" s="0" t="s">
        <v>355</v>
      </c>
      <c r="E42" s="0" t="s">
        <v>185</v>
      </c>
      <c r="F42" s="0" t="s">
        <v>185</v>
      </c>
      <c r="G42" s="0" t="s">
        <v>297</v>
      </c>
      <c r="H42" s="0" t="s">
        <v>185</v>
      </c>
    </row>
    <row r="43">
      <c r="A43" s="0" t="s">
        <v>356</v>
      </c>
      <c r="B43" s="0">
        <v>1847</v>
      </c>
      <c r="C43" s="0" t="s">
        <v>236</v>
      </c>
      <c r="D43" s="0" t="s">
        <v>357</v>
      </c>
      <c r="E43" s="0" t="s">
        <v>185</v>
      </c>
      <c r="F43" s="0" t="s">
        <v>328</v>
      </c>
      <c r="G43" s="0" t="s">
        <v>329</v>
      </c>
      <c r="H43" s="0" t="s">
        <v>358</v>
      </c>
    </row>
    <row r="44">
      <c r="A44" s="0" t="s">
        <v>356</v>
      </c>
      <c r="B44" s="0">
        <v>1849</v>
      </c>
      <c r="C44" s="0" t="s">
        <v>236</v>
      </c>
      <c r="D44" s="0" t="s">
        <v>359</v>
      </c>
      <c r="E44" s="0" t="s">
        <v>185</v>
      </c>
      <c r="F44" s="0" t="s">
        <v>328</v>
      </c>
      <c r="G44" s="0" t="s">
        <v>329</v>
      </c>
      <c r="H44" s="0" t="s">
        <v>358</v>
      </c>
    </row>
    <row r="45">
      <c r="A45" s="0" t="s">
        <v>356</v>
      </c>
      <c r="B45" s="0">
        <v>1850</v>
      </c>
      <c r="C45" s="0" t="s">
        <v>236</v>
      </c>
      <c r="D45" s="0" t="s">
        <v>360</v>
      </c>
      <c r="E45" s="0" t="s">
        <v>185</v>
      </c>
      <c r="F45" s="0" t="s">
        <v>328</v>
      </c>
      <c r="G45" s="0" t="s">
        <v>329</v>
      </c>
      <c r="H45" s="0" t="s">
        <v>358</v>
      </c>
    </row>
    <row r="46">
      <c r="A46" s="0" t="s">
        <v>361</v>
      </c>
      <c r="B46" s="0">
        <v>2039</v>
      </c>
      <c r="C46" s="0" t="s">
        <v>236</v>
      </c>
      <c r="D46" s="0" t="s">
        <v>362</v>
      </c>
      <c r="E46" s="0" t="s">
        <v>185</v>
      </c>
      <c r="F46" s="0" t="s">
        <v>328</v>
      </c>
      <c r="G46" s="0" t="s">
        <v>329</v>
      </c>
      <c r="H46" s="0" t="s">
        <v>358</v>
      </c>
    </row>
    <row r="47">
      <c r="A47" s="0" t="s">
        <v>361</v>
      </c>
      <c r="B47" s="0">
        <v>2040</v>
      </c>
      <c r="C47" s="0" t="s">
        <v>236</v>
      </c>
      <c r="D47" s="0" t="s">
        <v>363</v>
      </c>
      <c r="E47" s="0" t="s">
        <v>185</v>
      </c>
      <c r="F47" s="0" t="s">
        <v>185</v>
      </c>
      <c r="G47" s="0" t="s">
        <v>353</v>
      </c>
      <c r="H47" s="0" t="s">
        <v>364</v>
      </c>
    </row>
    <row r="48">
      <c r="A48" s="0" t="s">
        <v>326</v>
      </c>
      <c r="B48" s="0">
        <v>2103</v>
      </c>
      <c r="C48" s="0" t="s">
        <v>236</v>
      </c>
      <c r="D48" s="0" t="s">
        <v>365</v>
      </c>
      <c r="E48" s="0" t="s">
        <v>185</v>
      </c>
      <c r="F48" s="0" t="s">
        <v>366</v>
      </c>
      <c r="G48" s="0" t="s">
        <v>329</v>
      </c>
      <c r="H48" s="0" t="s">
        <v>185</v>
      </c>
    </row>
    <row r="49">
      <c r="A49" s="0" t="s">
        <v>356</v>
      </c>
      <c r="B49" s="0">
        <v>2381</v>
      </c>
      <c r="C49" s="0" t="s">
        <v>236</v>
      </c>
      <c r="D49" s="0" t="s">
        <v>367</v>
      </c>
      <c r="E49" s="0" t="s">
        <v>185</v>
      </c>
      <c r="F49" s="0" t="s">
        <v>328</v>
      </c>
      <c r="G49" s="0" t="s">
        <v>329</v>
      </c>
      <c r="H49" s="0" t="s">
        <v>185</v>
      </c>
    </row>
    <row r="50">
      <c r="A50" s="0" t="s">
        <v>326</v>
      </c>
      <c r="B50" s="0">
        <v>2435</v>
      </c>
      <c r="C50" s="0" t="s">
        <v>236</v>
      </c>
      <c r="D50" s="0" t="s">
        <v>368</v>
      </c>
      <c r="E50" s="0" t="s">
        <v>185</v>
      </c>
      <c r="F50" s="0" t="s">
        <v>334</v>
      </c>
      <c r="G50" s="0" t="s">
        <v>369</v>
      </c>
      <c r="H50" s="0" t="s">
        <v>185</v>
      </c>
    </row>
    <row r="51">
      <c r="A51" s="0" t="s">
        <v>326</v>
      </c>
      <c r="B51" s="0">
        <v>2519</v>
      </c>
      <c r="C51" s="0" t="s">
        <v>236</v>
      </c>
      <c r="D51" s="0" t="s">
        <v>370</v>
      </c>
      <c r="E51" s="0" t="s">
        <v>185</v>
      </c>
      <c r="F51" s="0" t="s">
        <v>334</v>
      </c>
      <c r="G51" s="0" t="s">
        <v>297</v>
      </c>
      <c r="H51" s="0" t="s">
        <v>185</v>
      </c>
    </row>
    <row r="52">
      <c r="A52" s="0" t="s">
        <v>361</v>
      </c>
      <c r="B52" s="0">
        <v>2521</v>
      </c>
      <c r="C52" s="0" t="s">
        <v>236</v>
      </c>
      <c r="D52" s="0" t="s">
        <v>371</v>
      </c>
      <c r="E52" s="0" t="s">
        <v>185</v>
      </c>
      <c r="F52" s="0" t="s">
        <v>328</v>
      </c>
      <c r="G52" s="0" t="s">
        <v>329</v>
      </c>
      <c r="H52" s="0" t="s">
        <v>185</v>
      </c>
    </row>
    <row r="53">
      <c r="A53" s="0" t="s">
        <v>361</v>
      </c>
      <c r="B53" s="0">
        <v>2522</v>
      </c>
      <c r="C53" s="0" t="s">
        <v>236</v>
      </c>
      <c r="D53" s="0" t="s">
        <v>372</v>
      </c>
      <c r="E53" s="0" t="s">
        <v>185</v>
      </c>
      <c r="F53" s="0" t="s">
        <v>328</v>
      </c>
      <c r="G53" s="0" t="s">
        <v>329</v>
      </c>
      <c r="H53" s="0" t="s">
        <v>185</v>
      </c>
    </row>
    <row r="54">
      <c r="A54" s="0" t="s">
        <v>361</v>
      </c>
      <c r="B54" s="0">
        <v>2523</v>
      </c>
      <c r="C54" s="0" t="s">
        <v>236</v>
      </c>
      <c r="D54" s="0" t="s">
        <v>373</v>
      </c>
      <c r="E54" s="0" t="s">
        <v>185</v>
      </c>
      <c r="F54" s="0" t="s">
        <v>328</v>
      </c>
      <c r="G54" s="0" t="s">
        <v>329</v>
      </c>
      <c r="H54" s="0" t="s">
        <v>185</v>
      </c>
    </row>
    <row r="55">
      <c r="A55" s="0" t="s">
        <v>361</v>
      </c>
      <c r="B55" s="0">
        <v>2524</v>
      </c>
      <c r="C55" s="0" t="s">
        <v>236</v>
      </c>
      <c r="D55" s="0" t="s">
        <v>374</v>
      </c>
      <c r="E55" s="0" t="s">
        <v>185</v>
      </c>
      <c r="F55" s="0" t="s">
        <v>328</v>
      </c>
      <c r="G55" s="0" t="s">
        <v>329</v>
      </c>
      <c r="H55" s="0" t="s">
        <v>185</v>
      </c>
    </row>
    <row r="56">
      <c r="A56" s="0" t="s">
        <v>375</v>
      </c>
      <c r="B56" s="0">
        <v>2614</v>
      </c>
      <c r="C56" s="0" t="s">
        <v>236</v>
      </c>
      <c r="D56" s="0" t="s">
        <v>376</v>
      </c>
      <c r="E56" s="0" t="s">
        <v>185</v>
      </c>
      <c r="F56" s="0" t="s">
        <v>377</v>
      </c>
      <c r="G56" s="0" t="s">
        <v>297</v>
      </c>
      <c r="H56" s="0" t="s">
        <v>185</v>
      </c>
    </row>
    <row r="57">
      <c r="A57" s="0" t="s">
        <v>375</v>
      </c>
      <c r="B57" s="0">
        <v>2617</v>
      </c>
      <c r="C57" s="0" t="s">
        <v>236</v>
      </c>
      <c r="D57" s="0" t="s">
        <v>378</v>
      </c>
      <c r="E57" s="0" t="s">
        <v>185</v>
      </c>
      <c r="F57" s="0" t="s">
        <v>377</v>
      </c>
      <c r="G57" s="0" t="s">
        <v>297</v>
      </c>
      <c r="H57" s="0" t="s">
        <v>185</v>
      </c>
    </row>
    <row r="58">
      <c r="A58" s="0" t="s">
        <v>375</v>
      </c>
      <c r="B58" s="0">
        <v>2618</v>
      </c>
      <c r="C58" s="0" t="s">
        <v>236</v>
      </c>
      <c r="D58" s="0" t="s">
        <v>379</v>
      </c>
      <c r="E58" s="0" t="s">
        <v>185</v>
      </c>
      <c r="F58" s="0" t="s">
        <v>377</v>
      </c>
      <c r="G58" s="0" t="s">
        <v>297</v>
      </c>
      <c r="H58" s="0" t="s">
        <v>185</v>
      </c>
    </row>
    <row r="59">
      <c r="A59" s="0" t="s">
        <v>361</v>
      </c>
      <c r="B59" s="0">
        <v>2620</v>
      </c>
      <c r="C59" s="0" t="s">
        <v>236</v>
      </c>
      <c r="D59" s="0" t="s">
        <v>380</v>
      </c>
      <c r="E59" s="0" t="s">
        <v>185</v>
      </c>
      <c r="F59" s="0" t="s">
        <v>328</v>
      </c>
      <c r="G59" s="0" t="s">
        <v>329</v>
      </c>
      <c r="H59" s="0" t="s">
        <v>185</v>
      </c>
    </row>
    <row r="60">
      <c r="A60" s="0" t="s">
        <v>361</v>
      </c>
      <c r="B60" s="0">
        <v>2621</v>
      </c>
      <c r="C60" s="0" t="s">
        <v>236</v>
      </c>
      <c r="D60" s="0" t="s">
        <v>381</v>
      </c>
      <c r="E60" s="0" t="s">
        <v>185</v>
      </c>
      <c r="F60" s="0" t="s">
        <v>328</v>
      </c>
      <c r="G60" s="0" t="s">
        <v>329</v>
      </c>
      <c r="H60" s="0" t="s">
        <v>185</v>
      </c>
    </row>
    <row r="61">
      <c r="A61" s="0" t="s">
        <v>375</v>
      </c>
      <c r="B61" s="0">
        <v>2660</v>
      </c>
      <c r="C61" s="0" t="s">
        <v>236</v>
      </c>
      <c r="D61" s="0" t="s">
        <v>382</v>
      </c>
      <c r="E61" s="0" t="s">
        <v>185</v>
      </c>
      <c r="F61" s="0" t="s">
        <v>377</v>
      </c>
      <c r="G61" s="0" t="s">
        <v>297</v>
      </c>
      <c r="H61" s="0" t="s">
        <v>185</v>
      </c>
    </row>
    <row r="62">
      <c r="A62" s="0" t="s">
        <v>361</v>
      </c>
      <c r="B62" s="0">
        <v>2661</v>
      </c>
      <c r="C62" s="0" t="s">
        <v>236</v>
      </c>
      <c r="D62" s="0" t="s">
        <v>383</v>
      </c>
      <c r="E62" s="0" t="s">
        <v>185</v>
      </c>
      <c r="F62" s="0" t="s">
        <v>328</v>
      </c>
      <c r="G62" s="0" t="s">
        <v>329</v>
      </c>
      <c r="H62" s="0" t="s">
        <v>185</v>
      </c>
    </row>
    <row r="63">
      <c r="A63" s="0" t="s">
        <v>384</v>
      </c>
      <c r="B63" s="0">
        <v>2695</v>
      </c>
      <c r="C63" s="0" t="s">
        <v>236</v>
      </c>
      <c r="D63" s="0" t="s">
        <v>385</v>
      </c>
      <c r="E63" s="0" t="s">
        <v>185</v>
      </c>
      <c r="F63" s="0" t="s">
        <v>328</v>
      </c>
      <c r="G63" s="0" t="s">
        <v>329</v>
      </c>
      <c r="H63" s="0" t="s">
        <v>185</v>
      </c>
    </row>
    <row r="64">
      <c r="A64" s="0" t="s">
        <v>384</v>
      </c>
      <c r="B64" s="0">
        <v>2704</v>
      </c>
      <c r="C64" s="0" t="s">
        <v>236</v>
      </c>
      <c r="D64" s="0" t="s">
        <v>386</v>
      </c>
      <c r="E64" s="0" t="s">
        <v>185</v>
      </c>
      <c r="F64" s="0" t="s">
        <v>328</v>
      </c>
      <c r="G64" s="0" t="s">
        <v>329</v>
      </c>
      <c r="H64" s="0" t="s">
        <v>185</v>
      </c>
    </row>
    <row r="65">
      <c r="A65" s="0" t="s">
        <v>375</v>
      </c>
      <c r="B65" s="0">
        <v>2707</v>
      </c>
      <c r="C65" s="0" t="s">
        <v>236</v>
      </c>
      <c r="D65" s="0" t="s">
        <v>387</v>
      </c>
      <c r="E65" s="0" t="s">
        <v>185</v>
      </c>
      <c r="F65" s="0" t="s">
        <v>377</v>
      </c>
      <c r="G65" s="0" t="s">
        <v>297</v>
      </c>
      <c r="H65" s="0" t="s">
        <v>185</v>
      </c>
    </row>
    <row r="66">
      <c r="A66" s="0" t="s">
        <v>375</v>
      </c>
      <c r="B66" s="0">
        <v>2708</v>
      </c>
      <c r="C66" s="0" t="s">
        <v>236</v>
      </c>
      <c r="D66" s="0" t="s">
        <v>388</v>
      </c>
      <c r="E66" s="0" t="s">
        <v>185</v>
      </c>
      <c r="F66" s="0" t="s">
        <v>377</v>
      </c>
      <c r="G66" s="0" t="s">
        <v>297</v>
      </c>
      <c r="H66" s="0" t="s">
        <v>185</v>
      </c>
    </row>
    <row r="67">
      <c r="A67" s="0" t="s">
        <v>375</v>
      </c>
      <c r="B67" s="0">
        <v>2709</v>
      </c>
      <c r="C67" s="0" t="s">
        <v>236</v>
      </c>
      <c r="D67" s="0" t="s">
        <v>389</v>
      </c>
      <c r="E67" s="0" t="s">
        <v>185</v>
      </c>
      <c r="F67" s="0" t="s">
        <v>377</v>
      </c>
      <c r="G67" s="0" t="s">
        <v>297</v>
      </c>
      <c r="H67" s="0" t="s">
        <v>185</v>
      </c>
    </row>
    <row r="68">
      <c r="A68" s="0" t="s">
        <v>375</v>
      </c>
      <c r="B68" s="0">
        <v>2710</v>
      </c>
      <c r="C68" s="0" t="s">
        <v>236</v>
      </c>
      <c r="D68" s="0" t="s">
        <v>390</v>
      </c>
      <c r="E68" s="0" t="s">
        <v>185</v>
      </c>
      <c r="F68" s="0" t="s">
        <v>377</v>
      </c>
      <c r="G68" s="0" t="s">
        <v>297</v>
      </c>
      <c r="H68" s="0" t="s">
        <v>185</v>
      </c>
    </row>
    <row r="69">
      <c r="A69" s="0" t="s">
        <v>375</v>
      </c>
      <c r="B69" s="0">
        <v>2861</v>
      </c>
      <c r="C69" s="0" t="s">
        <v>236</v>
      </c>
      <c r="D69" s="0" t="s">
        <v>391</v>
      </c>
      <c r="E69" s="0" t="s">
        <v>185</v>
      </c>
      <c r="F69" s="0" t="s">
        <v>377</v>
      </c>
      <c r="G69" s="0" t="s">
        <v>297</v>
      </c>
      <c r="H69" s="0" t="s">
        <v>185</v>
      </c>
    </row>
    <row r="70">
      <c r="A70" s="0" t="s">
        <v>361</v>
      </c>
      <c r="B70" s="0">
        <v>2869</v>
      </c>
      <c r="C70" s="0" t="s">
        <v>236</v>
      </c>
      <c r="D70" s="0" t="s">
        <v>392</v>
      </c>
      <c r="E70" s="0" t="s">
        <v>185</v>
      </c>
      <c r="F70" s="0" t="s">
        <v>185</v>
      </c>
      <c r="G70" s="0" t="s">
        <v>353</v>
      </c>
      <c r="H70" s="0" t="s">
        <v>364</v>
      </c>
    </row>
    <row r="71">
      <c r="A71" s="0" t="s">
        <v>326</v>
      </c>
      <c r="B71" s="0">
        <v>2873</v>
      </c>
      <c r="C71" s="0" t="s">
        <v>236</v>
      </c>
      <c r="D71" s="0" t="s">
        <v>393</v>
      </c>
      <c r="E71" s="0" t="s">
        <v>185</v>
      </c>
      <c r="F71" s="0" t="s">
        <v>334</v>
      </c>
      <c r="G71" s="0" t="s">
        <v>303</v>
      </c>
      <c r="H71" s="0" t="s">
        <v>185</v>
      </c>
    </row>
    <row r="72">
      <c r="A72" s="0" t="s">
        <v>326</v>
      </c>
      <c r="B72" s="0">
        <v>2875</v>
      </c>
      <c r="C72" s="0" t="s">
        <v>236</v>
      </c>
      <c r="D72" s="0" t="s">
        <v>394</v>
      </c>
      <c r="E72" s="0" t="s">
        <v>185</v>
      </c>
      <c r="F72" s="0" t="s">
        <v>344</v>
      </c>
      <c r="G72" s="0" t="s">
        <v>329</v>
      </c>
      <c r="H72" s="0" t="s">
        <v>185</v>
      </c>
    </row>
    <row r="73">
      <c r="A73" s="0" t="s">
        <v>395</v>
      </c>
      <c r="B73" s="0">
        <v>2878</v>
      </c>
      <c r="C73" s="0" t="s">
        <v>236</v>
      </c>
      <c r="D73" s="0" t="s">
        <v>396</v>
      </c>
      <c r="E73" s="0" t="s">
        <v>185</v>
      </c>
      <c r="F73" s="0" t="s">
        <v>328</v>
      </c>
      <c r="G73" s="0" t="s">
        <v>329</v>
      </c>
      <c r="H73" s="0" t="s">
        <v>185</v>
      </c>
    </row>
    <row r="74">
      <c r="A74" s="0" t="s">
        <v>375</v>
      </c>
      <c r="B74" s="0">
        <v>2907</v>
      </c>
      <c r="C74" s="0" t="s">
        <v>236</v>
      </c>
      <c r="D74" s="0" t="s">
        <v>397</v>
      </c>
      <c r="E74" s="0" t="s">
        <v>185</v>
      </c>
      <c r="F74" s="0" t="s">
        <v>377</v>
      </c>
      <c r="G74" s="0" t="s">
        <v>297</v>
      </c>
      <c r="H74" s="0" t="s">
        <v>185</v>
      </c>
    </row>
    <row r="75">
      <c r="A75" s="0" t="s">
        <v>375</v>
      </c>
      <c r="B75" s="0">
        <v>2919</v>
      </c>
      <c r="C75" s="0" t="s">
        <v>236</v>
      </c>
      <c r="D75" s="0" t="s">
        <v>398</v>
      </c>
      <c r="E75" s="0" t="s">
        <v>185</v>
      </c>
      <c r="F75" s="0" t="s">
        <v>377</v>
      </c>
      <c r="G75" s="0" t="s">
        <v>297</v>
      </c>
      <c r="H75" s="0" t="s">
        <v>185</v>
      </c>
    </row>
    <row r="76">
      <c r="A76" s="0" t="s">
        <v>375</v>
      </c>
      <c r="B76" s="0">
        <v>2921</v>
      </c>
      <c r="C76" s="0" t="s">
        <v>236</v>
      </c>
      <c r="D76" s="0" t="s">
        <v>399</v>
      </c>
      <c r="E76" s="0" t="s">
        <v>185</v>
      </c>
      <c r="F76" s="0" t="s">
        <v>377</v>
      </c>
      <c r="G76" s="0" t="s">
        <v>297</v>
      </c>
      <c r="H76" s="0" t="s">
        <v>185</v>
      </c>
    </row>
    <row r="77">
      <c r="A77" s="0" t="s">
        <v>375</v>
      </c>
      <c r="B77" s="0">
        <v>2922</v>
      </c>
      <c r="C77" s="0" t="s">
        <v>236</v>
      </c>
      <c r="D77" s="0" t="s">
        <v>400</v>
      </c>
      <c r="E77" s="0" t="s">
        <v>185</v>
      </c>
      <c r="F77" s="0" t="s">
        <v>377</v>
      </c>
      <c r="G77" s="0" t="s">
        <v>297</v>
      </c>
      <c r="H77" s="0" t="s">
        <v>185</v>
      </c>
    </row>
    <row r="78">
      <c r="A78" s="0" t="s">
        <v>375</v>
      </c>
      <c r="B78" s="0">
        <v>2942</v>
      </c>
      <c r="C78" s="0" t="s">
        <v>236</v>
      </c>
      <c r="D78" s="0" t="s">
        <v>401</v>
      </c>
      <c r="E78" s="0" t="s">
        <v>185</v>
      </c>
      <c r="F78" s="0" t="s">
        <v>377</v>
      </c>
      <c r="G78" s="0" t="s">
        <v>297</v>
      </c>
      <c r="H78" s="0" t="s">
        <v>185</v>
      </c>
    </row>
    <row r="79">
      <c r="A79" s="0" t="s">
        <v>402</v>
      </c>
      <c r="B79" s="0">
        <v>3021</v>
      </c>
      <c r="C79" s="0" t="s">
        <v>236</v>
      </c>
      <c r="D79" s="0" t="s">
        <v>403</v>
      </c>
      <c r="E79" s="0" t="s">
        <v>185</v>
      </c>
      <c r="F79" s="0" t="s">
        <v>328</v>
      </c>
      <c r="G79" s="0" t="s">
        <v>329</v>
      </c>
      <c r="H79" s="0" t="s">
        <v>185</v>
      </c>
    </row>
    <row r="80">
      <c r="A80" s="0" t="s">
        <v>48</v>
      </c>
      <c r="B80" s="0">
        <v>3104</v>
      </c>
      <c r="C80" s="0" t="s">
        <v>236</v>
      </c>
      <c r="D80" s="0" t="s">
        <v>404</v>
      </c>
      <c r="E80" s="0" t="s">
        <v>185</v>
      </c>
      <c r="F80" s="0" t="s">
        <v>328</v>
      </c>
      <c r="G80" s="0" t="s">
        <v>329</v>
      </c>
      <c r="H80" s="0" t="s">
        <v>185</v>
      </c>
    </row>
    <row r="81">
      <c r="A81" s="0" t="s">
        <v>405</v>
      </c>
      <c r="B81" s="0">
        <v>3116</v>
      </c>
      <c r="C81" s="0" t="s">
        <v>236</v>
      </c>
      <c r="D81" s="0" t="s">
        <v>406</v>
      </c>
      <c r="E81" s="0" t="s">
        <v>185</v>
      </c>
      <c r="F81" s="0" t="s">
        <v>328</v>
      </c>
      <c r="G81" s="0" t="s">
        <v>329</v>
      </c>
      <c r="H81" s="0" t="s">
        <v>185</v>
      </c>
    </row>
    <row r="82">
      <c r="A82" s="0" t="s">
        <v>407</v>
      </c>
      <c r="B82" s="0">
        <v>3118</v>
      </c>
      <c r="C82" s="0" t="s">
        <v>236</v>
      </c>
      <c r="D82" s="0" t="s">
        <v>406</v>
      </c>
      <c r="E82" s="0" t="s">
        <v>185</v>
      </c>
      <c r="F82" s="0" t="s">
        <v>328</v>
      </c>
      <c r="G82" s="0" t="s">
        <v>329</v>
      </c>
      <c r="H82" s="0" t="s">
        <v>185</v>
      </c>
    </row>
    <row r="83">
      <c r="A83" s="0" t="s">
        <v>375</v>
      </c>
      <c r="B83" s="0">
        <v>3137</v>
      </c>
      <c r="C83" s="0" t="s">
        <v>236</v>
      </c>
      <c r="D83" s="0" t="s">
        <v>408</v>
      </c>
      <c r="E83" s="0" t="s">
        <v>185</v>
      </c>
      <c r="F83" s="0" t="s">
        <v>377</v>
      </c>
      <c r="G83" s="0" t="s">
        <v>297</v>
      </c>
      <c r="H83" s="0" t="s">
        <v>185</v>
      </c>
    </row>
    <row r="84">
      <c r="A84" s="0" t="s">
        <v>409</v>
      </c>
      <c r="B84" s="0">
        <v>3188</v>
      </c>
      <c r="C84" s="0" t="s">
        <v>236</v>
      </c>
      <c r="D84" s="0" t="s">
        <v>410</v>
      </c>
      <c r="E84" s="0" t="s">
        <v>185</v>
      </c>
      <c r="F84" s="0" t="s">
        <v>411</v>
      </c>
      <c r="G84" s="0" t="s">
        <v>329</v>
      </c>
      <c r="H84" s="0" t="s">
        <v>185</v>
      </c>
    </row>
    <row r="85">
      <c r="A85" s="0" t="s">
        <v>412</v>
      </c>
      <c r="B85" s="0">
        <v>3258</v>
      </c>
      <c r="C85" s="0" t="s">
        <v>236</v>
      </c>
      <c r="D85" s="0" t="s">
        <v>413</v>
      </c>
      <c r="E85" s="0" t="s">
        <v>185</v>
      </c>
      <c r="F85" s="0" t="s">
        <v>328</v>
      </c>
      <c r="G85" s="0" t="s">
        <v>329</v>
      </c>
      <c r="H85" s="0" t="s">
        <v>414</v>
      </c>
    </row>
    <row r="86">
      <c r="A86" s="0" t="s">
        <v>412</v>
      </c>
      <c r="B86" s="0">
        <v>3260</v>
      </c>
      <c r="C86" s="0" t="s">
        <v>236</v>
      </c>
      <c r="D86" s="0" t="s">
        <v>415</v>
      </c>
      <c r="E86" s="0" t="s">
        <v>185</v>
      </c>
      <c r="F86" s="0" t="s">
        <v>328</v>
      </c>
      <c r="G86" s="0" t="s">
        <v>329</v>
      </c>
      <c r="H86" s="0" t="s">
        <v>358</v>
      </c>
    </row>
    <row r="87">
      <c r="A87" s="0" t="s">
        <v>412</v>
      </c>
      <c r="B87" s="0">
        <v>3261</v>
      </c>
      <c r="C87" s="0" t="s">
        <v>236</v>
      </c>
      <c r="D87" s="0" t="s">
        <v>416</v>
      </c>
      <c r="E87" s="0" t="s">
        <v>185</v>
      </c>
      <c r="F87" s="0" t="s">
        <v>328</v>
      </c>
      <c r="G87" s="0" t="s">
        <v>329</v>
      </c>
      <c r="H87" s="0" t="s">
        <v>358</v>
      </c>
    </row>
    <row r="88">
      <c r="A88" s="0" t="s">
        <v>412</v>
      </c>
      <c r="B88" s="0">
        <v>3262</v>
      </c>
      <c r="C88" s="0" t="s">
        <v>236</v>
      </c>
      <c r="D88" s="0" t="s">
        <v>417</v>
      </c>
      <c r="E88" s="0" t="s">
        <v>185</v>
      </c>
      <c r="F88" s="0" t="s">
        <v>328</v>
      </c>
      <c r="G88" s="0" t="s">
        <v>329</v>
      </c>
      <c r="H88" s="0" t="s">
        <v>418</v>
      </c>
    </row>
    <row r="89">
      <c r="A89" s="0" t="s">
        <v>412</v>
      </c>
      <c r="B89" s="0">
        <v>3282</v>
      </c>
      <c r="C89" s="0" t="s">
        <v>236</v>
      </c>
      <c r="D89" s="0" t="s">
        <v>419</v>
      </c>
      <c r="E89" s="0" t="s">
        <v>185</v>
      </c>
      <c r="F89" s="0" t="s">
        <v>328</v>
      </c>
      <c r="G89" s="0" t="s">
        <v>329</v>
      </c>
      <c r="H89" s="0" t="s">
        <v>358</v>
      </c>
    </row>
    <row r="90">
      <c r="A90" s="0" t="s">
        <v>72</v>
      </c>
      <c r="B90" s="0">
        <v>3333</v>
      </c>
      <c r="C90" s="0" t="s">
        <v>236</v>
      </c>
      <c r="D90" s="0" t="s">
        <v>420</v>
      </c>
      <c r="E90" s="0" t="s">
        <v>185</v>
      </c>
      <c r="F90" s="0" t="s">
        <v>328</v>
      </c>
      <c r="G90" s="0" t="s">
        <v>329</v>
      </c>
      <c r="H90" s="0" t="s">
        <v>185</v>
      </c>
    </row>
    <row r="91">
      <c r="A91" s="0" t="s">
        <v>351</v>
      </c>
      <c r="B91" s="0">
        <v>3346</v>
      </c>
      <c r="C91" s="0" t="s">
        <v>236</v>
      </c>
      <c r="D91" s="0" t="s">
        <v>421</v>
      </c>
      <c r="E91" s="0" t="s">
        <v>185</v>
      </c>
      <c r="F91" s="0" t="s">
        <v>328</v>
      </c>
      <c r="G91" s="0" t="s">
        <v>329</v>
      </c>
      <c r="H91" s="0" t="s">
        <v>185</v>
      </c>
    </row>
    <row r="92">
      <c r="A92" s="0" t="s">
        <v>48</v>
      </c>
      <c r="B92" s="0">
        <v>3380</v>
      </c>
      <c r="C92" s="0" t="s">
        <v>236</v>
      </c>
      <c r="D92" s="0" t="s">
        <v>422</v>
      </c>
      <c r="E92" s="0" t="s">
        <v>185</v>
      </c>
      <c r="F92" s="0" t="s">
        <v>328</v>
      </c>
      <c r="G92" s="0" t="s">
        <v>329</v>
      </c>
      <c r="H92" s="0" t="s">
        <v>185</v>
      </c>
    </row>
    <row r="93">
      <c r="A93" s="0" t="s">
        <v>423</v>
      </c>
      <c r="B93" s="0">
        <v>3474</v>
      </c>
      <c r="C93" s="0" t="s">
        <v>236</v>
      </c>
      <c r="D93" s="0" t="s">
        <v>424</v>
      </c>
      <c r="E93" s="0" t="s">
        <v>185</v>
      </c>
      <c r="F93" s="0" t="s">
        <v>185</v>
      </c>
      <c r="G93" s="0" t="s">
        <v>353</v>
      </c>
      <c r="H93" s="0" t="s">
        <v>185</v>
      </c>
    </row>
    <row r="94">
      <c r="A94" s="0" t="s">
        <v>425</v>
      </c>
      <c r="B94" s="0">
        <v>3478</v>
      </c>
      <c r="C94" s="0" t="s">
        <v>236</v>
      </c>
      <c r="D94" s="0" t="s">
        <v>426</v>
      </c>
      <c r="E94" s="0" t="s">
        <v>185</v>
      </c>
      <c r="F94" s="0" t="s">
        <v>427</v>
      </c>
      <c r="G94" s="0" t="s">
        <v>329</v>
      </c>
      <c r="H94" s="0" t="s">
        <v>185</v>
      </c>
    </row>
    <row r="95">
      <c r="A95" s="0" t="s">
        <v>48</v>
      </c>
      <c r="B95" s="0">
        <v>3480</v>
      </c>
      <c r="C95" s="0" t="s">
        <v>236</v>
      </c>
      <c r="D95" s="0" t="s">
        <v>428</v>
      </c>
      <c r="E95" s="0" t="s">
        <v>185</v>
      </c>
      <c r="F95" s="0" t="s">
        <v>328</v>
      </c>
      <c r="G95" s="0" t="s">
        <v>329</v>
      </c>
      <c r="H95" s="0" t="s">
        <v>185</v>
      </c>
    </row>
    <row r="96">
      <c r="A96" s="0" t="s">
        <v>48</v>
      </c>
      <c r="B96" s="0">
        <v>3481</v>
      </c>
      <c r="C96" s="0" t="s">
        <v>236</v>
      </c>
      <c r="D96" s="0" t="s">
        <v>429</v>
      </c>
      <c r="E96" s="0" t="s">
        <v>185</v>
      </c>
      <c r="F96" s="0" t="s">
        <v>328</v>
      </c>
      <c r="G96" s="0" t="s">
        <v>329</v>
      </c>
      <c r="H96" s="0" t="s">
        <v>185</v>
      </c>
    </row>
    <row r="97">
      <c r="A97" s="0" t="s">
        <v>430</v>
      </c>
      <c r="B97" s="0">
        <v>3483</v>
      </c>
      <c r="C97" s="0" t="s">
        <v>236</v>
      </c>
      <c r="D97" s="0" t="s">
        <v>431</v>
      </c>
      <c r="E97" s="0" t="s">
        <v>185</v>
      </c>
      <c r="F97" s="0" t="s">
        <v>328</v>
      </c>
      <c r="G97" s="0" t="s">
        <v>329</v>
      </c>
      <c r="H97" s="0" t="s">
        <v>185</v>
      </c>
    </row>
    <row r="98">
      <c r="A98" s="0" t="s">
        <v>351</v>
      </c>
      <c r="B98" s="0">
        <v>3488</v>
      </c>
      <c r="C98" s="0" t="s">
        <v>236</v>
      </c>
      <c r="D98" s="0" t="s">
        <v>432</v>
      </c>
      <c r="E98" s="0" t="s">
        <v>185</v>
      </c>
      <c r="F98" s="0" t="s">
        <v>328</v>
      </c>
      <c r="G98" s="0" t="s">
        <v>329</v>
      </c>
      <c r="H98" s="0" t="s">
        <v>185</v>
      </c>
    </row>
    <row r="99">
      <c r="A99" s="0" t="s">
        <v>351</v>
      </c>
      <c r="B99" s="0">
        <v>3489</v>
      </c>
      <c r="C99" s="0" t="s">
        <v>236</v>
      </c>
      <c r="D99" s="0" t="s">
        <v>433</v>
      </c>
      <c r="E99" s="0" t="s">
        <v>185</v>
      </c>
      <c r="F99" s="0" t="s">
        <v>328</v>
      </c>
      <c r="G99" s="0" t="s">
        <v>329</v>
      </c>
      <c r="H99" s="0" t="s">
        <v>185</v>
      </c>
    </row>
    <row r="100">
      <c r="A100" s="0" t="s">
        <v>434</v>
      </c>
      <c r="B100" s="0">
        <v>3513</v>
      </c>
      <c r="C100" s="0" t="s">
        <v>236</v>
      </c>
      <c r="D100" s="0" t="s">
        <v>435</v>
      </c>
      <c r="E100" s="0" t="s">
        <v>185</v>
      </c>
      <c r="F100" s="0" t="s">
        <v>328</v>
      </c>
      <c r="G100" s="0" t="s">
        <v>329</v>
      </c>
      <c r="H100" s="0" t="s">
        <v>185</v>
      </c>
    </row>
    <row r="101">
      <c r="A101" s="0" t="s">
        <v>434</v>
      </c>
      <c r="B101" s="0">
        <v>3514</v>
      </c>
      <c r="C101" s="0" t="s">
        <v>236</v>
      </c>
      <c r="D101" s="0" t="s">
        <v>436</v>
      </c>
      <c r="E101" s="0" t="s">
        <v>185</v>
      </c>
      <c r="F101" s="0" t="s">
        <v>328</v>
      </c>
      <c r="G101" s="0" t="s">
        <v>329</v>
      </c>
      <c r="H101" s="0" t="s">
        <v>185</v>
      </c>
    </row>
    <row r="102">
      <c r="A102" s="0" t="s">
        <v>434</v>
      </c>
      <c r="B102" s="0">
        <v>3515</v>
      </c>
      <c r="C102" s="0" t="s">
        <v>236</v>
      </c>
      <c r="D102" s="0" t="s">
        <v>437</v>
      </c>
      <c r="E102" s="0" t="s">
        <v>185</v>
      </c>
      <c r="F102" s="0" t="s">
        <v>328</v>
      </c>
      <c r="G102" s="0" t="s">
        <v>329</v>
      </c>
      <c r="H102" s="0" t="s">
        <v>438</v>
      </c>
    </row>
    <row r="103">
      <c r="A103" s="0" t="s">
        <v>439</v>
      </c>
      <c r="B103" s="0">
        <v>3516</v>
      </c>
      <c r="C103" s="0" t="s">
        <v>236</v>
      </c>
      <c r="D103" s="0" t="s">
        <v>440</v>
      </c>
      <c r="E103" s="0" t="s">
        <v>185</v>
      </c>
      <c r="F103" s="0" t="s">
        <v>328</v>
      </c>
      <c r="G103" s="0" t="s">
        <v>329</v>
      </c>
      <c r="H103" s="0" t="s">
        <v>185</v>
      </c>
    </row>
    <row r="104">
      <c r="A104" s="0" t="s">
        <v>439</v>
      </c>
      <c r="B104" s="0">
        <v>3517</v>
      </c>
      <c r="C104" s="0" t="s">
        <v>236</v>
      </c>
      <c r="D104" s="0" t="s">
        <v>441</v>
      </c>
      <c r="E104" s="0" t="s">
        <v>185</v>
      </c>
      <c r="F104" s="0" t="s">
        <v>185</v>
      </c>
      <c r="G104" s="0" t="s">
        <v>297</v>
      </c>
      <c r="H104" s="0" t="s">
        <v>185</v>
      </c>
    </row>
    <row r="105">
      <c r="A105" s="0" t="s">
        <v>439</v>
      </c>
      <c r="B105" s="0">
        <v>3518</v>
      </c>
      <c r="C105" s="0" t="s">
        <v>236</v>
      </c>
      <c r="D105" s="0" t="s">
        <v>442</v>
      </c>
      <c r="E105" s="0" t="s">
        <v>185</v>
      </c>
      <c r="F105" s="0" t="s">
        <v>185</v>
      </c>
      <c r="G105" s="0" t="s">
        <v>297</v>
      </c>
      <c r="H105" s="0" t="s">
        <v>185</v>
      </c>
    </row>
    <row r="106">
      <c r="A106" s="0" t="s">
        <v>439</v>
      </c>
      <c r="B106" s="0">
        <v>3519</v>
      </c>
      <c r="C106" s="0" t="s">
        <v>236</v>
      </c>
      <c r="D106" s="0" t="s">
        <v>443</v>
      </c>
      <c r="E106" s="0" t="s">
        <v>185</v>
      </c>
      <c r="F106" s="0" t="s">
        <v>328</v>
      </c>
      <c r="G106" s="0" t="s">
        <v>329</v>
      </c>
      <c r="H106" s="0" t="s">
        <v>185</v>
      </c>
    </row>
    <row r="107">
      <c r="A107" s="0" t="s">
        <v>444</v>
      </c>
      <c r="B107" s="0">
        <v>3520</v>
      </c>
      <c r="C107" s="0" t="s">
        <v>236</v>
      </c>
      <c r="D107" s="0" t="s">
        <v>445</v>
      </c>
      <c r="E107" s="0" t="s">
        <v>185</v>
      </c>
      <c r="F107" s="0" t="s">
        <v>185</v>
      </c>
      <c r="G107" s="0" t="s">
        <v>297</v>
      </c>
      <c r="H107" s="0" t="s">
        <v>185</v>
      </c>
    </row>
    <row r="108">
      <c r="A108" s="0" t="s">
        <v>444</v>
      </c>
      <c r="B108" s="0">
        <v>3521</v>
      </c>
      <c r="C108" s="0" t="s">
        <v>236</v>
      </c>
      <c r="D108" s="0" t="s">
        <v>441</v>
      </c>
      <c r="E108" s="0" t="s">
        <v>185</v>
      </c>
      <c r="F108" s="0" t="s">
        <v>185</v>
      </c>
      <c r="G108" s="0" t="s">
        <v>297</v>
      </c>
      <c r="H108" s="0" t="s">
        <v>185</v>
      </c>
    </row>
    <row r="109">
      <c r="A109" s="0" t="s">
        <v>444</v>
      </c>
      <c r="B109" s="0">
        <v>3522</v>
      </c>
      <c r="C109" s="0" t="s">
        <v>236</v>
      </c>
      <c r="D109" s="0" t="s">
        <v>446</v>
      </c>
      <c r="E109" s="0" t="s">
        <v>185</v>
      </c>
      <c r="F109" s="0" t="s">
        <v>185</v>
      </c>
      <c r="G109" s="0" t="s">
        <v>297</v>
      </c>
      <c r="H109" s="0" t="s">
        <v>185</v>
      </c>
    </row>
    <row r="110">
      <c r="A110" s="0" t="s">
        <v>444</v>
      </c>
      <c r="B110" s="0">
        <v>3523</v>
      </c>
      <c r="C110" s="0" t="s">
        <v>236</v>
      </c>
      <c r="D110" s="0" t="s">
        <v>447</v>
      </c>
      <c r="E110" s="0" t="s">
        <v>185</v>
      </c>
      <c r="F110" s="0" t="s">
        <v>185</v>
      </c>
      <c r="G110" s="0" t="s">
        <v>297</v>
      </c>
      <c r="H110" s="0" t="s">
        <v>185</v>
      </c>
    </row>
    <row r="111">
      <c r="A111" s="0" t="s">
        <v>444</v>
      </c>
      <c r="B111" s="0">
        <v>3524</v>
      </c>
      <c r="C111" s="0" t="s">
        <v>236</v>
      </c>
      <c r="D111" s="0" t="s">
        <v>448</v>
      </c>
      <c r="E111" s="0" t="s">
        <v>185</v>
      </c>
      <c r="F111" s="0" t="s">
        <v>328</v>
      </c>
      <c r="G111" s="0" t="s">
        <v>329</v>
      </c>
      <c r="H111" s="0" t="s">
        <v>185</v>
      </c>
    </row>
    <row r="112">
      <c r="A112" s="0" t="s">
        <v>444</v>
      </c>
      <c r="B112" s="0">
        <v>3525</v>
      </c>
      <c r="C112" s="0" t="s">
        <v>236</v>
      </c>
      <c r="D112" s="0" t="s">
        <v>449</v>
      </c>
      <c r="E112" s="0" t="s">
        <v>185</v>
      </c>
      <c r="F112" s="0" t="s">
        <v>328</v>
      </c>
      <c r="G112" s="0" t="s">
        <v>329</v>
      </c>
      <c r="H112" s="0" t="s">
        <v>185</v>
      </c>
    </row>
    <row r="113">
      <c r="A113" s="0" t="s">
        <v>444</v>
      </c>
      <c r="B113" s="0">
        <v>3526</v>
      </c>
      <c r="C113" s="0" t="s">
        <v>236</v>
      </c>
      <c r="D113" s="0" t="s">
        <v>450</v>
      </c>
      <c r="E113" s="0" t="s">
        <v>185</v>
      </c>
      <c r="F113" s="0" t="s">
        <v>328</v>
      </c>
      <c r="G113" s="0" t="s">
        <v>297</v>
      </c>
      <c r="H113" s="0" t="s">
        <v>185</v>
      </c>
    </row>
    <row r="114">
      <c r="A114" s="0" t="s">
        <v>434</v>
      </c>
      <c r="B114" s="0">
        <v>3527</v>
      </c>
      <c r="C114" s="0" t="s">
        <v>236</v>
      </c>
      <c r="D114" s="0" t="s">
        <v>451</v>
      </c>
      <c r="E114" s="0" t="s">
        <v>185</v>
      </c>
      <c r="F114" s="0" t="s">
        <v>185</v>
      </c>
      <c r="G114" s="0" t="s">
        <v>369</v>
      </c>
      <c r="H114" s="0" t="s">
        <v>185</v>
      </c>
    </row>
    <row r="115">
      <c r="A115" s="0" t="s">
        <v>434</v>
      </c>
      <c r="B115" s="0">
        <v>3529</v>
      </c>
      <c r="C115" s="0" t="s">
        <v>236</v>
      </c>
      <c r="D115" s="0" t="s">
        <v>452</v>
      </c>
      <c r="E115" s="0" t="s">
        <v>185</v>
      </c>
      <c r="F115" s="0" t="s">
        <v>185</v>
      </c>
      <c r="G115" s="0" t="s">
        <v>369</v>
      </c>
      <c r="H115" s="0" t="s">
        <v>185</v>
      </c>
    </row>
    <row r="116">
      <c r="A116" s="0" t="s">
        <v>434</v>
      </c>
      <c r="B116" s="0">
        <v>3530</v>
      </c>
      <c r="C116" s="0" t="s">
        <v>236</v>
      </c>
      <c r="D116" s="0" t="s">
        <v>453</v>
      </c>
      <c r="E116" s="0" t="s">
        <v>185</v>
      </c>
      <c r="F116" s="0" t="s">
        <v>411</v>
      </c>
      <c r="G116" s="0" t="s">
        <v>369</v>
      </c>
      <c r="H116" s="0" t="s">
        <v>185</v>
      </c>
    </row>
    <row r="117">
      <c r="A117" s="0" t="s">
        <v>434</v>
      </c>
      <c r="B117" s="0">
        <v>3531</v>
      </c>
      <c r="C117" s="0" t="s">
        <v>236</v>
      </c>
      <c r="D117" s="0" t="s">
        <v>454</v>
      </c>
      <c r="E117" s="0" t="s">
        <v>185</v>
      </c>
      <c r="F117" s="0" t="s">
        <v>185</v>
      </c>
      <c r="G117" s="0" t="s">
        <v>369</v>
      </c>
      <c r="H117" s="0" t="s">
        <v>185</v>
      </c>
    </row>
    <row r="118">
      <c r="A118" s="0" t="s">
        <v>434</v>
      </c>
      <c r="B118" s="0">
        <v>3532</v>
      </c>
      <c r="C118" s="0" t="s">
        <v>236</v>
      </c>
      <c r="D118" s="0" t="s">
        <v>455</v>
      </c>
      <c r="E118" s="0" t="s">
        <v>185</v>
      </c>
      <c r="F118" s="0" t="s">
        <v>185</v>
      </c>
      <c r="G118" s="0" t="s">
        <v>369</v>
      </c>
      <c r="H118" s="0" t="s">
        <v>185</v>
      </c>
    </row>
    <row r="119">
      <c r="A119" s="0" t="s">
        <v>434</v>
      </c>
      <c r="B119" s="0">
        <v>3533</v>
      </c>
      <c r="C119" s="0" t="s">
        <v>236</v>
      </c>
      <c r="D119" s="0" t="s">
        <v>456</v>
      </c>
      <c r="E119" s="0" t="s">
        <v>185</v>
      </c>
      <c r="F119" s="0" t="s">
        <v>185</v>
      </c>
      <c r="G119" s="0" t="s">
        <v>297</v>
      </c>
      <c r="H119" s="0" t="s">
        <v>185</v>
      </c>
    </row>
    <row r="120">
      <c r="A120" s="0" t="s">
        <v>434</v>
      </c>
      <c r="B120" s="0">
        <v>3534</v>
      </c>
      <c r="C120" s="0" t="s">
        <v>236</v>
      </c>
      <c r="D120" s="0" t="s">
        <v>457</v>
      </c>
      <c r="E120" s="0" t="s">
        <v>185</v>
      </c>
      <c r="F120" s="0" t="s">
        <v>185</v>
      </c>
      <c r="G120" s="0" t="s">
        <v>353</v>
      </c>
      <c r="H120" s="0" t="s">
        <v>185</v>
      </c>
    </row>
    <row r="121">
      <c r="A121" s="0" t="s">
        <v>434</v>
      </c>
      <c r="B121" s="0">
        <v>3535</v>
      </c>
      <c r="C121" s="0" t="s">
        <v>236</v>
      </c>
      <c r="D121" s="0" t="s">
        <v>458</v>
      </c>
      <c r="E121" s="0" t="s">
        <v>185</v>
      </c>
      <c r="F121" s="0" t="s">
        <v>328</v>
      </c>
      <c r="G121" s="0" t="s">
        <v>329</v>
      </c>
      <c r="H121" s="0" t="s">
        <v>185</v>
      </c>
    </row>
    <row r="122">
      <c r="A122" s="0" t="s">
        <v>434</v>
      </c>
      <c r="B122" s="0">
        <v>3538</v>
      </c>
      <c r="C122" s="0" t="s">
        <v>236</v>
      </c>
      <c r="D122" s="0" t="s">
        <v>459</v>
      </c>
      <c r="E122" s="0" t="s">
        <v>185</v>
      </c>
      <c r="F122" s="0" t="s">
        <v>185</v>
      </c>
      <c r="G122" s="0" t="s">
        <v>369</v>
      </c>
      <c r="H122" s="0" t="s">
        <v>185</v>
      </c>
    </row>
    <row r="123">
      <c r="A123" s="0" t="s">
        <v>444</v>
      </c>
      <c r="B123" s="0">
        <v>3541</v>
      </c>
      <c r="C123" s="0" t="s">
        <v>236</v>
      </c>
      <c r="D123" s="0" t="s">
        <v>460</v>
      </c>
      <c r="E123" s="0" t="s">
        <v>185</v>
      </c>
      <c r="F123" s="0" t="s">
        <v>185</v>
      </c>
      <c r="G123" s="0" t="s">
        <v>297</v>
      </c>
      <c r="H123" s="0" t="s">
        <v>185</v>
      </c>
    </row>
    <row r="124">
      <c r="A124" s="0" t="s">
        <v>425</v>
      </c>
      <c r="B124" s="0">
        <v>3544</v>
      </c>
      <c r="C124" s="0" t="s">
        <v>236</v>
      </c>
      <c r="D124" s="0" t="s">
        <v>461</v>
      </c>
      <c r="E124" s="0" t="s">
        <v>185</v>
      </c>
      <c r="F124" s="0" t="s">
        <v>331</v>
      </c>
      <c r="G124" s="0" t="s">
        <v>329</v>
      </c>
      <c r="H124" s="0" t="s">
        <v>185</v>
      </c>
    </row>
    <row r="125">
      <c r="A125" s="0" t="s">
        <v>425</v>
      </c>
      <c r="B125" s="0">
        <v>3545</v>
      </c>
      <c r="C125" s="0" t="s">
        <v>236</v>
      </c>
      <c r="D125" s="0" t="s">
        <v>185</v>
      </c>
      <c r="E125" s="0" t="s">
        <v>462</v>
      </c>
      <c r="F125" s="0" t="s">
        <v>328</v>
      </c>
      <c r="G125" s="0" t="s">
        <v>329</v>
      </c>
      <c r="H125" s="0" t="s">
        <v>185</v>
      </c>
    </row>
    <row r="126">
      <c r="A126" s="0" t="s">
        <v>434</v>
      </c>
      <c r="B126" s="0">
        <v>3568</v>
      </c>
      <c r="C126" s="0" t="s">
        <v>236</v>
      </c>
      <c r="D126" s="0" t="s">
        <v>463</v>
      </c>
      <c r="E126" s="0" t="s">
        <v>185</v>
      </c>
      <c r="F126" s="0" t="s">
        <v>328</v>
      </c>
      <c r="G126" s="0" t="s">
        <v>329</v>
      </c>
      <c r="H126" s="0" t="s">
        <v>185</v>
      </c>
    </row>
    <row r="127">
      <c r="A127" s="0" t="s">
        <v>434</v>
      </c>
      <c r="B127" s="0">
        <v>3571</v>
      </c>
      <c r="C127" s="0" t="s">
        <v>236</v>
      </c>
      <c r="D127" s="0" t="s">
        <v>464</v>
      </c>
      <c r="E127" s="0" t="s">
        <v>185</v>
      </c>
      <c r="F127" s="0" t="s">
        <v>328</v>
      </c>
      <c r="G127" s="0" t="s">
        <v>329</v>
      </c>
      <c r="H127" s="0" t="s">
        <v>185</v>
      </c>
    </row>
    <row r="128">
      <c r="A128" s="0" t="s">
        <v>395</v>
      </c>
      <c r="B128" s="0">
        <v>3651</v>
      </c>
      <c r="C128" s="0" t="s">
        <v>236</v>
      </c>
      <c r="D128" s="0" t="s">
        <v>465</v>
      </c>
      <c r="E128" s="0" t="s">
        <v>185</v>
      </c>
      <c r="F128" s="0" t="s">
        <v>328</v>
      </c>
      <c r="G128" s="0" t="s">
        <v>329</v>
      </c>
      <c r="H128" s="0" t="s">
        <v>185</v>
      </c>
    </row>
    <row r="129">
      <c r="A129" s="0" t="s">
        <v>72</v>
      </c>
      <c r="B129" s="0">
        <v>3680</v>
      </c>
      <c r="C129" s="0" t="s">
        <v>236</v>
      </c>
      <c r="D129" s="0" t="s">
        <v>466</v>
      </c>
      <c r="E129" s="0" t="s">
        <v>185</v>
      </c>
      <c r="F129" s="0" t="s">
        <v>328</v>
      </c>
      <c r="G129" s="0" t="s">
        <v>329</v>
      </c>
      <c r="H129" s="0" t="s">
        <v>185</v>
      </c>
    </row>
    <row r="130">
      <c r="A130" s="0" t="s">
        <v>434</v>
      </c>
      <c r="B130" s="0">
        <v>3690</v>
      </c>
      <c r="C130" s="0" t="s">
        <v>236</v>
      </c>
      <c r="D130" s="0" t="s">
        <v>467</v>
      </c>
      <c r="E130" s="0" t="s">
        <v>185</v>
      </c>
      <c r="F130" s="0" t="s">
        <v>328</v>
      </c>
      <c r="G130" s="0" t="s">
        <v>329</v>
      </c>
      <c r="H130" s="0" t="s">
        <v>185</v>
      </c>
    </row>
    <row r="131">
      <c r="A131" s="0" t="s">
        <v>468</v>
      </c>
      <c r="B131" s="0">
        <v>3691</v>
      </c>
      <c r="C131" s="0" t="s">
        <v>236</v>
      </c>
      <c r="D131" s="0" t="s">
        <v>469</v>
      </c>
      <c r="E131" s="0" t="s">
        <v>185</v>
      </c>
      <c r="F131" s="0" t="s">
        <v>328</v>
      </c>
      <c r="G131" s="0" t="s">
        <v>329</v>
      </c>
      <c r="H131" s="0" t="s">
        <v>185</v>
      </c>
    </row>
    <row r="132">
      <c r="A132" s="0" t="s">
        <v>434</v>
      </c>
      <c r="B132" s="0">
        <v>3743</v>
      </c>
      <c r="C132" s="0" t="s">
        <v>236</v>
      </c>
      <c r="D132" s="0" t="s">
        <v>470</v>
      </c>
      <c r="E132" s="0" t="s">
        <v>185</v>
      </c>
      <c r="F132" s="0" t="s">
        <v>411</v>
      </c>
      <c r="G132" s="0" t="s">
        <v>329</v>
      </c>
      <c r="H132" s="0" t="s">
        <v>185</v>
      </c>
    </row>
    <row r="133">
      <c r="A133" s="0" t="s">
        <v>471</v>
      </c>
      <c r="B133" s="0">
        <v>3744</v>
      </c>
      <c r="C133" s="0" t="s">
        <v>236</v>
      </c>
      <c r="D133" s="0" t="s">
        <v>472</v>
      </c>
      <c r="E133" s="0" t="s">
        <v>185</v>
      </c>
      <c r="F133" s="0" t="s">
        <v>328</v>
      </c>
      <c r="G133" s="0" t="s">
        <v>329</v>
      </c>
      <c r="H133" s="0" t="s">
        <v>185</v>
      </c>
    </row>
    <row r="134">
      <c r="A134" s="0" t="s">
        <v>471</v>
      </c>
      <c r="B134" s="0">
        <v>3745</v>
      </c>
      <c r="C134" s="0" t="s">
        <v>236</v>
      </c>
      <c r="D134" s="0" t="s">
        <v>473</v>
      </c>
      <c r="E134" s="0" t="s">
        <v>185</v>
      </c>
      <c r="F134" s="0" t="s">
        <v>474</v>
      </c>
      <c r="G134" s="0" t="s">
        <v>329</v>
      </c>
      <c r="H134" s="0" t="s">
        <v>185</v>
      </c>
    </row>
    <row r="135">
      <c r="A135" s="0" t="s">
        <v>471</v>
      </c>
      <c r="B135" s="0">
        <v>3746</v>
      </c>
      <c r="C135" s="0" t="s">
        <v>236</v>
      </c>
      <c r="D135" s="0" t="s">
        <v>475</v>
      </c>
      <c r="E135" s="0" t="s">
        <v>185</v>
      </c>
      <c r="F135" s="0" t="s">
        <v>328</v>
      </c>
      <c r="G135" s="0" t="s">
        <v>329</v>
      </c>
      <c r="H135" s="0" t="s">
        <v>185</v>
      </c>
    </row>
    <row r="136">
      <c r="A136" s="0" t="s">
        <v>468</v>
      </c>
      <c r="B136" s="0">
        <v>3816</v>
      </c>
      <c r="C136" s="0" t="s">
        <v>236</v>
      </c>
      <c r="D136" s="0" t="s">
        <v>476</v>
      </c>
      <c r="E136" s="0" t="s">
        <v>185</v>
      </c>
      <c r="F136" s="0" t="s">
        <v>328</v>
      </c>
      <c r="G136" s="0" t="s">
        <v>329</v>
      </c>
      <c r="H136" s="0" t="s">
        <v>185</v>
      </c>
    </row>
    <row r="137">
      <c r="A137" s="0" t="s">
        <v>434</v>
      </c>
      <c r="B137" s="0">
        <v>3831</v>
      </c>
      <c r="C137" s="0" t="s">
        <v>236</v>
      </c>
      <c r="D137" s="0" t="s">
        <v>477</v>
      </c>
      <c r="E137" s="0" t="s">
        <v>185</v>
      </c>
      <c r="F137" s="0" t="s">
        <v>328</v>
      </c>
      <c r="G137" s="0" t="s">
        <v>329</v>
      </c>
      <c r="H137" s="0" t="s">
        <v>185</v>
      </c>
    </row>
    <row r="138">
      <c r="A138" s="0" t="s">
        <v>48</v>
      </c>
      <c r="B138" s="0">
        <v>3833</v>
      </c>
      <c r="C138" s="0" t="s">
        <v>236</v>
      </c>
      <c r="D138" s="0" t="s">
        <v>478</v>
      </c>
      <c r="E138" s="0" t="s">
        <v>185</v>
      </c>
      <c r="F138" s="0" t="s">
        <v>328</v>
      </c>
      <c r="G138" s="0" t="s">
        <v>329</v>
      </c>
      <c r="H138" s="0" t="s">
        <v>185</v>
      </c>
    </row>
    <row r="139">
      <c r="A139" s="0" t="s">
        <v>55</v>
      </c>
      <c r="B139" s="0">
        <v>3837</v>
      </c>
      <c r="C139" s="0" t="s">
        <v>236</v>
      </c>
      <c r="D139" s="0" t="s">
        <v>479</v>
      </c>
      <c r="E139" s="0" t="s">
        <v>185</v>
      </c>
      <c r="F139" s="0" t="s">
        <v>328</v>
      </c>
      <c r="G139" s="0" t="s">
        <v>329</v>
      </c>
      <c r="H139" s="0" t="s">
        <v>185</v>
      </c>
    </row>
    <row r="140">
      <c r="A140" s="0" t="s">
        <v>94</v>
      </c>
      <c r="B140" s="0">
        <v>3887</v>
      </c>
      <c r="C140" s="0" t="s">
        <v>236</v>
      </c>
      <c r="D140" s="0" t="s">
        <v>480</v>
      </c>
      <c r="E140" s="0" t="s">
        <v>185</v>
      </c>
      <c r="F140" s="0" t="s">
        <v>334</v>
      </c>
      <c r="G140" s="0" t="s">
        <v>329</v>
      </c>
      <c r="H140" s="0" t="s">
        <v>414</v>
      </c>
    </row>
    <row r="141">
      <c r="A141" s="0" t="s">
        <v>409</v>
      </c>
      <c r="B141" s="0">
        <v>3908</v>
      </c>
      <c r="C141" s="0" t="s">
        <v>236</v>
      </c>
      <c r="D141" s="0" t="s">
        <v>481</v>
      </c>
      <c r="E141" s="0" t="s">
        <v>185</v>
      </c>
      <c r="F141" s="0" t="s">
        <v>328</v>
      </c>
      <c r="G141" s="0" t="s">
        <v>329</v>
      </c>
      <c r="H141" s="0" t="s">
        <v>185</v>
      </c>
    </row>
    <row r="142">
      <c r="A142" s="0" t="s">
        <v>351</v>
      </c>
      <c r="B142" s="0">
        <v>3922</v>
      </c>
      <c r="C142" s="0" t="s">
        <v>236</v>
      </c>
      <c r="D142" s="0" t="s">
        <v>482</v>
      </c>
      <c r="E142" s="0" t="s">
        <v>185</v>
      </c>
      <c r="F142" s="0" t="s">
        <v>328</v>
      </c>
      <c r="G142" s="0" t="s">
        <v>329</v>
      </c>
      <c r="H142" s="0" t="s">
        <v>185</v>
      </c>
    </row>
    <row r="143">
      <c r="A143" s="0" t="s">
        <v>351</v>
      </c>
      <c r="B143" s="0">
        <v>3951</v>
      </c>
      <c r="C143" s="0" t="s">
        <v>236</v>
      </c>
      <c r="D143" s="0" t="s">
        <v>483</v>
      </c>
      <c r="E143" s="0" t="s">
        <v>185</v>
      </c>
      <c r="F143" s="0" t="s">
        <v>328</v>
      </c>
      <c r="G143" s="0" t="s">
        <v>329</v>
      </c>
      <c r="H143" s="0" t="s">
        <v>185</v>
      </c>
    </row>
    <row r="144">
      <c r="A144" s="0" t="s">
        <v>48</v>
      </c>
      <c r="B144" s="0">
        <v>4008</v>
      </c>
      <c r="C144" s="0" t="s">
        <v>236</v>
      </c>
      <c r="D144" s="0" t="s">
        <v>484</v>
      </c>
      <c r="E144" s="0" t="s">
        <v>185</v>
      </c>
      <c r="F144" s="0" t="s">
        <v>328</v>
      </c>
      <c r="G144" s="0" t="s">
        <v>329</v>
      </c>
      <c r="H144" s="0" t="s">
        <v>185</v>
      </c>
    </row>
    <row r="145">
      <c r="A145" s="0" t="s">
        <v>72</v>
      </c>
      <c r="B145" s="0">
        <v>4031</v>
      </c>
      <c r="C145" s="0" t="s">
        <v>236</v>
      </c>
      <c r="D145" s="0" t="s">
        <v>485</v>
      </c>
      <c r="E145" s="0" t="s">
        <v>185</v>
      </c>
      <c r="F145" s="0" t="s">
        <v>328</v>
      </c>
      <c r="G145" s="0" t="s">
        <v>329</v>
      </c>
      <c r="H145" s="0" t="s">
        <v>185</v>
      </c>
    </row>
    <row r="146">
      <c r="A146" s="0" t="s">
        <v>72</v>
      </c>
      <c r="B146" s="0">
        <v>4034</v>
      </c>
      <c r="C146" s="0" t="s">
        <v>236</v>
      </c>
      <c r="D146" s="0" t="s">
        <v>486</v>
      </c>
      <c r="E146" s="0" t="s">
        <v>185</v>
      </c>
      <c r="F146" s="0" t="s">
        <v>328</v>
      </c>
      <c r="G146" s="0" t="s">
        <v>329</v>
      </c>
      <c r="H146" s="0" t="s">
        <v>185</v>
      </c>
    </row>
    <row r="147">
      <c r="A147" s="0" t="s">
        <v>72</v>
      </c>
      <c r="B147" s="0">
        <v>4037</v>
      </c>
      <c r="C147" s="0" t="s">
        <v>236</v>
      </c>
      <c r="D147" s="0" t="s">
        <v>487</v>
      </c>
      <c r="E147" s="0" t="s">
        <v>185</v>
      </c>
      <c r="F147" s="0" t="s">
        <v>328</v>
      </c>
      <c r="G147" s="0" t="s">
        <v>329</v>
      </c>
      <c r="H147" s="0" t="s">
        <v>185</v>
      </c>
    </row>
    <row r="148">
      <c r="A148" s="0" t="s">
        <v>468</v>
      </c>
      <c r="B148" s="0">
        <v>4086</v>
      </c>
      <c r="C148" s="0" t="s">
        <v>236</v>
      </c>
      <c r="D148" s="0" t="s">
        <v>488</v>
      </c>
      <c r="E148" s="0" t="s">
        <v>185</v>
      </c>
      <c r="F148" s="0" t="s">
        <v>328</v>
      </c>
      <c r="G148" s="0" t="s">
        <v>329</v>
      </c>
      <c r="H148" s="0" t="s">
        <v>185</v>
      </c>
    </row>
    <row r="149">
      <c r="A149" s="0" t="s">
        <v>72</v>
      </c>
      <c r="B149" s="0">
        <v>4113</v>
      </c>
      <c r="C149" s="0" t="s">
        <v>236</v>
      </c>
      <c r="D149" s="0" t="s">
        <v>489</v>
      </c>
      <c r="E149" s="0" t="s">
        <v>185</v>
      </c>
      <c r="F149" s="0" t="s">
        <v>328</v>
      </c>
      <c r="G149" s="0" t="s">
        <v>329</v>
      </c>
      <c r="H149" s="0" t="s">
        <v>185</v>
      </c>
    </row>
    <row r="150">
      <c r="A150" s="0" t="s">
        <v>375</v>
      </c>
      <c r="B150" s="0">
        <v>4139</v>
      </c>
      <c r="C150" s="0" t="s">
        <v>236</v>
      </c>
      <c r="D150" s="0" t="s">
        <v>490</v>
      </c>
      <c r="E150" s="0" t="s">
        <v>185</v>
      </c>
      <c r="F150" s="0" t="s">
        <v>377</v>
      </c>
      <c r="G150" s="0" t="s">
        <v>297</v>
      </c>
      <c r="H150" s="0" t="s">
        <v>185</v>
      </c>
    </row>
    <row r="151">
      <c r="A151" s="0" t="s">
        <v>491</v>
      </c>
      <c r="B151" s="0">
        <v>4140</v>
      </c>
      <c r="C151" s="0" t="s">
        <v>236</v>
      </c>
      <c r="D151" s="0" t="s">
        <v>492</v>
      </c>
      <c r="E151" s="0" t="s">
        <v>185</v>
      </c>
      <c r="F151" s="0" t="s">
        <v>328</v>
      </c>
      <c r="G151" s="0" t="s">
        <v>329</v>
      </c>
      <c r="H151" s="0" t="s">
        <v>185</v>
      </c>
    </row>
    <row r="152">
      <c r="A152" s="0" t="s">
        <v>375</v>
      </c>
      <c r="B152" s="0">
        <v>4141</v>
      </c>
      <c r="C152" s="0" t="s">
        <v>236</v>
      </c>
      <c r="D152" s="0" t="s">
        <v>493</v>
      </c>
      <c r="E152" s="0" t="s">
        <v>185</v>
      </c>
      <c r="F152" s="0" t="s">
        <v>377</v>
      </c>
      <c r="G152" s="0" t="s">
        <v>297</v>
      </c>
      <c r="H152" s="0" t="s">
        <v>185</v>
      </c>
    </row>
    <row r="153">
      <c r="A153" s="0" t="s">
        <v>434</v>
      </c>
      <c r="B153" s="0">
        <v>4190</v>
      </c>
      <c r="C153" s="0" t="s">
        <v>236</v>
      </c>
      <c r="D153" s="0" t="s">
        <v>494</v>
      </c>
      <c r="E153" s="0" t="s">
        <v>185</v>
      </c>
      <c r="F153" s="0" t="s">
        <v>411</v>
      </c>
      <c r="G153" s="0" t="s">
        <v>329</v>
      </c>
      <c r="H153" s="0" t="s">
        <v>185</v>
      </c>
    </row>
    <row r="154">
      <c r="A154" s="0" t="s">
        <v>444</v>
      </c>
      <c r="B154" s="0">
        <v>4249</v>
      </c>
      <c r="C154" s="0" t="s">
        <v>236</v>
      </c>
      <c r="D154" s="0" t="s">
        <v>495</v>
      </c>
      <c r="E154" s="0" t="s">
        <v>185</v>
      </c>
      <c r="F154" s="0" t="s">
        <v>185</v>
      </c>
      <c r="G154" s="0" t="s">
        <v>297</v>
      </c>
      <c r="H154" s="0" t="s">
        <v>185</v>
      </c>
    </row>
    <row r="155">
      <c r="A155" s="0" t="s">
        <v>94</v>
      </c>
      <c r="B155" s="0">
        <v>4252</v>
      </c>
      <c r="C155" s="0" t="s">
        <v>236</v>
      </c>
      <c r="D155" s="0" t="s">
        <v>496</v>
      </c>
      <c r="E155" s="0" t="s">
        <v>185</v>
      </c>
      <c r="F155" s="0" t="s">
        <v>334</v>
      </c>
      <c r="G155" s="0" t="s">
        <v>353</v>
      </c>
      <c r="H155" s="0" t="s">
        <v>185</v>
      </c>
    </row>
    <row r="156">
      <c r="A156" s="0" t="s">
        <v>497</v>
      </c>
      <c r="B156" s="0">
        <v>4327</v>
      </c>
      <c r="C156" s="0" t="s">
        <v>236</v>
      </c>
      <c r="D156" s="0" t="s">
        <v>498</v>
      </c>
      <c r="E156" s="0" t="s">
        <v>185</v>
      </c>
      <c r="F156" s="0" t="s">
        <v>328</v>
      </c>
      <c r="G156" s="0" t="s">
        <v>329</v>
      </c>
      <c r="H156" s="0" t="s">
        <v>364</v>
      </c>
    </row>
    <row r="157">
      <c r="A157" s="0" t="s">
        <v>471</v>
      </c>
      <c r="B157" s="0">
        <v>4344</v>
      </c>
      <c r="C157" s="0" t="s">
        <v>236</v>
      </c>
      <c r="D157" s="0" t="s">
        <v>499</v>
      </c>
      <c r="E157" s="0" t="s">
        <v>185</v>
      </c>
      <c r="F157" s="0" t="s">
        <v>411</v>
      </c>
      <c r="G157" s="0" t="s">
        <v>329</v>
      </c>
      <c r="H157" s="0" t="s">
        <v>185</v>
      </c>
    </row>
    <row r="158">
      <c r="A158" s="0" t="s">
        <v>471</v>
      </c>
      <c r="B158" s="0">
        <v>4345</v>
      </c>
      <c r="C158" s="0" t="s">
        <v>236</v>
      </c>
      <c r="D158" s="0" t="s">
        <v>500</v>
      </c>
      <c r="E158" s="0" t="s">
        <v>185</v>
      </c>
      <c r="F158" s="0" t="s">
        <v>185</v>
      </c>
      <c r="G158" s="0" t="s">
        <v>353</v>
      </c>
      <c r="H158" s="0" t="s">
        <v>185</v>
      </c>
    </row>
    <row r="159">
      <c r="A159" s="0" t="s">
        <v>471</v>
      </c>
      <c r="B159" s="0">
        <v>4346</v>
      </c>
      <c r="C159" s="0" t="s">
        <v>236</v>
      </c>
      <c r="D159" s="0" t="s">
        <v>501</v>
      </c>
      <c r="E159" s="0" t="s">
        <v>185</v>
      </c>
      <c r="F159" s="0" t="s">
        <v>411</v>
      </c>
      <c r="G159" s="0" t="s">
        <v>329</v>
      </c>
      <c r="H159" s="0" t="s">
        <v>185</v>
      </c>
    </row>
    <row r="160">
      <c r="A160" s="0" t="s">
        <v>351</v>
      </c>
      <c r="B160" s="0">
        <v>4417</v>
      </c>
      <c r="C160" s="0" t="s">
        <v>236</v>
      </c>
      <c r="D160" s="0" t="s">
        <v>502</v>
      </c>
      <c r="E160" s="0" t="s">
        <v>185</v>
      </c>
      <c r="F160" s="0" t="s">
        <v>328</v>
      </c>
      <c r="G160" s="0" t="s">
        <v>329</v>
      </c>
      <c r="H160" s="0" t="s">
        <v>185</v>
      </c>
    </row>
    <row r="161">
      <c r="A161" s="0" t="s">
        <v>89</v>
      </c>
      <c r="B161" s="0">
        <v>4420</v>
      </c>
      <c r="C161" s="0" t="s">
        <v>236</v>
      </c>
      <c r="D161" s="0" t="s">
        <v>503</v>
      </c>
      <c r="E161" s="0" t="s">
        <v>185</v>
      </c>
      <c r="F161" s="0" t="s">
        <v>328</v>
      </c>
      <c r="G161" s="0" t="s">
        <v>329</v>
      </c>
      <c r="H161" s="0" t="s">
        <v>185</v>
      </c>
    </row>
    <row r="162">
      <c r="A162" s="0" t="s">
        <v>89</v>
      </c>
      <c r="B162" s="0">
        <v>4421</v>
      </c>
      <c r="C162" s="0" t="s">
        <v>236</v>
      </c>
      <c r="D162" s="0" t="s">
        <v>504</v>
      </c>
      <c r="E162" s="0" t="s">
        <v>185</v>
      </c>
      <c r="F162" s="0" t="s">
        <v>328</v>
      </c>
      <c r="G162" s="0" t="s">
        <v>329</v>
      </c>
      <c r="H162" s="0" t="s">
        <v>185</v>
      </c>
    </row>
    <row r="163">
      <c r="A163" s="0" t="s">
        <v>491</v>
      </c>
      <c r="B163" s="0">
        <v>4442</v>
      </c>
      <c r="C163" s="0" t="s">
        <v>236</v>
      </c>
      <c r="D163" s="0" t="s">
        <v>505</v>
      </c>
      <c r="E163" s="0" t="s">
        <v>185</v>
      </c>
      <c r="F163" s="0" t="s">
        <v>328</v>
      </c>
      <c r="G163" s="0" t="s">
        <v>329</v>
      </c>
      <c r="H163" s="0" t="s">
        <v>185</v>
      </c>
    </row>
    <row r="164">
      <c r="A164" s="0" t="s">
        <v>444</v>
      </c>
      <c r="B164" s="0">
        <v>4480</v>
      </c>
      <c r="C164" s="0" t="s">
        <v>236</v>
      </c>
      <c r="D164" s="0" t="s">
        <v>506</v>
      </c>
      <c r="E164" s="0" t="s">
        <v>185</v>
      </c>
      <c r="F164" s="0" t="s">
        <v>328</v>
      </c>
      <c r="G164" s="0" t="s">
        <v>329</v>
      </c>
      <c r="H164" s="0" t="s">
        <v>438</v>
      </c>
    </row>
    <row r="165">
      <c r="A165" s="0" t="s">
        <v>425</v>
      </c>
      <c r="B165" s="0">
        <v>4553</v>
      </c>
      <c r="C165" s="0" t="s">
        <v>236</v>
      </c>
      <c r="D165" s="0" t="s">
        <v>507</v>
      </c>
      <c r="E165" s="0" t="s">
        <v>185</v>
      </c>
      <c r="F165" s="0" t="s">
        <v>328</v>
      </c>
      <c r="G165" s="0" t="s">
        <v>329</v>
      </c>
      <c r="H165" s="0" t="s">
        <v>185</v>
      </c>
    </row>
    <row r="166">
      <c r="A166" s="0" t="s">
        <v>444</v>
      </c>
      <c r="B166" s="0">
        <v>4564</v>
      </c>
      <c r="C166" s="0" t="s">
        <v>236</v>
      </c>
      <c r="D166" s="0" t="s">
        <v>508</v>
      </c>
      <c r="E166" s="0" t="s">
        <v>185</v>
      </c>
      <c r="F166" s="0" t="s">
        <v>185</v>
      </c>
      <c r="G166" s="0" t="s">
        <v>297</v>
      </c>
      <c r="H166" s="0" t="s">
        <v>185</v>
      </c>
    </row>
    <row r="167">
      <c r="A167" s="0" t="s">
        <v>509</v>
      </c>
      <c r="B167" s="0">
        <v>4570</v>
      </c>
      <c r="C167" s="0" t="s">
        <v>236</v>
      </c>
      <c r="D167" s="0" t="s">
        <v>510</v>
      </c>
      <c r="E167" s="0" t="s">
        <v>185</v>
      </c>
      <c r="F167" s="0" t="s">
        <v>328</v>
      </c>
      <c r="G167" s="0" t="s">
        <v>329</v>
      </c>
      <c r="H167" s="0" t="s">
        <v>185</v>
      </c>
    </row>
    <row r="168">
      <c r="A168" s="0" t="s">
        <v>511</v>
      </c>
      <c r="B168" s="0">
        <v>4576</v>
      </c>
      <c r="C168" s="0" t="s">
        <v>236</v>
      </c>
      <c r="D168" s="0" t="s">
        <v>512</v>
      </c>
      <c r="E168" s="0" t="s">
        <v>185</v>
      </c>
      <c r="F168" s="0" t="s">
        <v>328</v>
      </c>
      <c r="G168" s="0" t="s">
        <v>329</v>
      </c>
      <c r="H168" s="0" t="s">
        <v>185</v>
      </c>
    </row>
    <row r="169">
      <c r="A169" s="0" t="s">
        <v>444</v>
      </c>
      <c r="B169" s="0">
        <v>4599</v>
      </c>
      <c r="C169" s="0" t="s">
        <v>236</v>
      </c>
      <c r="D169" s="0" t="s">
        <v>513</v>
      </c>
      <c r="E169" s="0" t="s">
        <v>185</v>
      </c>
      <c r="F169" s="0" t="s">
        <v>185</v>
      </c>
      <c r="G169" s="0" t="s">
        <v>297</v>
      </c>
      <c r="H169" s="0" t="s">
        <v>185</v>
      </c>
    </row>
    <row r="170">
      <c r="A170" s="0" t="s">
        <v>375</v>
      </c>
      <c r="B170" s="0">
        <v>4636</v>
      </c>
      <c r="C170" s="0" t="s">
        <v>236</v>
      </c>
      <c r="D170" s="0" t="s">
        <v>514</v>
      </c>
      <c r="E170" s="0" t="s">
        <v>185</v>
      </c>
      <c r="F170" s="0" t="s">
        <v>185</v>
      </c>
      <c r="G170" s="0" t="s">
        <v>297</v>
      </c>
      <c r="H170" s="0" t="s">
        <v>185</v>
      </c>
    </row>
    <row r="171">
      <c r="A171" s="0" t="s">
        <v>444</v>
      </c>
      <c r="B171" s="0">
        <v>4637</v>
      </c>
      <c r="C171" s="0" t="s">
        <v>236</v>
      </c>
      <c r="D171" s="0" t="s">
        <v>494</v>
      </c>
      <c r="E171" s="0" t="s">
        <v>185</v>
      </c>
      <c r="F171" s="0" t="s">
        <v>411</v>
      </c>
      <c r="G171" s="0" t="s">
        <v>369</v>
      </c>
      <c r="H171" s="0" t="s">
        <v>185</v>
      </c>
    </row>
    <row r="172">
      <c r="A172" s="0" t="s">
        <v>48</v>
      </c>
      <c r="B172" s="0">
        <v>4689</v>
      </c>
      <c r="C172" s="0" t="s">
        <v>236</v>
      </c>
      <c r="D172" s="0" t="s">
        <v>515</v>
      </c>
      <c r="E172" s="0" t="s">
        <v>185</v>
      </c>
      <c r="F172" s="0" t="s">
        <v>328</v>
      </c>
      <c r="G172" s="0" t="s">
        <v>329</v>
      </c>
      <c r="H172" s="0" t="s">
        <v>185</v>
      </c>
    </row>
    <row r="173">
      <c r="A173" s="0" t="s">
        <v>434</v>
      </c>
      <c r="B173" s="0">
        <v>4787</v>
      </c>
      <c r="C173" s="0" t="s">
        <v>236</v>
      </c>
      <c r="D173" s="0" t="s">
        <v>516</v>
      </c>
      <c r="E173" s="0" t="s">
        <v>185</v>
      </c>
      <c r="F173" s="0" t="s">
        <v>328</v>
      </c>
      <c r="G173" s="0" t="s">
        <v>329</v>
      </c>
      <c r="H173" s="0" t="s">
        <v>185</v>
      </c>
    </row>
    <row r="174">
      <c r="A174" s="0" t="s">
        <v>72</v>
      </c>
      <c r="B174" s="0">
        <v>4799</v>
      </c>
      <c r="C174" s="0" t="s">
        <v>236</v>
      </c>
      <c r="D174" s="0" t="s">
        <v>517</v>
      </c>
      <c r="E174" s="0" t="s">
        <v>185</v>
      </c>
      <c r="F174" s="0" t="s">
        <v>331</v>
      </c>
      <c r="G174" s="0" t="s">
        <v>329</v>
      </c>
      <c r="H174" s="0" t="s">
        <v>185</v>
      </c>
    </row>
    <row r="175">
      <c r="A175" s="0" t="s">
        <v>439</v>
      </c>
      <c r="B175" s="0">
        <v>4825</v>
      </c>
      <c r="C175" s="0" t="s">
        <v>236</v>
      </c>
      <c r="D175" s="0" t="s">
        <v>518</v>
      </c>
      <c r="E175" s="0" t="s">
        <v>185</v>
      </c>
      <c r="F175" s="0" t="s">
        <v>185</v>
      </c>
      <c r="G175" s="0" t="s">
        <v>369</v>
      </c>
      <c r="H175" s="0" t="s">
        <v>185</v>
      </c>
    </row>
    <row r="176">
      <c r="A176" s="0" t="s">
        <v>444</v>
      </c>
      <c r="B176" s="0">
        <v>4826</v>
      </c>
      <c r="C176" s="0" t="s">
        <v>236</v>
      </c>
      <c r="D176" s="0" t="s">
        <v>519</v>
      </c>
      <c r="E176" s="0" t="s">
        <v>185</v>
      </c>
      <c r="F176" s="0" t="s">
        <v>185</v>
      </c>
      <c r="G176" s="0" t="s">
        <v>297</v>
      </c>
      <c r="H176" s="0" t="s">
        <v>185</v>
      </c>
    </row>
    <row r="177">
      <c r="A177" s="0" t="s">
        <v>444</v>
      </c>
      <c r="B177" s="0">
        <v>4827</v>
      </c>
      <c r="C177" s="0" t="s">
        <v>236</v>
      </c>
      <c r="D177" s="0" t="s">
        <v>520</v>
      </c>
      <c r="E177" s="0" t="s">
        <v>185</v>
      </c>
      <c r="F177" s="0" t="s">
        <v>185</v>
      </c>
      <c r="G177" s="0" t="s">
        <v>297</v>
      </c>
      <c r="H177" s="0" t="s">
        <v>185</v>
      </c>
    </row>
    <row r="178">
      <c r="A178" s="0" t="s">
        <v>402</v>
      </c>
      <c r="B178" s="0">
        <v>4901</v>
      </c>
      <c r="C178" s="0" t="s">
        <v>236</v>
      </c>
      <c r="D178" s="0" t="s">
        <v>521</v>
      </c>
      <c r="E178" s="0" t="s">
        <v>185</v>
      </c>
      <c r="F178" s="0" t="s">
        <v>185</v>
      </c>
      <c r="G178" s="0" t="s">
        <v>297</v>
      </c>
      <c r="H178" s="0" t="s">
        <v>185</v>
      </c>
    </row>
    <row r="179">
      <c r="A179" s="0" t="s">
        <v>375</v>
      </c>
      <c r="B179" s="0">
        <v>4912</v>
      </c>
      <c r="C179" s="0" t="s">
        <v>236</v>
      </c>
      <c r="D179" s="0" t="s">
        <v>522</v>
      </c>
      <c r="E179" s="0" t="s">
        <v>185</v>
      </c>
      <c r="F179" s="0" t="s">
        <v>377</v>
      </c>
      <c r="G179" s="0" t="s">
        <v>297</v>
      </c>
      <c r="H179" s="0" t="s">
        <v>185</v>
      </c>
    </row>
    <row r="180">
      <c r="A180" s="0" t="s">
        <v>423</v>
      </c>
      <c r="B180" s="0">
        <v>4920</v>
      </c>
      <c r="C180" s="0" t="s">
        <v>236</v>
      </c>
      <c r="D180" s="0" t="s">
        <v>523</v>
      </c>
      <c r="E180" s="0" t="s">
        <v>185</v>
      </c>
      <c r="F180" s="0" t="s">
        <v>185</v>
      </c>
      <c r="G180" s="0" t="s">
        <v>353</v>
      </c>
      <c r="H180" s="0" t="s">
        <v>185</v>
      </c>
    </row>
    <row r="181">
      <c r="A181" s="0" t="s">
        <v>423</v>
      </c>
      <c r="B181" s="0">
        <v>4922</v>
      </c>
      <c r="C181" s="0" t="s">
        <v>236</v>
      </c>
      <c r="D181" s="0" t="s">
        <v>524</v>
      </c>
      <c r="E181" s="0" t="s">
        <v>185</v>
      </c>
      <c r="F181" s="0" t="s">
        <v>185</v>
      </c>
      <c r="G181" s="0" t="s">
        <v>353</v>
      </c>
      <c r="H181" s="0" t="s">
        <v>185</v>
      </c>
    </row>
    <row r="182">
      <c r="A182" s="0" t="s">
        <v>471</v>
      </c>
      <c r="B182" s="0">
        <v>4933</v>
      </c>
      <c r="C182" s="0" t="s">
        <v>236</v>
      </c>
      <c r="D182" s="0" t="s">
        <v>525</v>
      </c>
      <c r="E182" s="0" t="s">
        <v>185</v>
      </c>
      <c r="F182" s="0" t="s">
        <v>328</v>
      </c>
      <c r="G182" s="0" t="s">
        <v>329</v>
      </c>
      <c r="H182" s="0" t="s">
        <v>185</v>
      </c>
    </row>
    <row r="183">
      <c r="A183" s="0" t="s">
        <v>439</v>
      </c>
      <c r="B183" s="0">
        <v>4981</v>
      </c>
      <c r="C183" s="0" t="s">
        <v>236</v>
      </c>
      <c r="D183" s="0" t="s">
        <v>526</v>
      </c>
      <c r="E183" s="0" t="s">
        <v>185</v>
      </c>
      <c r="F183" s="0" t="s">
        <v>185</v>
      </c>
      <c r="G183" s="0" t="s">
        <v>297</v>
      </c>
      <c r="H183" s="0" t="s">
        <v>185</v>
      </c>
    </row>
    <row r="184">
      <c r="A184" s="0" t="s">
        <v>425</v>
      </c>
      <c r="B184" s="0">
        <v>4984</v>
      </c>
      <c r="C184" s="0" t="s">
        <v>236</v>
      </c>
      <c r="D184" s="0" t="s">
        <v>527</v>
      </c>
      <c r="E184" s="0" t="s">
        <v>185</v>
      </c>
      <c r="F184" s="0" t="s">
        <v>328</v>
      </c>
      <c r="G184" s="0" t="s">
        <v>329</v>
      </c>
      <c r="H184" s="0" t="s">
        <v>185</v>
      </c>
    </row>
    <row r="185">
      <c r="A185" s="0" t="s">
        <v>528</v>
      </c>
      <c r="B185" s="0">
        <v>4996</v>
      </c>
      <c r="C185" s="0" t="s">
        <v>236</v>
      </c>
      <c r="D185" s="0" t="s">
        <v>529</v>
      </c>
      <c r="E185" s="0" t="s">
        <v>185</v>
      </c>
      <c r="F185" s="0" t="s">
        <v>328</v>
      </c>
      <c r="G185" s="0" t="s">
        <v>329</v>
      </c>
      <c r="H185" s="0" t="s">
        <v>185</v>
      </c>
    </row>
    <row r="186">
      <c r="A186" s="0" t="s">
        <v>530</v>
      </c>
      <c r="B186" s="0">
        <v>5093</v>
      </c>
      <c r="C186" s="0" t="s">
        <v>236</v>
      </c>
      <c r="D186" s="0" t="s">
        <v>531</v>
      </c>
      <c r="E186" s="0" t="s">
        <v>185</v>
      </c>
      <c r="F186" s="0" t="s">
        <v>328</v>
      </c>
      <c r="G186" s="0" t="s">
        <v>329</v>
      </c>
      <c r="H186" s="0" t="s">
        <v>532</v>
      </c>
    </row>
    <row r="187">
      <c r="A187" s="0" t="s">
        <v>94</v>
      </c>
      <c r="B187" s="0">
        <v>5151</v>
      </c>
      <c r="C187" s="0" t="s">
        <v>236</v>
      </c>
      <c r="D187" s="0" t="s">
        <v>533</v>
      </c>
      <c r="E187" s="0" t="s">
        <v>185</v>
      </c>
      <c r="F187" s="0" t="s">
        <v>328</v>
      </c>
      <c r="G187" s="0" t="s">
        <v>329</v>
      </c>
      <c r="H187" s="0" t="s">
        <v>185</v>
      </c>
    </row>
    <row r="188">
      <c r="A188" s="0" t="s">
        <v>94</v>
      </c>
      <c r="B188" s="0">
        <v>5153</v>
      </c>
      <c r="C188" s="0" t="s">
        <v>236</v>
      </c>
      <c r="D188" s="0" t="s">
        <v>534</v>
      </c>
      <c r="E188" s="0" t="s">
        <v>185</v>
      </c>
      <c r="F188" s="0" t="s">
        <v>185</v>
      </c>
      <c r="G188" s="0" t="s">
        <v>369</v>
      </c>
      <c r="H188" s="0" t="s">
        <v>185</v>
      </c>
    </row>
    <row r="189">
      <c r="A189" s="0" t="s">
        <v>94</v>
      </c>
      <c r="B189" s="0">
        <v>5154</v>
      </c>
      <c r="C189" s="0" t="s">
        <v>236</v>
      </c>
      <c r="D189" s="0" t="s">
        <v>535</v>
      </c>
      <c r="E189" s="0" t="s">
        <v>185</v>
      </c>
      <c r="F189" s="0" t="s">
        <v>328</v>
      </c>
      <c r="G189" s="0" t="s">
        <v>329</v>
      </c>
      <c r="H189" s="0" t="s">
        <v>185</v>
      </c>
    </row>
    <row r="190">
      <c r="A190" s="0" t="s">
        <v>94</v>
      </c>
      <c r="B190" s="0">
        <v>5155</v>
      </c>
      <c r="C190" s="0" t="s">
        <v>236</v>
      </c>
      <c r="D190" s="0" t="s">
        <v>536</v>
      </c>
      <c r="E190" s="0" t="s">
        <v>185</v>
      </c>
      <c r="F190" s="0" t="s">
        <v>328</v>
      </c>
      <c r="G190" s="0" t="s">
        <v>329</v>
      </c>
      <c r="H190" s="0" t="s">
        <v>185</v>
      </c>
    </row>
    <row r="191">
      <c r="A191" s="0" t="s">
        <v>94</v>
      </c>
      <c r="B191" s="0">
        <v>5157</v>
      </c>
      <c r="C191" s="0" t="s">
        <v>236</v>
      </c>
      <c r="D191" s="0" t="s">
        <v>537</v>
      </c>
      <c r="E191" s="0" t="s">
        <v>185</v>
      </c>
      <c r="F191" s="0" t="s">
        <v>328</v>
      </c>
      <c r="G191" s="0" t="s">
        <v>329</v>
      </c>
      <c r="H191" s="0" t="s">
        <v>185</v>
      </c>
    </row>
    <row r="192">
      <c r="A192" s="0" t="s">
        <v>94</v>
      </c>
      <c r="B192" s="0">
        <v>5158</v>
      </c>
      <c r="C192" s="0" t="s">
        <v>236</v>
      </c>
      <c r="D192" s="0" t="s">
        <v>538</v>
      </c>
      <c r="E192" s="0" t="s">
        <v>185</v>
      </c>
      <c r="F192" s="0" t="s">
        <v>185</v>
      </c>
      <c r="G192" s="0" t="s">
        <v>353</v>
      </c>
      <c r="H192" s="0" t="s">
        <v>438</v>
      </c>
    </row>
    <row r="193">
      <c r="A193" s="0" t="s">
        <v>94</v>
      </c>
      <c r="B193" s="0">
        <v>5159</v>
      </c>
      <c r="C193" s="0" t="s">
        <v>236</v>
      </c>
      <c r="D193" s="0" t="s">
        <v>254</v>
      </c>
      <c r="E193" s="0" t="s">
        <v>185</v>
      </c>
      <c r="F193" s="0" t="s">
        <v>539</v>
      </c>
      <c r="G193" s="0" t="s">
        <v>303</v>
      </c>
      <c r="H193" s="0" t="s">
        <v>540</v>
      </c>
    </row>
    <row r="194">
      <c r="A194" s="0" t="s">
        <v>94</v>
      </c>
      <c r="B194" s="0">
        <v>5160</v>
      </c>
      <c r="C194" s="0" t="s">
        <v>236</v>
      </c>
      <c r="D194" s="0" t="s">
        <v>541</v>
      </c>
      <c r="E194" s="0" t="s">
        <v>185</v>
      </c>
      <c r="F194" s="0" t="s">
        <v>185</v>
      </c>
      <c r="G194" s="0" t="s">
        <v>353</v>
      </c>
      <c r="H194" s="0" t="s">
        <v>438</v>
      </c>
    </row>
    <row r="195">
      <c r="A195" s="0" t="s">
        <v>351</v>
      </c>
      <c r="B195" s="0">
        <v>5198</v>
      </c>
      <c r="C195" s="0" t="s">
        <v>236</v>
      </c>
      <c r="D195" s="0" t="s">
        <v>542</v>
      </c>
      <c r="E195" s="0" t="s">
        <v>185</v>
      </c>
      <c r="F195" s="0" t="s">
        <v>328</v>
      </c>
      <c r="G195" s="0" t="s">
        <v>329</v>
      </c>
      <c r="H195" s="0" t="s">
        <v>543</v>
      </c>
    </row>
    <row r="196">
      <c r="A196" s="0" t="s">
        <v>425</v>
      </c>
      <c r="B196" s="0">
        <v>5210</v>
      </c>
      <c r="C196" s="0" t="s">
        <v>236</v>
      </c>
      <c r="D196" s="0" t="s">
        <v>544</v>
      </c>
      <c r="E196" s="0" t="s">
        <v>185</v>
      </c>
      <c r="F196" s="0" t="s">
        <v>185</v>
      </c>
      <c r="G196" s="0" t="s">
        <v>297</v>
      </c>
      <c r="H196" s="0" t="s">
        <v>185</v>
      </c>
    </row>
    <row r="197">
      <c r="A197" s="0" t="s">
        <v>89</v>
      </c>
      <c r="B197" s="0">
        <v>5213</v>
      </c>
      <c r="C197" s="0" t="s">
        <v>236</v>
      </c>
      <c r="D197" s="0" t="s">
        <v>545</v>
      </c>
      <c r="E197" s="0" t="s">
        <v>185</v>
      </c>
      <c r="F197" s="0" t="s">
        <v>185</v>
      </c>
      <c r="G197" s="0" t="s">
        <v>297</v>
      </c>
      <c r="H197" s="0" t="s">
        <v>438</v>
      </c>
    </row>
    <row r="198">
      <c r="A198" s="0" t="s">
        <v>409</v>
      </c>
      <c r="B198" s="0">
        <v>5216</v>
      </c>
      <c r="C198" s="0" t="s">
        <v>236</v>
      </c>
      <c r="D198" s="0" t="s">
        <v>546</v>
      </c>
      <c r="E198" s="0" t="s">
        <v>185</v>
      </c>
      <c r="F198" s="0" t="s">
        <v>185</v>
      </c>
      <c r="G198" s="0" t="s">
        <v>353</v>
      </c>
      <c r="H198" s="0" t="s">
        <v>547</v>
      </c>
    </row>
    <row r="199">
      <c r="A199" s="0" t="s">
        <v>351</v>
      </c>
      <c r="B199" s="0">
        <v>5233</v>
      </c>
      <c r="C199" s="0" t="s">
        <v>236</v>
      </c>
      <c r="D199" s="0" t="s">
        <v>548</v>
      </c>
      <c r="E199" s="0" t="s">
        <v>185</v>
      </c>
      <c r="F199" s="0" t="s">
        <v>328</v>
      </c>
      <c r="G199" s="0" t="s">
        <v>329</v>
      </c>
      <c r="H199" s="0" t="s">
        <v>549</v>
      </c>
    </row>
    <row r="200">
      <c r="A200" s="0" t="s">
        <v>142</v>
      </c>
      <c r="B200" s="0">
        <v>5253</v>
      </c>
      <c r="C200" s="0" t="s">
        <v>236</v>
      </c>
      <c r="D200" s="0" t="s">
        <v>550</v>
      </c>
      <c r="E200" s="0" t="s">
        <v>185</v>
      </c>
      <c r="F200" s="0" t="s">
        <v>328</v>
      </c>
      <c r="G200" s="0" t="s">
        <v>329</v>
      </c>
      <c r="H200" s="0" t="s">
        <v>185</v>
      </c>
    </row>
    <row r="201">
      <c r="A201" s="0" t="s">
        <v>142</v>
      </c>
      <c r="B201" s="0">
        <v>5256</v>
      </c>
      <c r="C201" s="0" t="s">
        <v>236</v>
      </c>
      <c r="D201" s="0" t="s">
        <v>551</v>
      </c>
      <c r="E201" s="0" t="s">
        <v>185</v>
      </c>
      <c r="F201" s="0" t="s">
        <v>328</v>
      </c>
      <c r="G201" s="0" t="s">
        <v>329</v>
      </c>
      <c r="H201" s="0" t="s">
        <v>185</v>
      </c>
    </row>
    <row r="202">
      <c r="A202" s="0" t="s">
        <v>142</v>
      </c>
      <c r="B202" s="0">
        <v>5259</v>
      </c>
      <c r="C202" s="0" t="s">
        <v>236</v>
      </c>
      <c r="D202" s="0" t="s">
        <v>552</v>
      </c>
      <c r="E202" s="0" t="s">
        <v>185</v>
      </c>
      <c r="F202" s="0" t="s">
        <v>328</v>
      </c>
      <c r="G202" s="0" t="s">
        <v>329</v>
      </c>
      <c r="H202" s="0" t="s">
        <v>185</v>
      </c>
    </row>
    <row r="203">
      <c r="A203" s="0" t="s">
        <v>553</v>
      </c>
      <c r="B203" s="0">
        <v>5316</v>
      </c>
      <c r="C203" s="0" t="s">
        <v>236</v>
      </c>
      <c r="D203" s="0" t="s">
        <v>554</v>
      </c>
      <c r="E203" s="0" t="s">
        <v>185</v>
      </c>
      <c r="F203" s="0" t="s">
        <v>185</v>
      </c>
      <c r="G203" s="0" t="s">
        <v>297</v>
      </c>
      <c r="H203" s="0" t="s">
        <v>185</v>
      </c>
    </row>
    <row r="204">
      <c r="A204" s="0" t="s">
        <v>409</v>
      </c>
      <c r="B204" s="0">
        <v>5317</v>
      </c>
      <c r="C204" s="0" t="s">
        <v>236</v>
      </c>
      <c r="D204" s="0" t="s">
        <v>555</v>
      </c>
      <c r="E204" s="0" t="s">
        <v>185</v>
      </c>
      <c r="F204" s="0" t="s">
        <v>185</v>
      </c>
      <c r="G204" s="0" t="s">
        <v>353</v>
      </c>
      <c r="H204" s="0" t="s">
        <v>185</v>
      </c>
    </row>
    <row r="205">
      <c r="A205" s="0" t="s">
        <v>326</v>
      </c>
      <c r="B205" s="0">
        <v>5325</v>
      </c>
      <c r="C205" s="0" t="s">
        <v>236</v>
      </c>
      <c r="D205" s="0" t="s">
        <v>556</v>
      </c>
      <c r="E205" s="0" t="s">
        <v>185</v>
      </c>
      <c r="F205" s="0" t="s">
        <v>185</v>
      </c>
      <c r="G205" s="0" t="s">
        <v>369</v>
      </c>
      <c r="H205" s="0" t="s">
        <v>185</v>
      </c>
    </row>
    <row r="206">
      <c r="A206" s="0" t="s">
        <v>444</v>
      </c>
      <c r="B206" s="0">
        <v>5350</v>
      </c>
      <c r="C206" s="0" t="s">
        <v>236</v>
      </c>
      <c r="D206" s="0" t="s">
        <v>557</v>
      </c>
      <c r="E206" s="0" t="s">
        <v>185</v>
      </c>
      <c r="F206" s="0" t="s">
        <v>328</v>
      </c>
      <c r="G206" s="0" t="s">
        <v>329</v>
      </c>
      <c r="H206" s="0" t="s">
        <v>185</v>
      </c>
    </row>
    <row r="207">
      <c r="A207" s="0" t="s">
        <v>124</v>
      </c>
      <c r="B207" s="0">
        <v>5355</v>
      </c>
      <c r="C207" s="0" t="s">
        <v>236</v>
      </c>
      <c r="D207" s="0" t="s">
        <v>558</v>
      </c>
      <c r="E207" s="0" t="s">
        <v>185</v>
      </c>
      <c r="F207" s="0" t="s">
        <v>328</v>
      </c>
      <c r="G207" s="0" t="s">
        <v>303</v>
      </c>
      <c r="H207" s="0" t="s">
        <v>540</v>
      </c>
    </row>
    <row r="208">
      <c r="A208" s="0" t="s">
        <v>137</v>
      </c>
      <c r="B208" s="0">
        <v>5358</v>
      </c>
      <c r="C208" s="0" t="s">
        <v>236</v>
      </c>
      <c r="D208" s="0" t="s">
        <v>559</v>
      </c>
      <c r="E208" s="0" t="s">
        <v>185</v>
      </c>
      <c r="F208" s="0" t="s">
        <v>328</v>
      </c>
      <c r="G208" s="0" t="s">
        <v>329</v>
      </c>
      <c r="H208" s="0" t="s">
        <v>185</v>
      </c>
    </row>
    <row r="209">
      <c r="A209" s="0" t="s">
        <v>351</v>
      </c>
      <c r="B209" s="0">
        <v>5365</v>
      </c>
      <c r="C209" s="0" t="s">
        <v>236</v>
      </c>
      <c r="D209" s="0" t="s">
        <v>560</v>
      </c>
      <c r="E209" s="0" t="s">
        <v>185</v>
      </c>
      <c r="F209" s="0" t="s">
        <v>328</v>
      </c>
      <c r="G209" s="0" t="s">
        <v>329</v>
      </c>
      <c r="H209" s="0" t="s">
        <v>185</v>
      </c>
    </row>
    <row r="210">
      <c r="A210" s="0" t="s">
        <v>444</v>
      </c>
      <c r="B210" s="0">
        <v>5416</v>
      </c>
      <c r="C210" s="0" t="s">
        <v>236</v>
      </c>
      <c r="D210" s="0" t="s">
        <v>561</v>
      </c>
      <c r="E210" s="0" t="s">
        <v>185</v>
      </c>
      <c r="F210" s="0" t="s">
        <v>562</v>
      </c>
      <c r="G210" s="0" t="s">
        <v>329</v>
      </c>
      <c r="H210" s="0" t="s">
        <v>185</v>
      </c>
    </row>
    <row r="211">
      <c r="A211" s="0" t="s">
        <v>124</v>
      </c>
      <c r="B211" s="0">
        <v>5424</v>
      </c>
      <c r="C211" s="0" t="s">
        <v>236</v>
      </c>
      <c r="D211" s="0" t="s">
        <v>563</v>
      </c>
      <c r="E211" s="0" t="s">
        <v>185</v>
      </c>
      <c r="F211" s="0" t="s">
        <v>328</v>
      </c>
      <c r="G211" s="0" t="s">
        <v>329</v>
      </c>
      <c r="H211" s="0" t="s">
        <v>185</v>
      </c>
    </row>
    <row r="212">
      <c r="A212" s="0" t="s">
        <v>72</v>
      </c>
      <c r="B212" s="0">
        <v>5428</v>
      </c>
      <c r="C212" s="0" t="s">
        <v>236</v>
      </c>
      <c r="D212" s="0" t="s">
        <v>564</v>
      </c>
      <c r="E212" s="0" t="s">
        <v>185</v>
      </c>
      <c r="F212" s="0" t="s">
        <v>185</v>
      </c>
      <c r="G212" s="0" t="s">
        <v>297</v>
      </c>
      <c r="H212" s="0" t="s">
        <v>185</v>
      </c>
    </row>
    <row r="213">
      <c r="A213" s="0" t="s">
        <v>351</v>
      </c>
      <c r="B213" s="0">
        <v>5435</v>
      </c>
      <c r="C213" s="0" t="s">
        <v>236</v>
      </c>
      <c r="D213" s="0" t="s">
        <v>565</v>
      </c>
      <c r="E213" s="0" t="s">
        <v>185</v>
      </c>
      <c r="F213" s="0" t="s">
        <v>328</v>
      </c>
      <c r="G213" s="0" t="s">
        <v>329</v>
      </c>
      <c r="H213" s="0" t="s">
        <v>185</v>
      </c>
    </row>
    <row r="214">
      <c r="A214" s="0" t="s">
        <v>351</v>
      </c>
      <c r="B214" s="0">
        <v>5504</v>
      </c>
      <c r="C214" s="0" t="s">
        <v>236</v>
      </c>
      <c r="D214" s="0" t="s">
        <v>566</v>
      </c>
      <c r="E214" s="0" t="s">
        <v>185</v>
      </c>
      <c r="F214" s="0" t="s">
        <v>328</v>
      </c>
      <c r="G214" s="0" t="s">
        <v>329</v>
      </c>
      <c r="H214" s="0" t="s">
        <v>185</v>
      </c>
    </row>
    <row r="215">
      <c r="A215" s="0" t="s">
        <v>351</v>
      </c>
      <c r="B215" s="0">
        <v>5505</v>
      </c>
      <c r="C215" s="0" t="s">
        <v>236</v>
      </c>
      <c r="D215" s="0" t="s">
        <v>567</v>
      </c>
      <c r="E215" s="0" t="s">
        <v>185</v>
      </c>
      <c r="F215" s="0" t="s">
        <v>328</v>
      </c>
      <c r="G215" s="0" t="s">
        <v>329</v>
      </c>
      <c r="H215" s="0" t="s">
        <v>185</v>
      </c>
    </row>
    <row r="216">
      <c r="A216" s="0" t="s">
        <v>351</v>
      </c>
      <c r="B216" s="0">
        <v>5550</v>
      </c>
      <c r="C216" s="0" t="s">
        <v>236</v>
      </c>
      <c r="D216" s="0" t="s">
        <v>568</v>
      </c>
      <c r="E216" s="0" t="s">
        <v>185</v>
      </c>
      <c r="F216" s="0" t="s">
        <v>328</v>
      </c>
      <c r="G216" s="0" t="s">
        <v>329</v>
      </c>
      <c r="H216" s="0" t="s">
        <v>185</v>
      </c>
    </row>
    <row r="217">
      <c r="A217" s="0" t="s">
        <v>72</v>
      </c>
      <c r="B217" s="0">
        <v>5588</v>
      </c>
      <c r="C217" s="0" t="s">
        <v>236</v>
      </c>
      <c r="D217" s="0" t="s">
        <v>569</v>
      </c>
      <c r="E217" s="0" t="s">
        <v>185</v>
      </c>
      <c r="F217" s="0" t="s">
        <v>185</v>
      </c>
      <c r="G217" s="0" t="s">
        <v>297</v>
      </c>
      <c r="H217" s="0" t="s">
        <v>185</v>
      </c>
    </row>
    <row r="218">
      <c r="A218" s="0" t="s">
        <v>351</v>
      </c>
      <c r="B218" s="0">
        <v>5648</v>
      </c>
      <c r="C218" s="0" t="s">
        <v>236</v>
      </c>
      <c r="D218" s="0" t="s">
        <v>570</v>
      </c>
      <c r="E218" s="0" t="s">
        <v>185</v>
      </c>
      <c r="F218" s="0" t="s">
        <v>328</v>
      </c>
      <c r="G218" s="0" t="s">
        <v>329</v>
      </c>
      <c r="H218" s="0" t="s">
        <v>185</v>
      </c>
    </row>
    <row r="219">
      <c r="A219" s="0" t="s">
        <v>48</v>
      </c>
      <c r="B219" s="0">
        <v>5684</v>
      </c>
      <c r="C219" s="0" t="s">
        <v>236</v>
      </c>
      <c r="D219" s="0" t="s">
        <v>571</v>
      </c>
      <c r="E219" s="0" t="s">
        <v>185</v>
      </c>
      <c r="F219" s="0" t="s">
        <v>328</v>
      </c>
      <c r="G219" s="0" t="s">
        <v>329</v>
      </c>
      <c r="H219" s="0" t="s">
        <v>185</v>
      </c>
    </row>
    <row r="220">
      <c r="A220" s="0" t="s">
        <v>509</v>
      </c>
      <c r="B220" s="0">
        <v>5691</v>
      </c>
      <c r="C220" s="0" t="s">
        <v>236</v>
      </c>
      <c r="D220" s="0" t="s">
        <v>572</v>
      </c>
      <c r="E220" s="0" t="s">
        <v>185</v>
      </c>
      <c r="F220" s="0" t="s">
        <v>328</v>
      </c>
      <c r="G220" s="0" t="s">
        <v>329</v>
      </c>
      <c r="H220" s="0" t="s">
        <v>185</v>
      </c>
    </row>
    <row r="221">
      <c r="A221" s="0" t="s">
        <v>375</v>
      </c>
      <c r="B221" s="0">
        <v>5717</v>
      </c>
      <c r="C221" s="0" t="s">
        <v>236</v>
      </c>
      <c r="D221" s="0" t="s">
        <v>573</v>
      </c>
      <c r="E221" s="0" t="s">
        <v>185</v>
      </c>
      <c r="F221" s="0" t="s">
        <v>377</v>
      </c>
      <c r="G221" s="0" t="s">
        <v>297</v>
      </c>
      <c r="H221" s="0" t="s">
        <v>185</v>
      </c>
    </row>
    <row r="222">
      <c r="A222" s="0" t="s">
        <v>142</v>
      </c>
      <c r="B222" s="0">
        <v>5734</v>
      </c>
      <c r="C222" s="0" t="s">
        <v>236</v>
      </c>
      <c r="D222" s="0" t="s">
        <v>574</v>
      </c>
      <c r="E222" s="0" t="s">
        <v>185</v>
      </c>
      <c r="F222" s="0" t="s">
        <v>328</v>
      </c>
      <c r="G222" s="0" t="s">
        <v>329</v>
      </c>
      <c r="H222" s="0" t="s">
        <v>185</v>
      </c>
    </row>
    <row r="223">
      <c r="A223" s="0" t="s">
        <v>425</v>
      </c>
      <c r="B223" s="0">
        <v>5744</v>
      </c>
      <c r="C223" s="0" t="s">
        <v>236</v>
      </c>
      <c r="D223" s="0" t="s">
        <v>575</v>
      </c>
      <c r="E223" s="0" t="s">
        <v>185</v>
      </c>
      <c r="F223" s="0" t="s">
        <v>328</v>
      </c>
      <c r="G223" s="0" t="s">
        <v>329</v>
      </c>
      <c r="H223" s="0" t="s">
        <v>185</v>
      </c>
    </row>
    <row r="224">
      <c r="A224" s="0" t="s">
        <v>425</v>
      </c>
      <c r="B224" s="0">
        <v>5751</v>
      </c>
      <c r="C224" s="0" t="s">
        <v>236</v>
      </c>
      <c r="D224" s="0" t="s">
        <v>576</v>
      </c>
      <c r="E224" s="0" t="s">
        <v>185</v>
      </c>
      <c r="F224" s="0" t="s">
        <v>328</v>
      </c>
      <c r="G224" s="0" t="s">
        <v>329</v>
      </c>
      <c r="H224" s="0" t="s">
        <v>185</v>
      </c>
    </row>
    <row r="225">
      <c r="A225" s="0" t="s">
        <v>375</v>
      </c>
      <c r="B225" s="0">
        <v>5830</v>
      </c>
      <c r="C225" s="0" t="s">
        <v>236</v>
      </c>
      <c r="D225" s="0" t="s">
        <v>577</v>
      </c>
      <c r="E225" s="0" t="s">
        <v>185</v>
      </c>
      <c r="F225" s="0" t="s">
        <v>377</v>
      </c>
      <c r="G225" s="0" t="s">
        <v>297</v>
      </c>
      <c r="H225" s="0" t="s">
        <v>185</v>
      </c>
    </row>
    <row r="226">
      <c r="A226" s="0" t="s">
        <v>509</v>
      </c>
      <c r="B226" s="0">
        <v>5831</v>
      </c>
      <c r="C226" s="0" t="s">
        <v>236</v>
      </c>
      <c r="D226" s="0" t="s">
        <v>578</v>
      </c>
      <c r="E226" s="0" t="s">
        <v>185</v>
      </c>
      <c r="F226" s="0" t="s">
        <v>328</v>
      </c>
      <c r="G226" s="0" t="s">
        <v>329</v>
      </c>
      <c r="H226" s="0" t="s">
        <v>185</v>
      </c>
    </row>
    <row r="227">
      <c r="A227" s="0" t="s">
        <v>72</v>
      </c>
      <c r="B227" s="0">
        <v>5840</v>
      </c>
      <c r="C227" s="0" t="s">
        <v>236</v>
      </c>
      <c r="D227" s="0" t="s">
        <v>579</v>
      </c>
      <c r="E227" s="0" t="s">
        <v>185</v>
      </c>
      <c r="F227" s="0" t="s">
        <v>328</v>
      </c>
      <c r="G227" s="0" t="s">
        <v>329</v>
      </c>
      <c r="H227" s="0" t="s">
        <v>185</v>
      </c>
    </row>
    <row r="228">
      <c r="A228" s="0" t="s">
        <v>142</v>
      </c>
      <c r="B228" s="0">
        <v>5907</v>
      </c>
      <c r="C228" s="0" t="s">
        <v>236</v>
      </c>
      <c r="D228" s="0" t="s">
        <v>580</v>
      </c>
      <c r="E228" s="0" t="s">
        <v>185</v>
      </c>
      <c r="F228" s="0" t="s">
        <v>328</v>
      </c>
      <c r="G228" s="0" t="s">
        <v>329</v>
      </c>
      <c r="H228" s="0" t="s">
        <v>185</v>
      </c>
    </row>
    <row r="229">
      <c r="A229" s="0" t="s">
        <v>351</v>
      </c>
      <c r="B229" s="0">
        <v>5926</v>
      </c>
      <c r="C229" s="0" t="s">
        <v>236</v>
      </c>
      <c r="D229" s="0" t="s">
        <v>581</v>
      </c>
      <c r="E229" s="0" t="s">
        <v>185</v>
      </c>
      <c r="F229" s="0" t="s">
        <v>185</v>
      </c>
      <c r="G229" s="0" t="s">
        <v>297</v>
      </c>
      <c r="H229" s="0" t="s">
        <v>185</v>
      </c>
    </row>
    <row r="230">
      <c r="A230" s="0" t="s">
        <v>351</v>
      </c>
      <c r="B230" s="0">
        <v>5927</v>
      </c>
      <c r="C230" s="0" t="s">
        <v>236</v>
      </c>
      <c r="D230" s="0" t="s">
        <v>558</v>
      </c>
      <c r="E230" s="0" t="s">
        <v>185</v>
      </c>
      <c r="F230" s="0" t="s">
        <v>328</v>
      </c>
      <c r="G230" s="0" t="s">
        <v>303</v>
      </c>
      <c r="H230" s="0" t="s">
        <v>185</v>
      </c>
    </row>
    <row r="231">
      <c r="A231" s="0" t="s">
        <v>444</v>
      </c>
      <c r="B231" s="0">
        <v>5984</v>
      </c>
      <c r="C231" s="0" t="s">
        <v>236</v>
      </c>
      <c r="D231" s="0" t="s">
        <v>582</v>
      </c>
      <c r="E231" s="0" t="s">
        <v>185</v>
      </c>
      <c r="F231" s="0" t="s">
        <v>328</v>
      </c>
      <c r="G231" s="0" t="s">
        <v>329</v>
      </c>
      <c r="H231" s="0" t="s">
        <v>185</v>
      </c>
    </row>
    <row r="232">
      <c r="A232" s="0" t="s">
        <v>48</v>
      </c>
      <c r="B232" s="0">
        <v>6476</v>
      </c>
      <c r="C232" s="0" t="s">
        <v>236</v>
      </c>
      <c r="D232" s="0" t="s">
        <v>583</v>
      </c>
      <c r="E232" s="0" t="s">
        <v>185</v>
      </c>
      <c r="F232" s="0" t="s">
        <v>328</v>
      </c>
      <c r="G232" s="0" t="s">
        <v>329</v>
      </c>
      <c r="H232" s="0" t="s">
        <v>584</v>
      </c>
    </row>
    <row r="233">
      <c r="A233" s="0" t="s">
        <v>425</v>
      </c>
      <c r="B233" s="0">
        <v>6479</v>
      </c>
      <c r="C233" s="0" t="s">
        <v>236</v>
      </c>
      <c r="D233" s="0" t="s">
        <v>585</v>
      </c>
      <c r="E233" s="0" t="s">
        <v>185</v>
      </c>
      <c r="F233" s="0" t="s">
        <v>328</v>
      </c>
      <c r="G233" s="0" t="s">
        <v>329</v>
      </c>
      <c r="H233" s="0" t="s">
        <v>438</v>
      </c>
    </row>
    <row r="234">
      <c r="A234" s="0" t="s">
        <v>99</v>
      </c>
      <c r="B234" s="0">
        <v>6486</v>
      </c>
      <c r="C234" s="0" t="s">
        <v>236</v>
      </c>
      <c r="D234" s="0" t="s">
        <v>586</v>
      </c>
      <c r="E234" s="0" t="s">
        <v>185</v>
      </c>
      <c r="F234" s="0" t="s">
        <v>328</v>
      </c>
      <c r="G234" s="0" t="s">
        <v>329</v>
      </c>
      <c r="H234" s="0" t="s">
        <v>185</v>
      </c>
    </row>
    <row r="235">
      <c r="A235" s="0" t="s">
        <v>425</v>
      </c>
      <c r="B235" s="0">
        <v>6496</v>
      </c>
      <c r="C235" s="0" t="s">
        <v>236</v>
      </c>
      <c r="D235" s="0" t="s">
        <v>587</v>
      </c>
      <c r="E235" s="0" t="s">
        <v>185</v>
      </c>
      <c r="F235" s="0" t="s">
        <v>328</v>
      </c>
      <c r="G235" s="0" t="s">
        <v>329</v>
      </c>
      <c r="H235" s="0" t="s">
        <v>185</v>
      </c>
    </row>
    <row r="236">
      <c r="A236" s="0" t="s">
        <v>72</v>
      </c>
      <c r="B236" s="0">
        <v>6713</v>
      </c>
      <c r="C236" s="0" t="s">
        <v>236</v>
      </c>
      <c r="D236" s="0" t="s">
        <v>588</v>
      </c>
      <c r="E236" s="0" t="s">
        <v>185</v>
      </c>
      <c r="F236" s="0" t="s">
        <v>328</v>
      </c>
      <c r="G236" s="0" t="s">
        <v>329</v>
      </c>
      <c r="H236" s="0" t="s">
        <v>185</v>
      </c>
    </row>
    <row r="237">
      <c r="A237" s="0" t="s">
        <v>439</v>
      </c>
      <c r="B237" s="0">
        <v>6885</v>
      </c>
      <c r="C237" s="0" t="s">
        <v>236</v>
      </c>
      <c r="D237" s="0" t="s">
        <v>589</v>
      </c>
      <c r="E237" s="0" t="s">
        <v>185</v>
      </c>
      <c r="F237" s="0" t="s">
        <v>328</v>
      </c>
      <c r="G237" s="0" t="s">
        <v>329</v>
      </c>
      <c r="H237" s="0" t="s">
        <v>438</v>
      </c>
    </row>
    <row r="238">
      <c r="A238" s="0" t="s">
        <v>351</v>
      </c>
      <c r="B238" s="0">
        <v>6929</v>
      </c>
      <c r="C238" s="0" t="s">
        <v>236</v>
      </c>
      <c r="D238" s="0" t="s">
        <v>590</v>
      </c>
      <c r="E238" s="0" t="s">
        <v>185</v>
      </c>
      <c r="F238" s="0" t="s">
        <v>328</v>
      </c>
      <c r="G238" s="0" t="s">
        <v>329</v>
      </c>
      <c r="H238" s="0" t="s">
        <v>591</v>
      </c>
    </row>
    <row r="239">
      <c r="A239" s="0" t="s">
        <v>497</v>
      </c>
      <c r="B239" s="0">
        <v>7007</v>
      </c>
      <c r="C239" s="0" t="s">
        <v>236</v>
      </c>
      <c r="D239" s="0" t="s">
        <v>592</v>
      </c>
      <c r="E239" s="0" t="s">
        <v>185</v>
      </c>
      <c r="F239" s="0" t="s">
        <v>328</v>
      </c>
      <c r="G239" s="0" t="s">
        <v>303</v>
      </c>
      <c r="H239" s="0" t="s">
        <v>185</v>
      </c>
    </row>
    <row r="240">
      <c r="A240" s="0" t="s">
        <v>434</v>
      </c>
      <c r="B240" s="0">
        <v>7012</v>
      </c>
      <c r="C240" s="0" t="s">
        <v>236</v>
      </c>
      <c r="D240" s="0" t="s">
        <v>593</v>
      </c>
      <c r="E240" s="0" t="s">
        <v>185</v>
      </c>
      <c r="F240" s="0" t="s">
        <v>411</v>
      </c>
      <c r="G240" s="0" t="s">
        <v>329</v>
      </c>
      <c r="H240" s="0" t="s">
        <v>185</v>
      </c>
    </row>
    <row r="241">
      <c r="A241" s="0" t="s">
        <v>434</v>
      </c>
      <c r="B241" s="0">
        <v>7718</v>
      </c>
      <c r="C241" s="0" t="s">
        <v>236</v>
      </c>
      <c r="D241" s="0" t="s">
        <v>594</v>
      </c>
      <c r="E241" s="0" t="s">
        <v>185</v>
      </c>
      <c r="F241" s="0" t="s">
        <v>328</v>
      </c>
      <c r="G241" s="0" t="s">
        <v>329</v>
      </c>
      <c r="H241" s="0" t="s">
        <v>185</v>
      </c>
    </row>
    <row r="242">
      <c r="A242" s="0" t="s">
        <v>48</v>
      </c>
      <c r="B242" s="0">
        <v>7738</v>
      </c>
      <c r="C242" s="0" t="s">
        <v>236</v>
      </c>
      <c r="D242" s="0" t="s">
        <v>595</v>
      </c>
      <c r="E242" s="0" t="s">
        <v>185</v>
      </c>
      <c r="F242" s="0" t="s">
        <v>328</v>
      </c>
      <c r="G242" s="0" t="s">
        <v>329</v>
      </c>
      <c r="H242" s="0" t="s">
        <v>185</v>
      </c>
    </row>
    <row r="243">
      <c r="A243" s="0" t="s">
        <v>48</v>
      </c>
      <c r="B243" s="0">
        <v>7750</v>
      </c>
      <c r="C243" s="0" t="s">
        <v>236</v>
      </c>
      <c r="D243" s="0" t="s">
        <v>596</v>
      </c>
      <c r="E243" s="0" t="s">
        <v>185</v>
      </c>
      <c r="F243" s="0" t="s">
        <v>328</v>
      </c>
      <c r="G243" s="0" t="s">
        <v>329</v>
      </c>
      <c r="H243" s="0" t="s">
        <v>185</v>
      </c>
    </row>
    <row r="244">
      <c r="A244" s="0" t="s">
        <v>439</v>
      </c>
      <c r="B244" s="0">
        <v>7762</v>
      </c>
      <c r="C244" s="0" t="s">
        <v>236</v>
      </c>
      <c r="D244" s="0" t="s">
        <v>597</v>
      </c>
      <c r="E244" s="0" t="s">
        <v>185</v>
      </c>
      <c r="F244" s="0" t="s">
        <v>328</v>
      </c>
      <c r="G244" s="0" t="s">
        <v>329</v>
      </c>
      <c r="H244" s="0" t="s">
        <v>185</v>
      </c>
    </row>
    <row r="245">
      <c r="A245" s="0" t="s">
        <v>468</v>
      </c>
      <c r="B245" s="0">
        <v>7836</v>
      </c>
      <c r="C245" s="0" t="s">
        <v>236</v>
      </c>
      <c r="D245" s="0" t="s">
        <v>558</v>
      </c>
      <c r="E245" s="0" t="s">
        <v>185</v>
      </c>
      <c r="F245" s="0" t="s">
        <v>328</v>
      </c>
      <c r="G245" s="0" t="s">
        <v>329</v>
      </c>
      <c r="H245" s="0" t="s">
        <v>185</v>
      </c>
    </row>
    <row r="246">
      <c r="A246" s="0" t="s">
        <v>402</v>
      </c>
      <c r="B246" s="0">
        <v>7846</v>
      </c>
      <c r="C246" s="0" t="s">
        <v>236</v>
      </c>
      <c r="D246" s="0" t="s">
        <v>598</v>
      </c>
      <c r="E246" s="0" t="s">
        <v>185</v>
      </c>
      <c r="F246" s="0" t="s">
        <v>328</v>
      </c>
      <c r="G246" s="0" t="s">
        <v>329</v>
      </c>
      <c r="H246" s="0" t="s">
        <v>185</v>
      </c>
    </row>
    <row r="247">
      <c r="A247" s="0" t="s">
        <v>468</v>
      </c>
      <c r="B247" s="0">
        <v>7860</v>
      </c>
      <c r="C247" s="0" t="s">
        <v>236</v>
      </c>
      <c r="D247" s="0" t="s">
        <v>599</v>
      </c>
      <c r="E247" s="0" t="s">
        <v>185</v>
      </c>
      <c r="F247" s="0" t="s">
        <v>328</v>
      </c>
      <c r="G247" s="0" t="s">
        <v>329</v>
      </c>
      <c r="H247" s="0" t="s">
        <v>438</v>
      </c>
    </row>
    <row r="248">
      <c r="A248" s="0" t="s">
        <v>402</v>
      </c>
      <c r="B248" s="0">
        <v>7897</v>
      </c>
      <c r="C248" s="0" t="s">
        <v>236</v>
      </c>
      <c r="D248" s="0" t="s">
        <v>600</v>
      </c>
      <c r="E248" s="0" t="s">
        <v>185</v>
      </c>
      <c r="F248" s="0" t="s">
        <v>328</v>
      </c>
      <c r="G248" s="0" t="s">
        <v>329</v>
      </c>
      <c r="H248" s="0" t="s">
        <v>185</v>
      </c>
    </row>
    <row r="249">
      <c r="A249" s="0" t="s">
        <v>105</v>
      </c>
      <c r="B249" s="0">
        <v>7936</v>
      </c>
      <c r="C249" s="0" t="s">
        <v>236</v>
      </c>
      <c r="D249" s="0" t="s">
        <v>256</v>
      </c>
      <c r="E249" s="0" t="s">
        <v>185</v>
      </c>
      <c r="F249" s="0" t="s">
        <v>331</v>
      </c>
      <c r="G249" s="0" t="s">
        <v>303</v>
      </c>
      <c r="H249" s="0" t="s">
        <v>601</v>
      </c>
    </row>
    <row r="250">
      <c r="A250" s="0" t="s">
        <v>602</v>
      </c>
      <c r="B250" s="0">
        <v>7939</v>
      </c>
      <c r="C250" s="0" t="s">
        <v>236</v>
      </c>
      <c r="D250" s="0" t="s">
        <v>603</v>
      </c>
      <c r="E250" s="0" t="s">
        <v>185</v>
      </c>
      <c r="F250" s="0" t="s">
        <v>604</v>
      </c>
      <c r="G250" s="0" t="s">
        <v>303</v>
      </c>
      <c r="H250" s="0" t="s">
        <v>591</v>
      </c>
    </row>
    <row r="251">
      <c r="A251" s="0" t="s">
        <v>72</v>
      </c>
      <c r="B251" s="0">
        <v>7942</v>
      </c>
      <c r="C251" s="0" t="s">
        <v>236</v>
      </c>
      <c r="D251" s="0" t="s">
        <v>605</v>
      </c>
      <c r="E251" s="0" t="s">
        <v>185</v>
      </c>
      <c r="F251" s="0" t="s">
        <v>606</v>
      </c>
      <c r="G251" s="0" t="s">
        <v>303</v>
      </c>
      <c r="H251" s="0" t="s">
        <v>601</v>
      </c>
    </row>
    <row r="252">
      <c r="A252" s="0" t="s">
        <v>326</v>
      </c>
      <c r="B252" s="0">
        <v>7950</v>
      </c>
      <c r="C252" s="0" t="s">
        <v>236</v>
      </c>
      <c r="D252" s="0" t="s">
        <v>607</v>
      </c>
      <c r="E252" s="0" t="s">
        <v>185</v>
      </c>
      <c r="F252" s="0" t="s">
        <v>185</v>
      </c>
      <c r="G252" s="0" t="s">
        <v>329</v>
      </c>
      <c r="H252" s="0" t="s">
        <v>608</v>
      </c>
    </row>
    <row r="253">
      <c r="A253" s="0" t="s">
        <v>497</v>
      </c>
      <c r="B253" s="0">
        <v>7956</v>
      </c>
      <c r="C253" s="0" t="s">
        <v>236</v>
      </c>
      <c r="D253" s="0" t="s">
        <v>609</v>
      </c>
      <c r="E253" s="0" t="s">
        <v>185</v>
      </c>
      <c r="F253" s="0" t="s">
        <v>328</v>
      </c>
      <c r="G253" s="0" t="s">
        <v>329</v>
      </c>
      <c r="H253" s="0" t="s">
        <v>185</v>
      </c>
    </row>
    <row r="254">
      <c r="A254" s="0" t="s">
        <v>72</v>
      </c>
      <c r="B254" s="0">
        <v>8010</v>
      </c>
      <c r="C254" s="0" t="s">
        <v>236</v>
      </c>
      <c r="D254" s="0" t="s">
        <v>610</v>
      </c>
      <c r="E254" s="0" t="s">
        <v>185</v>
      </c>
      <c r="F254" s="0" t="s">
        <v>606</v>
      </c>
      <c r="G254" s="0" t="s">
        <v>303</v>
      </c>
      <c r="H254" s="0" t="s">
        <v>601</v>
      </c>
    </row>
    <row r="255">
      <c r="A255" s="0" t="s">
        <v>72</v>
      </c>
      <c r="B255" s="0">
        <v>8011</v>
      </c>
      <c r="C255" s="0" t="s">
        <v>236</v>
      </c>
      <c r="D255" s="0" t="s">
        <v>611</v>
      </c>
      <c r="E255" s="0" t="s">
        <v>185</v>
      </c>
      <c r="F255" s="0" t="s">
        <v>606</v>
      </c>
      <c r="G255" s="0" t="s">
        <v>303</v>
      </c>
      <c r="H255" s="0" t="s">
        <v>540</v>
      </c>
    </row>
    <row r="256">
      <c r="A256" s="0" t="s">
        <v>439</v>
      </c>
      <c r="B256" s="0">
        <v>8044</v>
      </c>
      <c r="C256" s="0" t="s">
        <v>236</v>
      </c>
      <c r="D256" s="0" t="s">
        <v>612</v>
      </c>
      <c r="E256" s="0" t="s">
        <v>185</v>
      </c>
      <c r="F256" s="0" t="s">
        <v>328</v>
      </c>
      <c r="G256" s="0" t="s">
        <v>329</v>
      </c>
      <c r="H256" s="0" t="s">
        <v>185</v>
      </c>
    </row>
    <row r="257">
      <c r="A257" s="0" t="s">
        <v>402</v>
      </c>
      <c r="B257" s="0">
        <v>8086</v>
      </c>
      <c r="C257" s="0" t="s">
        <v>236</v>
      </c>
      <c r="D257" s="0" t="s">
        <v>613</v>
      </c>
      <c r="E257" s="0" t="s">
        <v>185</v>
      </c>
      <c r="F257" s="0" t="s">
        <v>328</v>
      </c>
      <c r="G257" s="0" t="s">
        <v>329</v>
      </c>
      <c r="H257" s="0" t="s">
        <v>185</v>
      </c>
    </row>
    <row r="258">
      <c r="A258" s="0" t="s">
        <v>351</v>
      </c>
      <c r="B258" s="0">
        <v>8145</v>
      </c>
      <c r="C258" s="0" t="s">
        <v>236</v>
      </c>
      <c r="D258" s="0" t="s">
        <v>614</v>
      </c>
      <c r="E258" s="0" t="s">
        <v>185</v>
      </c>
      <c r="F258" s="0" t="s">
        <v>328</v>
      </c>
      <c r="G258" s="0" t="s">
        <v>329</v>
      </c>
      <c r="H258" s="0" t="s">
        <v>615</v>
      </c>
    </row>
    <row r="259">
      <c r="A259" s="0" t="s">
        <v>434</v>
      </c>
      <c r="B259" s="0">
        <v>8146</v>
      </c>
      <c r="C259" s="0" t="s">
        <v>236</v>
      </c>
      <c r="D259" s="0" t="s">
        <v>616</v>
      </c>
      <c r="E259" s="0" t="s">
        <v>185</v>
      </c>
      <c r="F259" s="0" t="s">
        <v>328</v>
      </c>
      <c r="G259" s="0" t="s">
        <v>329</v>
      </c>
      <c r="H259" s="0" t="s">
        <v>185</v>
      </c>
    </row>
    <row r="260">
      <c r="A260" s="0" t="s">
        <v>444</v>
      </c>
      <c r="B260" s="0">
        <v>8167</v>
      </c>
      <c r="C260" s="0" t="s">
        <v>236</v>
      </c>
      <c r="D260" s="0" t="s">
        <v>617</v>
      </c>
      <c r="E260" s="0" t="s">
        <v>185</v>
      </c>
      <c r="F260" s="0" t="s">
        <v>328</v>
      </c>
      <c r="G260" s="0" t="s">
        <v>329</v>
      </c>
      <c r="H260" s="0" t="s">
        <v>438</v>
      </c>
    </row>
    <row r="261">
      <c r="A261" s="0" t="s">
        <v>618</v>
      </c>
      <c r="B261" s="0">
        <v>8182</v>
      </c>
      <c r="C261" s="0" t="s">
        <v>236</v>
      </c>
      <c r="D261" s="0" t="s">
        <v>619</v>
      </c>
      <c r="E261" s="0" t="s">
        <v>185</v>
      </c>
      <c r="F261" s="0" t="s">
        <v>328</v>
      </c>
      <c r="G261" s="0" t="s">
        <v>297</v>
      </c>
      <c r="H261" s="0" t="s">
        <v>620</v>
      </c>
    </row>
    <row r="262">
      <c r="A262" s="0" t="s">
        <v>602</v>
      </c>
      <c r="B262" s="0">
        <v>8190</v>
      </c>
      <c r="C262" s="0" t="s">
        <v>236</v>
      </c>
      <c r="D262" s="0" t="s">
        <v>621</v>
      </c>
      <c r="E262" s="0" t="s">
        <v>185</v>
      </c>
      <c r="F262" s="0" t="s">
        <v>328</v>
      </c>
      <c r="G262" s="0" t="s">
        <v>329</v>
      </c>
      <c r="H262" s="0" t="s">
        <v>185</v>
      </c>
    </row>
    <row r="263">
      <c r="A263" s="0" t="s">
        <v>351</v>
      </c>
      <c r="B263" s="0">
        <v>8199</v>
      </c>
      <c r="C263" s="0" t="s">
        <v>236</v>
      </c>
      <c r="D263" s="0" t="s">
        <v>622</v>
      </c>
      <c r="E263" s="0" t="s">
        <v>185</v>
      </c>
      <c r="F263" s="0" t="s">
        <v>328</v>
      </c>
      <c r="G263" s="0" t="s">
        <v>329</v>
      </c>
      <c r="H263" s="0" t="s">
        <v>185</v>
      </c>
    </row>
    <row r="264">
      <c r="A264" s="0" t="s">
        <v>402</v>
      </c>
      <c r="B264" s="0">
        <v>8210</v>
      </c>
      <c r="C264" s="0" t="s">
        <v>236</v>
      </c>
      <c r="D264" s="0" t="s">
        <v>623</v>
      </c>
      <c r="E264" s="0" t="s">
        <v>185</v>
      </c>
      <c r="F264" s="0" t="s">
        <v>185</v>
      </c>
      <c r="G264" s="0" t="s">
        <v>369</v>
      </c>
      <c r="H264" s="0" t="s">
        <v>185</v>
      </c>
    </row>
    <row r="265">
      <c r="A265" s="0" t="s">
        <v>375</v>
      </c>
      <c r="B265" s="0">
        <v>8214</v>
      </c>
      <c r="C265" s="0" t="s">
        <v>236</v>
      </c>
      <c r="D265" s="0" t="s">
        <v>624</v>
      </c>
      <c r="E265" s="0" t="s">
        <v>185</v>
      </c>
      <c r="F265" s="0" t="s">
        <v>377</v>
      </c>
      <c r="G265" s="0" t="s">
        <v>297</v>
      </c>
      <c r="H265" s="0" t="s">
        <v>185</v>
      </c>
    </row>
    <row r="266">
      <c r="A266" s="0" t="s">
        <v>375</v>
      </c>
      <c r="B266" s="0">
        <v>8215</v>
      </c>
      <c r="C266" s="0" t="s">
        <v>236</v>
      </c>
      <c r="D266" s="0" t="s">
        <v>625</v>
      </c>
      <c r="E266" s="0" t="s">
        <v>185</v>
      </c>
      <c r="F266" s="0" t="s">
        <v>377</v>
      </c>
      <c r="G266" s="0" t="s">
        <v>297</v>
      </c>
      <c r="H266" s="0" t="s">
        <v>185</v>
      </c>
    </row>
    <row r="267">
      <c r="A267" s="0" t="s">
        <v>375</v>
      </c>
      <c r="B267" s="0">
        <v>8216</v>
      </c>
      <c r="C267" s="0" t="s">
        <v>236</v>
      </c>
      <c r="D267" s="0" t="s">
        <v>626</v>
      </c>
      <c r="E267" s="0" t="s">
        <v>185</v>
      </c>
      <c r="F267" s="0" t="s">
        <v>377</v>
      </c>
      <c r="G267" s="0" t="s">
        <v>297</v>
      </c>
      <c r="H267" s="0" t="s">
        <v>185</v>
      </c>
    </row>
    <row r="268">
      <c r="A268" s="0" t="s">
        <v>375</v>
      </c>
      <c r="B268" s="0">
        <v>8245</v>
      </c>
      <c r="C268" s="0" t="s">
        <v>236</v>
      </c>
      <c r="D268" s="0" t="s">
        <v>627</v>
      </c>
      <c r="E268" s="0" t="s">
        <v>185</v>
      </c>
      <c r="F268" s="0" t="s">
        <v>377</v>
      </c>
      <c r="G268" s="0" t="s">
        <v>297</v>
      </c>
      <c r="H268" s="0" t="s">
        <v>185</v>
      </c>
    </row>
    <row r="269">
      <c r="A269" s="0" t="s">
        <v>434</v>
      </c>
      <c r="B269" s="0">
        <v>8273</v>
      </c>
      <c r="C269" s="0" t="s">
        <v>236</v>
      </c>
      <c r="D269" s="0" t="s">
        <v>628</v>
      </c>
      <c r="E269" s="0" t="s">
        <v>185</v>
      </c>
      <c r="F269" s="0" t="s">
        <v>411</v>
      </c>
      <c r="G269" s="0" t="s">
        <v>303</v>
      </c>
      <c r="H269" s="0" t="s">
        <v>629</v>
      </c>
    </row>
    <row r="270">
      <c r="A270" s="0" t="s">
        <v>630</v>
      </c>
      <c r="B270" s="0">
        <v>8284</v>
      </c>
      <c r="C270" s="0" t="s">
        <v>236</v>
      </c>
      <c r="D270" s="0" t="s">
        <v>631</v>
      </c>
      <c r="E270" s="0" t="s">
        <v>185</v>
      </c>
      <c r="F270" s="0" t="s">
        <v>604</v>
      </c>
      <c r="G270" s="0" t="s">
        <v>329</v>
      </c>
      <c r="H270" s="0" t="s">
        <v>185</v>
      </c>
    </row>
    <row r="271">
      <c r="A271" s="0" t="s">
        <v>439</v>
      </c>
      <c r="B271" s="0">
        <v>8289</v>
      </c>
      <c r="C271" s="0" t="s">
        <v>236</v>
      </c>
      <c r="D271" s="0" t="s">
        <v>632</v>
      </c>
      <c r="E271" s="0" t="s">
        <v>185</v>
      </c>
      <c r="F271" s="0" t="s">
        <v>328</v>
      </c>
      <c r="G271" s="0" t="s">
        <v>329</v>
      </c>
      <c r="H271" s="0" t="s">
        <v>185</v>
      </c>
    </row>
    <row r="272">
      <c r="A272" s="0" t="s">
        <v>375</v>
      </c>
      <c r="B272" s="0">
        <v>8291</v>
      </c>
      <c r="C272" s="0" t="s">
        <v>236</v>
      </c>
      <c r="D272" s="0" t="s">
        <v>633</v>
      </c>
      <c r="E272" s="0" t="s">
        <v>185</v>
      </c>
      <c r="F272" s="0" t="s">
        <v>377</v>
      </c>
      <c r="G272" s="0" t="s">
        <v>297</v>
      </c>
      <c r="H272" s="0" t="s">
        <v>185</v>
      </c>
    </row>
    <row r="273">
      <c r="A273" s="0" t="s">
        <v>425</v>
      </c>
      <c r="B273" s="0">
        <v>8303</v>
      </c>
      <c r="C273" s="0" t="s">
        <v>236</v>
      </c>
      <c r="D273" s="0" t="s">
        <v>634</v>
      </c>
      <c r="E273" s="0" t="s">
        <v>185</v>
      </c>
      <c r="F273" s="0" t="s">
        <v>331</v>
      </c>
      <c r="G273" s="0" t="s">
        <v>329</v>
      </c>
      <c r="H273" s="0" t="s">
        <v>635</v>
      </c>
    </row>
    <row r="274">
      <c r="A274" s="0" t="s">
        <v>636</v>
      </c>
      <c r="B274" s="0">
        <v>8338</v>
      </c>
      <c r="C274" s="0" t="s">
        <v>236</v>
      </c>
      <c r="D274" s="0" t="s">
        <v>637</v>
      </c>
      <c r="E274" s="0" t="s">
        <v>185</v>
      </c>
      <c r="F274" s="0" t="s">
        <v>539</v>
      </c>
      <c r="G274" s="0" t="s">
        <v>329</v>
      </c>
      <c r="H274" s="0" t="s">
        <v>185</v>
      </c>
    </row>
    <row r="275">
      <c r="A275" s="0" t="s">
        <v>434</v>
      </c>
      <c r="B275" s="0">
        <v>8481</v>
      </c>
      <c r="C275" s="0" t="s">
        <v>236</v>
      </c>
      <c r="D275" s="0" t="s">
        <v>638</v>
      </c>
      <c r="E275" s="0" t="s">
        <v>185</v>
      </c>
      <c r="F275" s="0" t="s">
        <v>639</v>
      </c>
      <c r="G275" s="0" t="s">
        <v>329</v>
      </c>
      <c r="H275" s="0" t="s">
        <v>185</v>
      </c>
    </row>
    <row r="276">
      <c r="A276" s="0" t="s">
        <v>434</v>
      </c>
      <c r="B276" s="0">
        <v>8482</v>
      </c>
      <c r="C276" s="0" t="s">
        <v>236</v>
      </c>
      <c r="D276" s="0" t="s">
        <v>640</v>
      </c>
      <c r="E276" s="0" t="s">
        <v>185</v>
      </c>
      <c r="F276" s="0" t="s">
        <v>328</v>
      </c>
      <c r="G276" s="0" t="s">
        <v>329</v>
      </c>
      <c r="H276" s="0" t="s">
        <v>185</v>
      </c>
    </row>
    <row r="277">
      <c r="A277" s="0" t="s">
        <v>375</v>
      </c>
      <c r="B277" s="0">
        <v>8497</v>
      </c>
      <c r="C277" s="0" t="s">
        <v>236</v>
      </c>
      <c r="D277" s="0" t="s">
        <v>641</v>
      </c>
      <c r="E277" s="0" t="s">
        <v>185</v>
      </c>
      <c r="F277" s="0" t="s">
        <v>377</v>
      </c>
      <c r="G277" s="0" t="s">
        <v>297</v>
      </c>
      <c r="H277" s="0" t="s">
        <v>185</v>
      </c>
    </row>
    <row r="278">
      <c r="A278" s="0" t="s">
        <v>444</v>
      </c>
      <c r="B278" s="0">
        <v>8520</v>
      </c>
      <c r="C278" s="0" t="s">
        <v>236</v>
      </c>
      <c r="D278" s="0" t="s">
        <v>642</v>
      </c>
      <c r="E278" s="0" t="s">
        <v>185</v>
      </c>
      <c r="F278" s="0" t="s">
        <v>411</v>
      </c>
      <c r="G278" s="0" t="s">
        <v>329</v>
      </c>
      <c r="H278" s="0" t="s">
        <v>438</v>
      </c>
    </row>
    <row r="279">
      <c r="A279" s="0" t="s">
        <v>434</v>
      </c>
      <c r="B279" s="0">
        <v>8521</v>
      </c>
      <c r="C279" s="0" t="s">
        <v>236</v>
      </c>
      <c r="D279" s="0" t="s">
        <v>643</v>
      </c>
      <c r="E279" s="0" t="s">
        <v>185</v>
      </c>
      <c r="F279" s="0" t="s">
        <v>411</v>
      </c>
      <c r="G279" s="0" t="s">
        <v>329</v>
      </c>
      <c r="H279" s="0" t="s">
        <v>185</v>
      </c>
    </row>
    <row r="280">
      <c r="A280" s="0" t="s">
        <v>351</v>
      </c>
      <c r="B280" s="0">
        <v>8524</v>
      </c>
      <c r="C280" s="0" t="s">
        <v>236</v>
      </c>
      <c r="D280" s="0" t="s">
        <v>644</v>
      </c>
      <c r="E280" s="0" t="s">
        <v>185</v>
      </c>
      <c r="F280" s="0" t="s">
        <v>328</v>
      </c>
      <c r="G280" s="0" t="s">
        <v>329</v>
      </c>
      <c r="H280" s="0" t="s">
        <v>185</v>
      </c>
    </row>
    <row r="281">
      <c r="A281" s="0" t="s">
        <v>375</v>
      </c>
      <c r="B281" s="0">
        <v>8534</v>
      </c>
      <c r="C281" s="0" t="s">
        <v>236</v>
      </c>
      <c r="D281" s="0" t="s">
        <v>645</v>
      </c>
      <c r="E281" s="0" t="s">
        <v>185</v>
      </c>
      <c r="F281" s="0" t="s">
        <v>377</v>
      </c>
      <c r="G281" s="0" t="s">
        <v>297</v>
      </c>
      <c r="H281" s="0" t="s">
        <v>185</v>
      </c>
    </row>
    <row r="282">
      <c r="A282" s="0" t="s">
        <v>72</v>
      </c>
      <c r="B282" s="0">
        <v>8543</v>
      </c>
      <c r="C282" s="0" t="s">
        <v>236</v>
      </c>
      <c r="D282" s="0" t="s">
        <v>646</v>
      </c>
      <c r="E282" s="0" t="s">
        <v>185</v>
      </c>
      <c r="F282" s="0" t="s">
        <v>185</v>
      </c>
      <c r="G282" s="0" t="s">
        <v>297</v>
      </c>
      <c r="H282" s="0" t="s">
        <v>620</v>
      </c>
    </row>
    <row r="283">
      <c r="A283" s="0" t="s">
        <v>402</v>
      </c>
      <c r="B283" s="0">
        <v>8547</v>
      </c>
      <c r="C283" s="0" t="s">
        <v>236</v>
      </c>
      <c r="D283" s="0" t="s">
        <v>647</v>
      </c>
      <c r="E283" s="0" t="s">
        <v>185</v>
      </c>
      <c r="F283" s="0" t="s">
        <v>331</v>
      </c>
      <c r="G283" s="0" t="s">
        <v>329</v>
      </c>
      <c r="H283" s="0" t="s">
        <v>591</v>
      </c>
    </row>
    <row r="284">
      <c r="A284" s="0" t="s">
        <v>48</v>
      </c>
      <c r="B284" s="0">
        <v>8554</v>
      </c>
      <c r="C284" s="0" t="s">
        <v>236</v>
      </c>
      <c r="D284" s="0" t="s">
        <v>246</v>
      </c>
      <c r="E284" s="0" t="s">
        <v>185</v>
      </c>
      <c r="F284" s="0" t="s">
        <v>648</v>
      </c>
      <c r="G284" s="0" t="s">
        <v>303</v>
      </c>
      <c r="H284" s="0" t="s">
        <v>649</v>
      </c>
    </row>
    <row r="285">
      <c r="A285" s="0" t="s">
        <v>351</v>
      </c>
      <c r="B285" s="0">
        <v>8562</v>
      </c>
      <c r="C285" s="0" t="s">
        <v>236</v>
      </c>
      <c r="D285" s="0" t="s">
        <v>650</v>
      </c>
      <c r="E285" s="0" t="s">
        <v>185</v>
      </c>
      <c r="F285" s="0" t="s">
        <v>328</v>
      </c>
      <c r="G285" s="0" t="s">
        <v>329</v>
      </c>
      <c r="H285" s="0" t="s">
        <v>651</v>
      </c>
    </row>
    <row r="286">
      <c r="A286" s="0" t="s">
        <v>99</v>
      </c>
      <c r="B286" s="0">
        <v>8578</v>
      </c>
      <c r="C286" s="0" t="s">
        <v>236</v>
      </c>
      <c r="D286" s="0" t="s">
        <v>652</v>
      </c>
      <c r="E286" s="0" t="s">
        <v>185</v>
      </c>
      <c r="F286" s="0" t="s">
        <v>411</v>
      </c>
      <c r="G286" s="0" t="s">
        <v>329</v>
      </c>
      <c r="H286" s="0" t="s">
        <v>438</v>
      </c>
    </row>
    <row r="287">
      <c r="A287" s="0" t="s">
        <v>99</v>
      </c>
      <c r="B287" s="0">
        <v>8580</v>
      </c>
      <c r="C287" s="0" t="s">
        <v>236</v>
      </c>
      <c r="D287" s="0" t="s">
        <v>653</v>
      </c>
      <c r="E287" s="0" t="s">
        <v>185</v>
      </c>
      <c r="F287" s="0" t="s">
        <v>185</v>
      </c>
      <c r="G287" s="0" t="s">
        <v>369</v>
      </c>
      <c r="H287" s="0" t="s">
        <v>185</v>
      </c>
    </row>
    <row r="288">
      <c r="A288" s="0" t="s">
        <v>434</v>
      </c>
      <c r="B288" s="0">
        <v>8581</v>
      </c>
      <c r="C288" s="0" t="s">
        <v>236</v>
      </c>
      <c r="D288" s="0" t="s">
        <v>654</v>
      </c>
      <c r="E288" s="0" t="s">
        <v>185</v>
      </c>
      <c r="F288" s="0" t="s">
        <v>328</v>
      </c>
      <c r="G288" s="0" t="s">
        <v>329</v>
      </c>
      <c r="H288" s="0" t="s">
        <v>438</v>
      </c>
    </row>
    <row r="289">
      <c r="A289" s="0" t="s">
        <v>636</v>
      </c>
      <c r="B289" s="0">
        <v>8582</v>
      </c>
      <c r="C289" s="0" t="s">
        <v>236</v>
      </c>
      <c r="D289" s="0" t="s">
        <v>655</v>
      </c>
      <c r="E289" s="0" t="s">
        <v>185</v>
      </c>
      <c r="F289" s="0" t="s">
        <v>344</v>
      </c>
      <c r="G289" s="0" t="s">
        <v>329</v>
      </c>
      <c r="H289" s="0" t="s">
        <v>185</v>
      </c>
    </row>
    <row r="290">
      <c r="A290" s="0" t="s">
        <v>434</v>
      </c>
      <c r="B290" s="0">
        <v>8585</v>
      </c>
      <c r="C290" s="0" t="s">
        <v>236</v>
      </c>
      <c r="D290" s="0" t="s">
        <v>656</v>
      </c>
      <c r="E290" s="0" t="s">
        <v>185</v>
      </c>
      <c r="F290" s="0" t="s">
        <v>185</v>
      </c>
      <c r="G290" s="0" t="s">
        <v>297</v>
      </c>
      <c r="H290" s="0" t="s">
        <v>438</v>
      </c>
    </row>
    <row r="291">
      <c r="A291" s="0" t="s">
        <v>434</v>
      </c>
      <c r="B291" s="0">
        <v>8586</v>
      </c>
      <c r="C291" s="0" t="s">
        <v>236</v>
      </c>
      <c r="D291" s="0" t="s">
        <v>657</v>
      </c>
      <c r="E291" s="0" t="s">
        <v>185</v>
      </c>
      <c r="F291" s="0" t="s">
        <v>185</v>
      </c>
      <c r="G291" s="0" t="s">
        <v>297</v>
      </c>
      <c r="H291" s="0" t="s">
        <v>438</v>
      </c>
    </row>
    <row r="292">
      <c r="A292" s="0" t="s">
        <v>602</v>
      </c>
      <c r="B292" s="0">
        <v>8592</v>
      </c>
      <c r="C292" s="0" t="s">
        <v>236</v>
      </c>
      <c r="D292" s="0" t="s">
        <v>658</v>
      </c>
      <c r="E292" s="0" t="s">
        <v>185</v>
      </c>
      <c r="F292" s="0" t="s">
        <v>328</v>
      </c>
      <c r="G292" s="0" t="s">
        <v>329</v>
      </c>
      <c r="H292" s="0" t="s">
        <v>620</v>
      </c>
    </row>
    <row r="293">
      <c r="A293" s="0" t="s">
        <v>354</v>
      </c>
      <c r="B293" s="0">
        <v>8598</v>
      </c>
      <c r="C293" s="0" t="s">
        <v>236</v>
      </c>
      <c r="D293" s="0" t="s">
        <v>659</v>
      </c>
      <c r="E293" s="0" t="s">
        <v>185</v>
      </c>
      <c r="F293" s="0" t="s">
        <v>328</v>
      </c>
      <c r="G293" s="0" t="s">
        <v>329</v>
      </c>
      <c r="H293" s="0" t="s">
        <v>185</v>
      </c>
    </row>
    <row r="294">
      <c r="A294" s="0" t="s">
        <v>142</v>
      </c>
      <c r="B294" s="0">
        <v>8602</v>
      </c>
      <c r="C294" s="0" t="s">
        <v>236</v>
      </c>
      <c r="D294" s="0" t="s">
        <v>660</v>
      </c>
      <c r="E294" s="0" t="s">
        <v>185</v>
      </c>
      <c r="F294" s="0" t="s">
        <v>328</v>
      </c>
      <c r="G294" s="0" t="s">
        <v>329</v>
      </c>
      <c r="H294" s="0" t="s">
        <v>185</v>
      </c>
    </row>
    <row r="295">
      <c r="A295" s="0" t="s">
        <v>444</v>
      </c>
      <c r="B295" s="0">
        <v>8612</v>
      </c>
      <c r="C295" s="0" t="s">
        <v>236</v>
      </c>
      <c r="D295" s="0" t="s">
        <v>661</v>
      </c>
      <c r="E295" s="0" t="s">
        <v>185</v>
      </c>
      <c r="F295" s="0" t="s">
        <v>328</v>
      </c>
      <c r="G295" s="0" t="s">
        <v>329</v>
      </c>
      <c r="H295" s="0" t="s">
        <v>185</v>
      </c>
    </row>
    <row r="296">
      <c r="A296" s="0" t="s">
        <v>326</v>
      </c>
      <c r="B296" s="0">
        <v>8618</v>
      </c>
      <c r="C296" s="0" t="s">
        <v>236</v>
      </c>
      <c r="D296" s="0" t="s">
        <v>662</v>
      </c>
      <c r="E296" s="0" t="s">
        <v>185</v>
      </c>
      <c r="F296" s="0" t="s">
        <v>185</v>
      </c>
      <c r="G296" s="0" t="s">
        <v>297</v>
      </c>
      <c r="H296" s="0" t="s">
        <v>185</v>
      </c>
    </row>
    <row r="297">
      <c r="A297" s="0" t="s">
        <v>326</v>
      </c>
      <c r="B297" s="0">
        <v>8620</v>
      </c>
      <c r="C297" s="0" t="s">
        <v>236</v>
      </c>
      <c r="D297" s="0" t="s">
        <v>663</v>
      </c>
      <c r="E297" s="0" t="s">
        <v>185</v>
      </c>
      <c r="F297" s="0" t="s">
        <v>328</v>
      </c>
      <c r="G297" s="0" t="s">
        <v>329</v>
      </c>
      <c r="H297" s="0" t="s">
        <v>185</v>
      </c>
    </row>
    <row r="298">
      <c r="A298" s="0" t="s">
        <v>444</v>
      </c>
      <c r="B298" s="0">
        <v>8623</v>
      </c>
      <c r="C298" s="0" t="s">
        <v>236</v>
      </c>
      <c r="D298" s="0" t="s">
        <v>664</v>
      </c>
      <c r="E298" s="0" t="s">
        <v>185</v>
      </c>
      <c r="F298" s="0" t="s">
        <v>328</v>
      </c>
      <c r="G298" s="0" t="s">
        <v>329</v>
      </c>
      <c r="H298" s="0" t="s">
        <v>185</v>
      </c>
    </row>
    <row r="299">
      <c r="A299" s="0" t="s">
        <v>94</v>
      </c>
      <c r="B299" s="0">
        <v>8726</v>
      </c>
      <c r="C299" s="0" t="s">
        <v>236</v>
      </c>
      <c r="D299" s="0" t="s">
        <v>665</v>
      </c>
      <c r="E299" s="0" t="s">
        <v>185</v>
      </c>
      <c r="F299" s="0" t="s">
        <v>328</v>
      </c>
      <c r="G299" s="0" t="s">
        <v>329</v>
      </c>
      <c r="H299" s="0" t="s">
        <v>185</v>
      </c>
    </row>
    <row r="300">
      <c r="A300" s="0" t="s">
        <v>375</v>
      </c>
      <c r="B300" s="0">
        <v>8842</v>
      </c>
      <c r="C300" s="0" t="s">
        <v>236</v>
      </c>
      <c r="D300" s="0" t="s">
        <v>666</v>
      </c>
      <c r="E300" s="0" t="s">
        <v>185</v>
      </c>
      <c r="F300" s="0" t="s">
        <v>377</v>
      </c>
      <c r="G300" s="0" t="s">
        <v>297</v>
      </c>
      <c r="H300" s="0" t="s">
        <v>185</v>
      </c>
    </row>
    <row r="301">
      <c r="A301" s="0" t="s">
        <v>444</v>
      </c>
      <c r="B301" s="0">
        <v>8849</v>
      </c>
      <c r="C301" s="0" t="s">
        <v>236</v>
      </c>
      <c r="D301" s="0" t="s">
        <v>667</v>
      </c>
      <c r="E301" s="0" t="s">
        <v>185</v>
      </c>
      <c r="F301" s="0" t="s">
        <v>411</v>
      </c>
      <c r="G301" s="0" t="s">
        <v>329</v>
      </c>
      <c r="H301" s="0" t="s">
        <v>185</v>
      </c>
    </row>
    <row r="302">
      <c r="A302" s="0" t="s">
        <v>351</v>
      </c>
      <c r="B302" s="0">
        <v>8853</v>
      </c>
      <c r="C302" s="0" t="s">
        <v>236</v>
      </c>
      <c r="D302" s="0" t="s">
        <v>668</v>
      </c>
      <c r="E302" s="0" t="s">
        <v>185</v>
      </c>
      <c r="F302" s="0" t="s">
        <v>328</v>
      </c>
      <c r="G302" s="0" t="s">
        <v>329</v>
      </c>
      <c r="H302" s="0" t="s">
        <v>669</v>
      </c>
    </row>
    <row r="303">
      <c r="A303" s="0" t="s">
        <v>402</v>
      </c>
      <c r="B303" s="0">
        <v>8857</v>
      </c>
      <c r="C303" s="0" t="s">
        <v>236</v>
      </c>
      <c r="D303" s="0" t="s">
        <v>670</v>
      </c>
      <c r="E303" s="0" t="s">
        <v>185</v>
      </c>
      <c r="F303" s="0" t="s">
        <v>185</v>
      </c>
      <c r="G303" s="0" t="s">
        <v>369</v>
      </c>
      <c r="H303" s="0" t="s">
        <v>185</v>
      </c>
    </row>
    <row r="304">
      <c r="A304" s="0" t="s">
        <v>636</v>
      </c>
      <c r="B304" s="0">
        <v>8906</v>
      </c>
      <c r="C304" s="0" t="s">
        <v>236</v>
      </c>
      <c r="D304" s="0" t="s">
        <v>671</v>
      </c>
      <c r="E304" s="0" t="s">
        <v>185</v>
      </c>
      <c r="F304" s="0" t="s">
        <v>328</v>
      </c>
      <c r="G304" s="0" t="s">
        <v>303</v>
      </c>
      <c r="H304" s="0" t="s">
        <v>185</v>
      </c>
    </row>
    <row r="305">
      <c r="A305" s="0" t="s">
        <v>636</v>
      </c>
      <c r="B305" s="0">
        <v>8907</v>
      </c>
      <c r="C305" s="0" t="s">
        <v>236</v>
      </c>
      <c r="D305" s="0" t="s">
        <v>672</v>
      </c>
      <c r="E305" s="0" t="s">
        <v>185</v>
      </c>
      <c r="F305" s="0" t="s">
        <v>328</v>
      </c>
      <c r="G305" s="0" t="s">
        <v>329</v>
      </c>
      <c r="H305" s="0" t="s">
        <v>185</v>
      </c>
    </row>
    <row r="306">
      <c r="A306" s="0" t="s">
        <v>124</v>
      </c>
      <c r="B306" s="0">
        <v>9034</v>
      </c>
      <c r="C306" s="0" t="s">
        <v>236</v>
      </c>
      <c r="D306" s="0" t="s">
        <v>673</v>
      </c>
      <c r="E306" s="0" t="s">
        <v>185</v>
      </c>
      <c r="F306" s="0" t="s">
        <v>328</v>
      </c>
      <c r="G306" s="0" t="s">
        <v>329</v>
      </c>
      <c r="H306" s="0" t="s">
        <v>185</v>
      </c>
    </row>
    <row r="307">
      <c r="A307" s="0" t="s">
        <v>439</v>
      </c>
      <c r="B307" s="0">
        <v>9071</v>
      </c>
      <c r="C307" s="0" t="s">
        <v>236</v>
      </c>
      <c r="D307" s="0" t="s">
        <v>674</v>
      </c>
      <c r="E307" s="0" t="s">
        <v>185</v>
      </c>
      <c r="F307" s="0" t="s">
        <v>411</v>
      </c>
      <c r="G307" s="0" t="s">
        <v>329</v>
      </c>
      <c r="H307" s="0" t="s">
        <v>185</v>
      </c>
    </row>
    <row r="308">
      <c r="A308" s="0" t="s">
        <v>375</v>
      </c>
      <c r="B308" s="0">
        <v>9079</v>
      </c>
      <c r="C308" s="0" t="s">
        <v>236</v>
      </c>
      <c r="D308" s="0" t="s">
        <v>675</v>
      </c>
      <c r="E308" s="0" t="s">
        <v>185</v>
      </c>
      <c r="F308" s="0" t="s">
        <v>377</v>
      </c>
      <c r="G308" s="0" t="s">
        <v>297</v>
      </c>
      <c r="H308" s="0" t="s">
        <v>185</v>
      </c>
    </row>
    <row r="309">
      <c r="A309" s="0" t="s">
        <v>375</v>
      </c>
      <c r="B309" s="0">
        <v>9081</v>
      </c>
      <c r="C309" s="0" t="s">
        <v>236</v>
      </c>
      <c r="D309" s="0" t="s">
        <v>676</v>
      </c>
      <c r="E309" s="0" t="s">
        <v>185</v>
      </c>
      <c r="F309" s="0" t="s">
        <v>377</v>
      </c>
      <c r="G309" s="0" t="s">
        <v>353</v>
      </c>
      <c r="H309" s="0" t="s">
        <v>185</v>
      </c>
    </row>
    <row r="310">
      <c r="A310" s="0" t="s">
        <v>375</v>
      </c>
      <c r="B310" s="0">
        <v>9099</v>
      </c>
      <c r="C310" s="0" t="s">
        <v>236</v>
      </c>
      <c r="D310" s="0" t="s">
        <v>677</v>
      </c>
      <c r="E310" s="0" t="s">
        <v>185</v>
      </c>
      <c r="F310" s="0" t="s">
        <v>377</v>
      </c>
      <c r="G310" s="0" t="s">
        <v>297</v>
      </c>
      <c r="H310" s="0" t="s">
        <v>185</v>
      </c>
    </row>
    <row r="311">
      <c r="A311" s="0" t="s">
        <v>602</v>
      </c>
      <c r="B311" s="0">
        <v>9116</v>
      </c>
      <c r="C311" s="0" t="s">
        <v>236</v>
      </c>
      <c r="D311" s="0" t="s">
        <v>678</v>
      </c>
      <c r="E311" s="0" t="s">
        <v>185</v>
      </c>
      <c r="F311" s="0" t="s">
        <v>344</v>
      </c>
      <c r="G311" s="0" t="s">
        <v>329</v>
      </c>
      <c r="H311" s="0" t="s">
        <v>185</v>
      </c>
    </row>
    <row r="312">
      <c r="A312" s="0" t="s">
        <v>142</v>
      </c>
      <c r="B312" s="0">
        <v>9128</v>
      </c>
      <c r="C312" s="0" t="s">
        <v>236</v>
      </c>
      <c r="D312" s="0" t="s">
        <v>679</v>
      </c>
      <c r="E312" s="0" t="s">
        <v>185</v>
      </c>
      <c r="F312" s="0" t="s">
        <v>331</v>
      </c>
      <c r="G312" s="0" t="s">
        <v>329</v>
      </c>
      <c r="H312" s="0" t="s">
        <v>185</v>
      </c>
    </row>
    <row r="313">
      <c r="A313" s="0" t="s">
        <v>439</v>
      </c>
      <c r="B313" s="0">
        <v>9140</v>
      </c>
      <c r="C313" s="0" t="s">
        <v>236</v>
      </c>
      <c r="D313" s="0" t="s">
        <v>680</v>
      </c>
      <c r="E313" s="0" t="s">
        <v>185</v>
      </c>
      <c r="F313" s="0" t="s">
        <v>411</v>
      </c>
      <c r="G313" s="0" t="s">
        <v>329</v>
      </c>
      <c r="H313" s="0" t="s">
        <v>185</v>
      </c>
    </row>
    <row r="314">
      <c r="A314" s="0" t="s">
        <v>471</v>
      </c>
      <c r="B314" s="0">
        <v>9148</v>
      </c>
      <c r="C314" s="0" t="s">
        <v>236</v>
      </c>
      <c r="D314" s="0" t="s">
        <v>681</v>
      </c>
      <c r="E314" s="0" t="s">
        <v>185</v>
      </c>
      <c r="F314" s="0" t="s">
        <v>411</v>
      </c>
      <c r="G314" s="0" t="s">
        <v>329</v>
      </c>
      <c r="H314" s="0" t="s">
        <v>185</v>
      </c>
    </row>
    <row r="315">
      <c r="A315" s="0" t="s">
        <v>444</v>
      </c>
      <c r="B315" s="0">
        <v>9149</v>
      </c>
      <c r="C315" s="0" t="s">
        <v>236</v>
      </c>
      <c r="D315" s="0" t="s">
        <v>682</v>
      </c>
      <c r="E315" s="0" t="s">
        <v>185</v>
      </c>
      <c r="F315" s="0" t="s">
        <v>185</v>
      </c>
      <c r="G315" s="0" t="s">
        <v>353</v>
      </c>
      <c r="H315" s="0" t="s">
        <v>185</v>
      </c>
    </row>
    <row r="316">
      <c r="A316" s="0" t="s">
        <v>434</v>
      </c>
      <c r="B316" s="0">
        <v>9212</v>
      </c>
      <c r="C316" s="0" t="s">
        <v>236</v>
      </c>
      <c r="D316" s="0" t="s">
        <v>683</v>
      </c>
      <c r="E316" s="0" t="s">
        <v>185</v>
      </c>
      <c r="F316" s="0" t="s">
        <v>562</v>
      </c>
      <c r="G316" s="0" t="s">
        <v>329</v>
      </c>
      <c r="H316" s="0" t="s">
        <v>185</v>
      </c>
    </row>
    <row r="317">
      <c r="A317" s="0" t="s">
        <v>82</v>
      </c>
      <c r="B317" s="0">
        <v>9238</v>
      </c>
      <c r="C317" s="0" t="s">
        <v>236</v>
      </c>
      <c r="D317" s="0" t="s">
        <v>251</v>
      </c>
      <c r="E317" s="0" t="s">
        <v>185</v>
      </c>
      <c r="F317" s="0" t="s">
        <v>684</v>
      </c>
      <c r="G317" s="0" t="s">
        <v>303</v>
      </c>
      <c r="H317" s="0" t="s">
        <v>685</v>
      </c>
    </row>
    <row r="318">
      <c r="A318" s="0" t="s">
        <v>375</v>
      </c>
      <c r="B318" s="0">
        <v>9241</v>
      </c>
      <c r="C318" s="0" t="s">
        <v>236</v>
      </c>
      <c r="D318" s="0" t="s">
        <v>686</v>
      </c>
      <c r="E318" s="0" t="s">
        <v>185</v>
      </c>
      <c r="F318" s="0" t="s">
        <v>377</v>
      </c>
      <c r="G318" s="0" t="s">
        <v>353</v>
      </c>
      <c r="H318" s="0" t="s">
        <v>185</v>
      </c>
    </row>
    <row r="319">
      <c r="A319" s="0" t="s">
        <v>409</v>
      </c>
      <c r="B319" s="0">
        <v>9242</v>
      </c>
      <c r="C319" s="0" t="s">
        <v>236</v>
      </c>
      <c r="D319" s="0" t="s">
        <v>687</v>
      </c>
      <c r="E319" s="0" t="s">
        <v>185</v>
      </c>
      <c r="F319" s="0" t="s">
        <v>185</v>
      </c>
      <c r="G319" s="0" t="s">
        <v>353</v>
      </c>
      <c r="H319" s="0" t="s">
        <v>688</v>
      </c>
    </row>
    <row r="320">
      <c r="A320" s="0" t="s">
        <v>94</v>
      </c>
      <c r="B320" s="0">
        <v>9256</v>
      </c>
      <c r="C320" s="0" t="s">
        <v>236</v>
      </c>
      <c r="D320" s="0" t="s">
        <v>689</v>
      </c>
      <c r="E320" s="0" t="s">
        <v>185</v>
      </c>
      <c r="F320" s="0" t="s">
        <v>185</v>
      </c>
      <c r="G320" s="0" t="s">
        <v>353</v>
      </c>
      <c r="H320" s="0" t="s">
        <v>185</v>
      </c>
    </row>
    <row r="321">
      <c r="A321" s="0" t="s">
        <v>439</v>
      </c>
      <c r="B321" s="0">
        <v>9266</v>
      </c>
      <c r="C321" s="0" t="s">
        <v>236</v>
      </c>
      <c r="D321" s="0" t="s">
        <v>690</v>
      </c>
      <c r="E321" s="0" t="s">
        <v>185</v>
      </c>
      <c r="F321" s="0" t="s">
        <v>411</v>
      </c>
      <c r="G321" s="0" t="s">
        <v>329</v>
      </c>
      <c r="H321" s="0" t="s">
        <v>185</v>
      </c>
    </row>
    <row r="322">
      <c r="A322" s="0" t="s">
        <v>137</v>
      </c>
      <c r="B322" s="0">
        <v>9267</v>
      </c>
      <c r="C322" s="0" t="s">
        <v>236</v>
      </c>
      <c r="D322" s="0" t="s">
        <v>691</v>
      </c>
      <c r="E322" s="0" t="s">
        <v>185</v>
      </c>
      <c r="F322" s="0" t="s">
        <v>185</v>
      </c>
      <c r="G322" s="0" t="s">
        <v>353</v>
      </c>
      <c r="H322" s="0" t="s">
        <v>635</v>
      </c>
    </row>
    <row r="323">
      <c r="A323" s="0" t="s">
        <v>602</v>
      </c>
      <c r="B323" s="0">
        <v>9281</v>
      </c>
      <c r="C323" s="0" t="s">
        <v>236</v>
      </c>
      <c r="D323" s="0" t="s">
        <v>476</v>
      </c>
      <c r="E323" s="0" t="s">
        <v>185</v>
      </c>
      <c r="F323" s="0" t="s">
        <v>331</v>
      </c>
      <c r="G323" s="0" t="s">
        <v>329</v>
      </c>
      <c r="H323" s="0" t="s">
        <v>591</v>
      </c>
    </row>
    <row r="324">
      <c r="A324" s="0" t="s">
        <v>444</v>
      </c>
      <c r="B324" s="0">
        <v>9289</v>
      </c>
      <c r="C324" s="0" t="s">
        <v>236</v>
      </c>
      <c r="D324" s="0" t="s">
        <v>692</v>
      </c>
      <c r="E324" s="0" t="s">
        <v>185</v>
      </c>
      <c r="F324" s="0" t="s">
        <v>411</v>
      </c>
      <c r="G324" s="0" t="s">
        <v>329</v>
      </c>
      <c r="H324" s="0" t="s">
        <v>185</v>
      </c>
    </row>
    <row r="325">
      <c r="A325" s="0" t="s">
        <v>439</v>
      </c>
      <c r="B325" s="0">
        <v>9294</v>
      </c>
      <c r="C325" s="0" t="s">
        <v>236</v>
      </c>
      <c r="D325" s="0" t="s">
        <v>693</v>
      </c>
      <c r="E325" s="0" t="s">
        <v>185</v>
      </c>
      <c r="F325" s="0" t="s">
        <v>411</v>
      </c>
      <c r="G325" s="0" t="s">
        <v>329</v>
      </c>
      <c r="H325" s="0" t="s">
        <v>185</v>
      </c>
    </row>
    <row r="326">
      <c r="A326" s="0" t="s">
        <v>99</v>
      </c>
      <c r="B326" s="0">
        <v>9297</v>
      </c>
      <c r="C326" s="0" t="s">
        <v>236</v>
      </c>
      <c r="D326" s="0" t="s">
        <v>694</v>
      </c>
      <c r="E326" s="0" t="s">
        <v>185</v>
      </c>
      <c r="F326" s="0" t="s">
        <v>411</v>
      </c>
      <c r="G326" s="0" t="s">
        <v>329</v>
      </c>
      <c r="H326" s="0" t="s">
        <v>185</v>
      </c>
    </row>
    <row r="327">
      <c r="A327" s="0" t="s">
        <v>423</v>
      </c>
      <c r="B327" s="0">
        <v>9299</v>
      </c>
      <c r="C327" s="0" t="s">
        <v>236</v>
      </c>
      <c r="D327" s="0" t="s">
        <v>695</v>
      </c>
      <c r="E327" s="0" t="s">
        <v>185</v>
      </c>
      <c r="F327" s="0" t="s">
        <v>185</v>
      </c>
      <c r="G327" s="0" t="s">
        <v>353</v>
      </c>
      <c r="H327" s="0" t="s">
        <v>185</v>
      </c>
    </row>
    <row r="328">
      <c r="A328" s="0" t="s">
        <v>55</v>
      </c>
      <c r="B328" s="0">
        <v>9308</v>
      </c>
      <c r="C328" s="0" t="s">
        <v>236</v>
      </c>
      <c r="D328" s="0" t="s">
        <v>247</v>
      </c>
      <c r="E328" s="0" t="s">
        <v>185</v>
      </c>
      <c r="F328" s="0" t="s">
        <v>331</v>
      </c>
      <c r="G328" s="0" t="s">
        <v>303</v>
      </c>
      <c r="H328" s="0" t="s">
        <v>696</v>
      </c>
    </row>
    <row r="329">
      <c r="A329" s="0" t="s">
        <v>351</v>
      </c>
      <c r="B329" s="0">
        <v>9311</v>
      </c>
      <c r="C329" s="0" t="s">
        <v>236</v>
      </c>
      <c r="D329" s="0" t="s">
        <v>697</v>
      </c>
      <c r="E329" s="0" t="s">
        <v>185</v>
      </c>
      <c r="F329" s="0" t="s">
        <v>427</v>
      </c>
      <c r="G329" s="0" t="s">
        <v>329</v>
      </c>
      <c r="H329" s="0" t="s">
        <v>608</v>
      </c>
    </row>
    <row r="330">
      <c r="A330" s="0" t="s">
        <v>412</v>
      </c>
      <c r="B330" s="0">
        <v>9313</v>
      </c>
      <c r="C330" s="0" t="s">
        <v>236</v>
      </c>
      <c r="D330" s="0" t="s">
        <v>698</v>
      </c>
      <c r="E330" s="0" t="s">
        <v>185</v>
      </c>
      <c r="F330" s="0" t="s">
        <v>344</v>
      </c>
      <c r="G330" s="0" t="s">
        <v>329</v>
      </c>
      <c r="H330" s="0" t="s">
        <v>185</v>
      </c>
    </row>
    <row r="331">
      <c r="A331" s="0" t="s">
        <v>72</v>
      </c>
      <c r="B331" s="0">
        <v>9327</v>
      </c>
      <c r="C331" s="0" t="s">
        <v>236</v>
      </c>
      <c r="D331" s="0" t="s">
        <v>699</v>
      </c>
      <c r="E331" s="0" t="s">
        <v>185</v>
      </c>
      <c r="F331" s="0" t="s">
        <v>185</v>
      </c>
      <c r="G331" s="0" t="s">
        <v>329</v>
      </c>
      <c r="H331" s="0" t="s">
        <v>700</v>
      </c>
    </row>
    <row r="332">
      <c r="A332" s="0" t="s">
        <v>444</v>
      </c>
      <c r="B332" s="0">
        <v>9358</v>
      </c>
      <c r="C332" s="0" t="s">
        <v>236</v>
      </c>
      <c r="D332" s="0" t="s">
        <v>701</v>
      </c>
      <c r="E332" s="0" t="s">
        <v>185</v>
      </c>
      <c r="F332" s="0" t="s">
        <v>411</v>
      </c>
      <c r="G332" s="0" t="s">
        <v>329</v>
      </c>
      <c r="H332" s="0" t="s">
        <v>185</v>
      </c>
    </row>
    <row r="333">
      <c r="A333" s="0" t="s">
        <v>48</v>
      </c>
      <c r="B333" s="0">
        <v>9490</v>
      </c>
      <c r="C333" s="0" t="s">
        <v>236</v>
      </c>
      <c r="D333" s="0" t="s">
        <v>702</v>
      </c>
      <c r="E333" s="0" t="s">
        <v>185</v>
      </c>
      <c r="F333" s="0" t="s">
        <v>331</v>
      </c>
      <c r="G333" s="0" t="s">
        <v>329</v>
      </c>
      <c r="H333" s="0" t="s">
        <v>185</v>
      </c>
    </row>
    <row r="334">
      <c r="A334" s="0" t="s">
        <v>439</v>
      </c>
      <c r="B334" s="0">
        <v>9541</v>
      </c>
      <c r="C334" s="0" t="s">
        <v>236</v>
      </c>
      <c r="D334" s="0" t="s">
        <v>703</v>
      </c>
      <c r="E334" s="0" t="s">
        <v>185</v>
      </c>
      <c r="F334" s="0" t="s">
        <v>411</v>
      </c>
      <c r="G334" s="0" t="s">
        <v>329</v>
      </c>
      <c r="H334" s="0" t="s">
        <v>540</v>
      </c>
    </row>
    <row r="335">
      <c r="A335" s="0" t="s">
        <v>89</v>
      </c>
      <c r="B335" s="0">
        <v>9576</v>
      </c>
      <c r="C335" s="0" t="s">
        <v>236</v>
      </c>
      <c r="D335" s="0" t="s">
        <v>252</v>
      </c>
      <c r="E335" s="0" t="s">
        <v>185</v>
      </c>
      <c r="F335" s="0" t="s">
        <v>704</v>
      </c>
      <c r="G335" s="0" t="s">
        <v>303</v>
      </c>
      <c r="H335" s="0" t="s">
        <v>705</v>
      </c>
    </row>
    <row r="336">
      <c r="A336" s="0" t="s">
        <v>351</v>
      </c>
      <c r="B336" s="0">
        <v>9598</v>
      </c>
      <c r="C336" s="0" t="s">
        <v>236</v>
      </c>
      <c r="D336" s="0" t="s">
        <v>706</v>
      </c>
      <c r="E336" s="0" t="s">
        <v>185</v>
      </c>
      <c r="F336" s="0" t="s">
        <v>331</v>
      </c>
      <c r="G336" s="0" t="s">
        <v>329</v>
      </c>
      <c r="H336" s="0" t="s">
        <v>707</v>
      </c>
    </row>
    <row r="337">
      <c r="A337" s="0" t="s">
        <v>708</v>
      </c>
      <c r="B337" s="0">
        <v>9606</v>
      </c>
      <c r="C337" s="0" t="s">
        <v>236</v>
      </c>
      <c r="D337" s="0" t="s">
        <v>709</v>
      </c>
      <c r="E337" s="0" t="s">
        <v>185</v>
      </c>
      <c r="F337" s="0" t="s">
        <v>185</v>
      </c>
      <c r="G337" s="0" t="s">
        <v>353</v>
      </c>
      <c r="H337" s="0" t="s">
        <v>185</v>
      </c>
    </row>
    <row r="338">
      <c r="A338" s="0" t="s">
        <v>708</v>
      </c>
      <c r="B338" s="0">
        <v>9633</v>
      </c>
      <c r="C338" s="0" t="s">
        <v>236</v>
      </c>
      <c r="D338" s="0" t="s">
        <v>710</v>
      </c>
      <c r="E338" s="0" t="s">
        <v>185</v>
      </c>
      <c r="F338" s="0" t="s">
        <v>185</v>
      </c>
      <c r="G338" s="0" t="s">
        <v>353</v>
      </c>
      <c r="H338" s="0" t="s">
        <v>185</v>
      </c>
    </row>
    <row r="339">
      <c r="A339" s="0" t="s">
        <v>351</v>
      </c>
      <c r="B339" s="0">
        <v>9701</v>
      </c>
      <c r="C339" s="0" t="s">
        <v>236</v>
      </c>
      <c r="D339" s="0" t="s">
        <v>711</v>
      </c>
      <c r="E339" s="0" t="s">
        <v>185</v>
      </c>
      <c r="F339" s="0" t="s">
        <v>427</v>
      </c>
      <c r="G339" s="0" t="s">
        <v>329</v>
      </c>
      <c r="H339" s="0" t="s">
        <v>712</v>
      </c>
    </row>
    <row r="340">
      <c r="A340" s="0" t="s">
        <v>713</v>
      </c>
      <c r="B340" s="0">
        <v>9707</v>
      </c>
      <c r="C340" s="0" t="s">
        <v>236</v>
      </c>
      <c r="D340" s="0" t="s">
        <v>714</v>
      </c>
      <c r="E340" s="0" t="s">
        <v>185</v>
      </c>
      <c r="F340" s="0" t="s">
        <v>344</v>
      </c>
      <c r="G340" s="0" t="s">
        <v>329</v>
      </c>
      <c r="H340" s="0" t="s">
        <v>705</v>
      </c>
    </row>
    <row r="341">
      <c r="A341" s="0" t="s">
        <v>439</v>
      </c>
      <c r="B341" s="0">
        <v>9755</v>
      </c>
      <c r="C341" s="0" t="s">
        <v>236</v>
      </c>
      <c r="D341" s="0" t="s">
        <v>715</v>
      </c>
      <c r="E341" s="0" t="s">
        <v>185</v>
      </c>
      <c r="F341" s="0" t="s">
        <v>185</v>
      </c>
      <c r="G341" s="0" t="s">
        <v>353</v>
      </c>
      <c r="H341" s="0" t="s">
        <v>185</v>
      </c>
    </row>
    <row r="342">
      <c r="A342" s="0" t="s">
        <v>439</v>
      </c>
      <c r="B342" s="0">
        <v>9784</v>
      </c>
      <c r="C342" s="0" t="s">
        <v>236</v>
      </c>
      <c r="D342" s="0" t="s">
        <v>716</v>
      </c>
      <c r="E342" s="0" t="s">
        <v>185</v>
      </c>
      <c r="F342" s="0" t="s">
        <v>562</v>
      </c>
      <c r="G342" s="0" t="s">
        <v>329</v>
      </c>
      <c r="H342" s="0" t="s">
        <v>185</v>
      </c>
    </row>
    <row r="343">
      <c r="A343" s="0" t="s">
        <v>439</v>
      </c>
      <c r="B343" s="0">
        <v>9787</v>
      </c>
      <c r="C343" s="0" t="s">
        <v>236</v>
      </c>
      <c r="D343" s="0" t="s">
        <v>717</v>
      </c>
      <c r="E343" s="0" t="s">
        <v>185</v>
      </c>
      <c r="F343" s="0" t="s">
        <v>411</v>
      </c>
      <c r="G343" s="0" t="s">
        <v>329</v>
      </c>
      <c r="H343" s="0" t="s">
        <v>705</v>
      </c>
    </row>
    <row r="344">
      <c r="A344" s="0" t="s">
        <v>713</v>
      </c>
      <c r="B344" s="0">
        <v>9796</v>
      </c>
      <c r="C344" s="0" t="s">
        <v>236</v>
      </c>
      <c r="D344" s="0" t="s">
        <v>718</v>
      </c>
      <c r="E344" s="0" t="s">
        <v>185</v>
      </c>
      <c r="F344" s="0" t="s">
        <v>185</v>
      </c>
      <c r="G344" s="0" t="s">
        <v>369</v>
      </c>
      <c r="H344" s="0" t="s">
        <v>185</v>
      </c>
    </row>
    <row r="345">
      <c r="A345" s="0" t="s">
        <v>142</v>
      </c>
      <c r="B345" s="0">
        <v>9833</v>
      </c>
      <c r="C345" s="0" t="s">
        <v>236</v>
      </c>
      <c r="D345" s="0" t="s">
        <v>719</v>
      </c>
      <c r="E345" s="0" t="s">
        <v>185</v>
      </c>
      <c r="F345" s="0" t="s">
        <v>344</v>
      </c>
      <c r="G345" s="0" t="s">
        <v>329</v>
      </c>
      <c r="H345" s="0" t="s">
        <v>185</v>
      </c>
    </row>
    <row r="346">
      <c r="A346" s="0" t="s">
        <v>434</v>
      </c>
      <c r="B346" s="0">
        <v>9892</v>
      </c>
      <c r="C346" s="0" t="s">
        <v>236</v>
      </c>
      <c r="D346" s="0" t="s">
        <v>720</v>
      </c>
      <c r="E346" s="0" t="s">
        <v>185</v>
      </c>
      <c r="F346" s="0" t="s">
        <v>411</v>
      </c>
      <c r="G346" s="0" t="s">
        <v>329</v>
      </c>
      <c r="H346" s="0" t="s">
        <v>185</v>
      </c>
    </row>
    <row r="347">
      <c r="A347" s="0" t="s">
        <v>530</v>
      </c>
      <c r="B347" s="0">
        <v>9895</v>
      </c>
      <c r="C347" s="0" t="s">
        <v>236</v>
      </c>
      <c r="D347" s="0" t="s">
        <v>721</v>
      </c>
      <c r="E347" s="0" t="s">
        <v>185</v>
      </c>
      <c r="F347" s="0" t="s">
        <v>411</v>
      </c>
      <c r="G347" s="0" t="s">
        <v>329</v>
      </c>
      <c r="H347" s="0" t="s">
        <v>185</v>
      </c>
    </row>
    <row r="348">
      <c r="A348" s="0" t="s">
        <v>444</v>
      </c>
      <c r="B348" s="0">
        <v>9898</v>
      </c>
      <c r="C348" s="0" t="s">
        <v>236</v>
      </c>
      <c r="D348" s="0" t="s">
        <v>722</v>
      </c>
      <c r="E348" s="0" t="s">
        <v>185</v>
      </c>
      <c r="F348" s="0" t="s">
        <v>411</v>
      </c>
      <c r="G348" s="0" t="s">
        <v>329</v>
      </c>
      <c r="H348" s="0" t="s">
        <v>185</v>
      </c>
    </row>
    <row r="349">
      <c r="A349" s="0" t="s">
        <v>402</v>
      </c>
      <c r="B349" s="0">
        <v>9956</v>
      </c>
      <c r="C349" s="0" t="s">
        <v>236</v>
      </c>
      <c r="D349" s="0" t="s">
        <v>723</v>
      </c>
      <c r="E349" s="0" t="s">
        <v>185</v>
      </c>
      <c r="F349" s="0" t="s">
        <v>331</v>
      </c>
      <c r="G349" s="0" t="s">
        <v>329</v>
      </c>
      <c r="H349" s="0" t="s">
        <v>185</v>
      </c>
    </row>
    <row r="350">
      <c r="A350" s="0" t="s">
        <v>326</v>
      </c>
      <c r="B350" s="0">
        <v>9966</v>
      </c>
      <c r="C350" s="0" t="s">
        <v>236</v>
      </c>
      <c r="D350" s="0" t="s">
        <v>724</v>
      </c>
      <c r="E350" s="0" t="s">
        <v>185</v>
      </c>
      <c r="F350" s="0" t="s">
        <v>331</v>
      </c>
      <c r="G350" s="0" t="s">
        <v>329</v>
      </c>
      <c r="H350" s="0" t="s">
        <v>185</v>
      </c>
    </row>
    <row r="351">
      <c r="A351" s="0" t="s">
        <v>444</v>
      </c>
      <c r="B351" s="0">
        <v>9978</v>
      </c>
      <c r="C351" s="0" t="s">
        <v>236</v>
      </c>
      <c r="D351" s="0" t="s">
        <v>725</v>
      </c>
      <c r="E351" s="0" t="s">
        <v>185</v>
      </c>
      <c r="F351" s="0" t="s">
        <v>411</v>
      </c>
      <c r="G351" s="0" t="s">
        <v>329</v>
      </c>
      <c r="H351" s="0" t="s">
        <v>185</v>
      </c>
    </row>
    <row r="352">
      <c r="A352" s="0" t="s">
        <v>351</v>
      </c>
      <c r="B352" s="0">
        <v>9980</v>
      </c>
      <c r="C352" s="0" t="s">
        <v>236</v>
      </c>
      <c r="D352" s="0" t="s">
        <v>726</v>
      </c>
      <c r="E352" s="0" t="s">
        <v>185</v>
      </c>
      <c r="F352" s="0" t="s">
        <v>427</v>
      </c>
      <c r="G352" s="0" t="s">
        <v>329</v>
      </c>
      <c r="H352" s="0" t="s">
        <v>727</v>
      </c>
    </row>
    <row r="353">
      <c r="A353" s="0" t="s">
        <v>511</v>
      </c>
      <c r="B353" s="0">
        <v>9985</v>
      </c>
      <c r="C353" s="0" t="s">
        <v>236</v>
      </c>
      <c r="D353" s="0" t="s">
        <v>728</v>
      </c>
      <c r="E353" s="0" t="s">
        <v>185</v>
      </c>
      <c r="F353" s="0" t="s">
        <v>648</v>
      </c>
      <c r="G353" s="0" t="s">
        <v>329</v>
      </c>
      <c r="H353" s="0" t="s">
        <v>727</v>
      </c>
    </row>
    <row r="354">
      <c r="A354" s="0" t="s">
        <v>326</v>
      </c>
      <c r="B354" s="0">
        <v>9997</v>
      </c>
      <c r="C354" s="0" t="s">
        <v>236</v>
      </c>
      <c r="D354" s="0" t="s">
        <v>729</v>
      </c>
      <c r="E354" s="0" t="s">
        <v>185</v>
      </c>
      <c r="F354" s="0" t="s">
        <v>331</v>
      </c>
      <c r="G354" s="0" t="s">
        <v>329</v>
      </c>
      <c r="H354" s="0" t="s">
        <v>185</v>
      </c>
    </row>
    <row r="355">
      <c r="A355" s="0" t="s">
        <v>439</v>
      </c>
      <c r="B355" s="0">
        <v>10004</v>
      </c>
      <c r="C355" s="0" t="s">
        <v>236</v>
      </c>
      <c r="D355" s="0" t="s">
        <v>730</v>
      </c>
      <c r="E355" s="0" t="s">
        <v>185</v>
      </c>
      <c r="F355" s="0" t="s">
        <v>411</v>
      </c>
      <c r="G355" s="0" t="s">
        <v>329</v>
      </c>
      <c r="H355" s="0" t="s">
        <v>185</v>
      </c>
    </row>
    <row r="356">
      <c r="A356" s="0" t="s">
        <v>72</v>
      </c>
      <c r="B356" s="0">
        <v>10008</v>
      </c>
      <c r="C356" s="0" t="s">
        <v>236</v>
      </c>
      <c r="D356" s="0" t="s">
        <v>731</v>
      </c>
      <c r="E356" s="0" t="s">
        <v>185</v>
      </c>
      <c r="F356" s="0" t="s">
        <v>331</v>
      </c>
      <c r="G356" s="0" t="s">
        <v>329</v>
      </c>
      <c r="H356" s="0" t="s">
        <v>732</v>
      </c>
    </row>
    <row r="357">
      <c r="A357" s="0" t="s">
        <v>354</v>
      </c>
      <c r="B357" s="0">
        <v>10012</v>
      </c>
      <c r="C357" s="0" t="s">
        <v>236</v>
      </c>
      <c r="D357" s="0" t="s">
        <v>710</v>
      </c>
      <c r="E357" s="0" t="s">
        <v>185</v>
      </c>
      <c r="F357" s="0" t="s">
        <v>331</v>
      </c>
      <c r="G357" s="0" t="s">
        <v>329</v>
      </c>
      <c r="H357" s="0" t="s">
        <v>185</v>
      </c>
    </row>
    <row r="358">
      <c r="A358" s="0" t="s">
        <v>425</v>
      </c>
      <c r="B358" s="0">
        <v>10025</v>
      </c>
      <c r="C358" s="0" t="s">
        <v>236</v>
      </c>
      <c r="D358" s="0" t="s">
        <v>733</v>
      </c>
      <c r="E358" s="0" t="s">
        <v>185</v>
      </c>
      <c r="F358" s="0" t="s">
        <v>331</v>
      </c>
      <c r="G358" s="0" t="s">
        <v>329</v>
      </c>
      <c r="H358" s="0" t="s">
        <v>591</v>
      </c>
    </row>
    <row r="359">
      <c r="A359" s="0" t="s">
        <v>124</v>
      </c>
      <c r="B359" s="0">
        <v>10054</v>
      </c>
      <c r="C359" s="0" t="s">
        <v>236</v>
      </c>
      <c r="D359" s="0" t="s">
        <v>734</v>
      </c>
      <c r="E359" s="0" t="s">
        <v>185</v>
      </c>
      <c r="F359" s="0" t="s">
        <v>331</v>
      </c>
      <c r="G359" s="0" t="s">
        <v>303</v>
      </c>
      <c r="H359" s="0" t="s">
        <v>732</v>
      </c>
    </row>
    <row r="360">
      <c r="A360" s="0" t="s">
        <v>468</v>
      </c>
      <c r="B360" s="0">
        <v>10128</v>
      </c>
      <c r="C360" s="0" t="s">
        <v>236</v>
      </c>
      <c r="D360" s="0" t="s">
        <v>735</v>
      </c>
      <c r="E360" s="0" t="s">
        <v>185</v>
      </c>
      <c r="F360" s="0" t="s">
        <v>185</v>
      </c>
      <c r="G360" s="0" t="s">
        <v>353</v>
      </c>
      <c r="H360" s="0" t="s">
        <v>185</v>
      </c>
    </row>
    <row r="361">
      <c r="A361" s="0" t="s">
        <v>434</v>
      </c>
      <c r="B361" s="0">
        <v>10133</v>
      </c>
      <c r="C361" s="0" t="s">
        <v>236</v>
      </c>
      <c r="D361" s="0" t="s">
        <v>736</v>
      </c>
      <c r="E361" s="0" t="s">
        <v>185</v>
      </c>
      <c r="F361" s="0" t="s">
        <v>411</v>
      </c>
      <c r="G361" s="0" t="s">
        <v>329</v>
      </c>
      <c r="H361" s="0" t="s">
        <v>185</v>
      </c>
    </row>
    <row r="362">
      <c r="A362" s="0" t="s">
        <v>713</v>
      </c>
      <c r="B362" s="0">
        <v>10142</v>
      </c>
      <c r="C362" s="0" t="s">
        <v>236</v>
      </c>
      <c r="D362" s="0" t="s">
        <v>737</v>
      </c>
      <c r="E362" s="0" t="s">
        <v>185</v>
      </c>
      <c r="F362" s="0" t="s">
        <v>185</v>
      </c>
      <c r="G362" s="0" t="s">
        <v>353</v>
      </c>
      <c r="H362" s="0" t="s">
        <v>705</v>
      </c>
    </row>
    <row r="363">
      <c r="A363" s="0" t="s">
        <v>72</v>
      </c>
      <c r="B363" s="0">
        <v>10159</v>
      </c>
      <c r="C363" s="0" t="s">
        <v>236</v>
      </c>
      <c r="D363" s="0" t="s">
        <v>738</v>
      </c>
      <c r="E363" s="0" t="s">
        <v>185</v>
      </c>
      <c r="F363" s="0" t="s">
        <v>606</v>
      </c>
      <c r="G363" s="0" t="s">
        <v>303</v>
      </c>
      <c r="H363" s="0" t="s">
        <v>185</v>
      </c>
    </row>
    <row r="364">
      <c r="A364" s="0" t="s">
        <v>402</v>
      </c>
      <c r="B364" s="0">
        <v>10237</v>
      </c>
      <c r="C364" s="0" t="s">
        <v>236</v>
      </c>
      <c r="D364" s="0" t="s">
        <v>739</v>
      </c>
      <c r="E364" s="0" t="s">
        <v>185</v>
      </c>
      <c r="F364" s="0" t="s">
        <v>185</v>
      </c>
      <c r="G364" s="0" t="s">
        <v>353</v>
      </c>
      <c r="H364" s="0" t="s">
        <v>185</v>
      </c>
    </row>
    <row r="365">
      <c r="A365" s="0" t="s">
        <v>602</v>
      </c>
      <c r="B365" s="0">
        <v>10238</v>
      </c>
      <c r="C365" s="0" t="s">
        <v>236</v>
      </c>
      <c r="D365" s="0" t="s">
        <v>739</v>
      </c>
      <c r="E365" s="0" t="s">
        <v>185</v>
      </c>
      <c r="F365" s="0" t="s">
        <v>185</v>
      </c>
      <c r="G365" s="0" t="s">
        <v>353</v>
      </c>
      <c r="H365" s="0" t="s">
        <v>185</v>
      </c>
    </row>
    <row r="366">
      <c r="A366" s="0" t="s">
        <v>351</v>
      </c>
      <c r="B366" s="0">
        <v>10245</v>
      </c>
      <c r="C366" s="0" t="s">
        <v>236</v>
      </c>
      <c r="D366" s="0" t="s">
        <v>740</v>
      </c>
      <c r="E366" s="0" t="s">
        <v>185</v>
      </c>
      <c r="F366" s="0" t="s">
        <v>427</v>
      </c>
      <c r="G366" s="0" t="s">
        <v>329</v>
      </c>
      <c r="H366" s="0" t="s">
        <v>185</v>
      </c>
    </row>
    <row r="367">
      <c r="A367" s="0" t="s">
        <v>72</v>
      </c>
      <c r="B367" s="0">
        <v>10356</v>
      </c>
      <c r="C367" s="0" t="s">
        <v>236</v>
      </c>
      <c r="D367" s="0" t="s">
        <v>741</v>
      </c>
      <c r="E367" s="0" t="s">
        <v>185</v>
      </c>
      <c r="F367" s="0" t="s">
        <v>344</v>
      </c>
      <c r="G367" s="0" t="s">
        <v>329</v>
      </c>
      <c r="H367" s="0" t="s">
        <v>185</v>
      </c>
    </row>
    <row r="368">
      <c r="A368" s="0" t="s">
        <v>375</v>
      </c>
      <c r="B368" s="0">
        <v>10381</v>
      </c>
      <c r="C368" s="0" t="s">
        <v>236</v>
      </c>
      <c r="D368" s="0" t="s">
        <v>742</v>
      </c>
      <c r="E368" s="0" t="s">
        <v>185</v>
      </c>
      <c r="F368" s="0" t="s">
        <v>185</v>
      </c>
      <c r="G368" s="0" t="s">
        <v>353</v>
      </c>
      <c r="H368" s="0" t="s">
        <v>185</v>
      </c>
    </row>
    <row r="369">
      <c r="A369" s="0" t="s">
        <v>351</v>
      </c>
      <c r="B369" s="0">
        <v>10387</v>
      </c>
      <c r="C369" s="0" t="s">
        <v>236</v>
      </c>
      <c r="D369" s="0" t="s">
        <v>743</v>
      </c>
      <c r="E369" s="0" t="s">
        <v>185</v>
      </c>
      <c r="F369" s="0" t="s">
        <v>331</v>
      </c>
      <c r="G369" s="0" t="s">
        <v>329</v>
      </c>
      <c r="H369" s="0" t="s">
        <v>744</v>
      </c>
    </row>
    <row r="370">
      <c r="A370" s="0" t="s">
        <v>351</v>
      </c>
      <c r="B370" s="0">
        <v>10409</v>
      </c>
      <c r="C370" s="0" t="s">
        <v>236</v>
      </c>
      <c r="D370" s="0" t="s">
        <v>745</v>
      </c>
      <c r="E370" s="0" t="s">
        <v>185</v>
      </c>
      <c r="F370" s="0" t="s">
        <v>427</v>
      </c>
      <c r="G370" s="0" t="s">
        <v>329</v>
      </c>
      <c r="H370" s="0" t="s">
        <v>705</v>
      </c>
    </row>
    <row r="371">
      <c r="A371" s="0" t="s">
        <v>48</v>
      </c>
      <c r="B371" s="0">
        <v>10419</v>
      </c>
      <c r="C371" s="0" t="s">
        <v>236</v>
      </c>
      <c r="D371" s="0" t="s">
        <v>746</v>
      </c>
      <c r="E371" s="0" t="s">
        <v>185</v>
      </c>
      <c r="F371" s="0" t="s">
        <v>344</v>
      </c>
      <c r="G371" s="0" t="s">
        <v>329</v>
      </c>
      <c r="H371" s="0" t="s">
        <v>185</v>
      </c>
    </row>
    <row r="372">
      <c r="A372" s="0" t="s">
        <v>434</v>
      </c>
      <c r="B372" s="0">
        <v>10500</v>
      </c>
      <c r="C372" s="0" t="s">
        <v>236</v>
      </c>
      <c r="D372" s="0" t="s">
        <v>747</v>
      </c>
      <c r="E372" s="0" t="s">
        <v>185</v>
      </c>
      <c r="F372" s="0" t="s">
        <v>411</v>
      </c>
      <c r="G372" s="0" t="s">
        <v>329</v>
      </c>
      <c r="H372" s="0" t="s">
        <v>185</v>
      </c>
    </row>
    <row r="373">
      <c r="A373" s="0" t="s">
        <v>630</v>
      </c>
      <c r="B373" s="0">
        <v>10510</v>
      </c>
      <c r="C373" s="0" t="s">
        <v>236</v>
      </c>
      <c r="D373" s="0" t="s">
        <v>748</v>
      </c>
      <c r="E373" s="0" t="s">
        <v>185</v>
      </c>
      <c r="F373" s="0" t="s">
        <v>344</v>
      </c>
      <c r="G373" s="0" t="s">
        <v>329</v>
      </c>
      <c r="H373" s="0" t="s">
        <v>185</v>
      </c>
    </row>
    <row r="374">
      <c r="A374" s="0" t="s">
        <v>425</v>
      </c>
      <c r="B374" s="0">
        <v>10536</v>
      </c>
      <c r="C374" s="0" t="s">
        <v>236</v>
      </c>
      <c r="D374" s="0" t="s">
        <v>749</v>
      </c>
      <c r="E374" s="0" t="s">
        <v>185</v>
      </c>
      <c r="F374" s="0" t="s">
        <v>331</v>
      </c>
      <c r="G374" s="0" t="s">
        <v>303</v>
      </c>
      <c r="H374" s="0" t="s">
        <v>750</v>
      </c>
    </row>
    <row r="375">
      <c r="A375" s="0" t="s">
        <v>471</v>
      </c>
      <c r="B375" s="0">
        <v>10692</v>
      </c>
      <c r="C375" s="0" t="s">
        <v>236</v>
      </c>
      <c r="D375" s="0" t="s">
        <v>751</v>
      </c>
      <c r="E375" s="0" t="s">
        <v>185</v>
      </c>
      <c r="F375" s="0" t="s">
        <v>411</v>
      </c>
      <c r="G375" s="0" t="s">
        <v>329</v>
      </c>
      <c r="H375" s="0" t="s">
        <v>185</v>
      </c>
    </row>
    <row r="376">
      <c r="A376" s="0" t="s">
        <v>434</v>
      </c>
      <c r="B376" s="0">
        <v>10694</v>
      </c>
      <c r="C376" s="0" t="s">
        <v>236</v>
      </c>
      <c r="D376" s="0" t="s">
        <v>752</v>
      </c>
      <c r="E376" s="0" t="s">
        <v>185</v>
      </c>
      <c r="F376" s="0" t="s">
        <v>753</v>
      </c>
      <c r="G376" s="0" t="s">
        <v>329</v>
      </c>
      <c r="H376" s="0" t="s">
        <v>185</v>
      </c>
    </row>
    <row r="377">
      <c r="A377" s="0" t="s">
        <v>754</v>
      </c>
      <c r="B377" s="0">
        <v>10697</v>
      </c>
      <c r="C377" s="0" t="s">
        <v>236</v>
      </c>
      <c r="D377" s="0" t="s">
        <v>755</v>
      </c>
      <c r="E377" s="0" t="s">
        <v>185</v>
      </c>
      <c r="F377" s="0" t="s">
        <v>185</v>
      </c>
      <c r="G377" s="0" t="s">
        <v>297</v>
      </c>
      <c r="H377" s="0" t="s">
        <v>185</v>
      </c>
    </row>
    <row r="378">
      <c r="A378" s="0" t="s">
        <v>439</v>
      </c>
      <c r="B378" s="0">
        <v>10699</v>
      </c>
      <c r="C378" s="0" t="s">
        <v>236</v>
      </c>
      <c r="D378" s="0" t="s">
        <v>756</v>
      </c>
      <c r="E378" s="0" t="s">
        <v>185</v>
      </c>
      <c r="F378" s="0" t="s">
        <v>185</v>
      </c>
      <c r="G378" s="0" t="s">
        <v>369</v>
      </c>
      <c r="H378" s="0" t="s">
        <v>185</v>
      </c>
    </row>
    <row r="379">
      <c r="A379" s="0" t="s">
        <v>757</v>
      </c>
      <c r="B379" s="0">
        <v>10705</v>
      </c>
      <c r="C379" s="0" t="s">
        <v>236</v>
      </c>
      <c r="D379" s="0" t="s">
        <v>758</v>
      </c>
      <c r="E379" s="0" t="s">
        <v>185</v>
      </c>
      <c r="F379" s="0" t="s">
        <v>185</v>
      </c>
      <c r="G379" s="0" t="s">
        <v>353</v>
      </c>
      <c r="H379" s="0" t="s">
        <v>185</v>
      </c>
    </row>
    <row r="380">
      <c r="A380" s="0" t="s">
        <v>89</v>
      </c>
      <c r="B380" s="0">
        <v>10764</v>
      </c>
      <c r="C380" s="0" t="s">
        <v>236</v>
      </c>
      <c r="D380" s="0" t="s">
        <v>759</v>
      </c>
      <c r="E380" s="0" t="s">
        <v>185</v>
      </c>
      <c r="F380" s="0" t="s">
        <v>185</v>
      </c>
      <c r="G380" s="0" t="s">
        <v>353</v>
      </c>
      <c r="H380" s="0" t="s">
        <v>185</v>
      </c>
    </row>
    <row r="381">
      <c r="A381" s="0" t="s">
        <v>89</v>
      </c>
      <c r="B381" s="0">
        <v>10765</v>
      </c>
      <c r="C381" s="0" t="s">
        <v>236</v>
      </c>
      <c r="D381" s="0" t="s">
        <v>760</v>
      </c>
      <c r="E381" s="0" t="s">
        <v>185</v>
      </c>
      <c r="F381" s="0" t="s">
        <v>185</v>
      </c>
      <c r="G381" s="0" t="s">
        <v>353</v>
      </c>
      <c r="H381" s="0" t="s">
        <v>185</v>
      </c>
    </row>
    <row r="382">
      <c r="A382" s="0" t="s">
        <v>89</v>
      </c>
      <c r="B382" s="0">
        <v>10766</v>
      </c>
      <c r="C382" s="0" t="s">
        <v>236</v>
      </c>
      <c r="D382" s="0" t="s">
        <v>761</v>
      </c>
      <c r="E382" s="0" t="s">
        <v>185</v>
      </c>
      <c r="F382" s="0" t="s">
        <v>185</v>
      </c>
      <c r="G382" s="0" t="s">
        <v>353</v>
      </c>
      <c r="H382" s="0" t="s">
        <v>185</v>
      </c>
    </row>
    <row r="383">
      <c r="A383" s="0" t="s">
        <v>89</v>
      </c>
      <c r="B383" s="0">
        <v>10767</v>
      </c>
      <c r="C383" s="0" t="s">
        <v>236</v>
      </c>
      <c r="D383" s="0" t="s">
        <v>762</v>
      </c>
      <c r="E383" s="0" t="s">
        <v>185</v>
      </c>
      <c r="F383" s="0" t="s">
        <v>185</v>
      </c>
      <c r="G383" s="0" t="s">
        <v>353</v>
      </c>
      <c r="H383" s="0" t="s">
        <v>185</v>
      </c>
    </row>
    <row r="384">
      <c r="A384" s="0" t="s">
        <v>434</v>
      </c>
      <c r="B384" s="0">
        <v>10773</v>
      </c>
      <c r="C384" s="0" t="s">
        <v>236</v>
      </c>
      <c r="D384" s="0" t="s">
        <v>763</v>
      </c>
      <c r="E384" s="0" t="s">
        <v>185</v>
      </c>
      <c r="F384" s="0" t="s">
        <v>411</v>
      </c>
      <c r="G384" s="0" t="s">
        <v>329</v>
      </c>
      <c r="H384" s="0" t="s">
        <v>185</v>
      </c>
    </row>
    <row r="385">
      <c r="A385" s="0" t="s">
        <v>434</v>
      </c>
      <c r="B385" s="0">
        <v>10808</v>
      </c>
      <c r="C385" s="0" t="s">
        <v>236</v>
      </c>
      <c r="D385" s="0" t="s">
        <v>764</v>
      </c>
      <c r="E385" s="0" t="s">
        <v>185</v>
      </c>
      <c r="F385" s="0" t="s">
        <v>411</v>
      </c>
      <c r="G385" s="0" t="s">
        <v>303</v>
      </c>
      <c r="H385" s="0" t="s">
        <v>185</v>
      </c>
    </row>
    <row r="386">
      <c r="A386" s="0" t="s">
        <v>402</v>
      </c>
      <c r="B386" s="0">
        <v>10819</v>
      </c>
      <c r="C386" s="0" t="s">
        <v>236</v>
      </c>
      <c r="D386" s="0" t="s">
        <v>765</v>
      </c>
      <c r="E386" s="0" t="s">
        <v>185</v>
      </c>
      <c r="F386" s="0" t="s">
        <v>344</v>
      </c>
      <c r="G386" s="0" t="s">
        <v>353</v>
      </c>
      <c r="H386" s="0" t="s">
        <v>185</v>
      </c>
    </row>
    <row r="387">
      <c r="A387" s="0" t="s">
        <v>402</v>
      </c>
      <c r="B387" s="0">
        <v>10828</v>
      </c>
      <c r="C387" s="0" t="s">
        <v>236</v>
      </c>
      <c r="D387" s="0" t="s">
        <v>766</v>
      </c>
      <c r="E387" s="0" t="s">
        <v>185</v>
      </c>
      <c r="F387" s="0" t="s">
        <v>185</v>
      </c>
      <c r="G387" s="0" t="s">
        <v>353</v>
      </c>
      <c r="H387" s="0" t="s">
        <v>685</v>
      </c>
    </row>
    <row r="388">
      <c r="A388" s="0" t="s">
        <v>55</v>
      </c>
      <c r="B388" s="0">
        <v>10867</v>
      </c>
      <c r="C388" s="0" t="s">
        <v>236</v>
      </c>
      <c r="D388" s="0" t="s">
        <v>767</v>
      </c>
      <c r="E388" s="0" t="s">
        <v>185</v>
      </c>
      <c r="F388" s="0" t="s">
        <v>648</v>
      </c>
      <c r="G388" s="0" t="s">
        <v>329</v>
      </c>
      <c r="H388" s="0" t="s">
        <v>185</v>
      </c>
    </row>
    <row r="389">
      <c r="A389" s="0" t="s">
        <v>351</v>
      </c>
      <c r="B389" s="0">
        <v>10949</v>
      </c>
      <c r="C389" s="0" t="s">
        <v>236</v>
      </c>
      <c r="D389" s="0" t="s">
        <v>768</v>
      </c>
      <c r="E389" s="0" t="s">
        <v>185</v>
      </c>
      <c r="F389" s="0" t="s">
        <v>331</v>
      </c>
      <c r="G389" s="0" t="s">
        <v>329</v>
      </c>
      <c r="H389" s="0" t="s">
        <v>185</v>
      </c>
    </row>
    <row r="390">
      <c r="A390" s="0" t="s">
        <v>425</v>
      </c>
      <c r="B390" s="0">
        <v>10954</v>
      </c>
      <c r="C390" s="0" t="s">
        <v>236</v>
      </c>
      <c r="D390" s="0" t="s">
        <v>769</v>
      </c>
      <c r="E390" s="0" t="s">
        <v>185</v>
      </c>
      <c r="F390" s="0" t="s">
        <v>344</v>
      </c>
      <c r="G390" s="0" t="s">
        <v>329</v>
      </c>
      <c r="H390" s="0" t="s">
        <v>185</v>
      </c>
    </row>
    <row r="391">
      <c r="A391" s="0" t="s">
        <v>402</v>
      </c>
      <c r="B391" s="0">
        <v>10955</v>
      </c>
      <c r="C391" s="0" t="s">
        <v>236</v>
      </c>
      <c r="D391" s="0" t="s">
        <v>770</v>
      </c>
      <c r="E391" s="0" t="s">
        <v>185</v>
      </c>
      <c r="F391" s="0" t="s">
        <v>185</v>
      </c>
      <c r="G391" s="0" t="s">
        <v>353</v>
      </c>
      <c r="H391" s="0" t="s">
        <v>771</v>
      </c>
    </row>
    <row r="392">
      <c r="A392" s="0" t="s">
        <v>354</v>
      </c>
      <c r="B392" s="0">
        <v>10972</v>
      </c>
      <c r="C392" s="0" t="s">
        <v>236</v>
      </c>
      <c r="D392" s="0" t="s">
        <v>772</v>
      </c>
      <c r="E392" s="0" t="s">
        <v>185</v>
      </c>
      <c r="F392" s="0" t="s">
        <v>185</v>
      </c>
      <c r="G392" s="0" t="s">
        <v>353</v>
      </c>
      <c r="H392" s="0" t="s">
        <v>185</v>
      </c>
    </row>
    <row r="393">
      <c r="A393" s="0" t="s">
        <v>439</v>
      </c>
      <c r="B393" s="0">
        <v>11007</v>
      </c>
      <c r="C393" s="0" t="s">
        <v>236</v>
      </c>
      <c r="D393" s="0" t="s">
        <v>773</v>
      </c>
      <c r="E393" s="0" t="s">
        <v>185</v>
      </c>
      <c r="F393" s="0" t="s">
        <v>411</v>
      </c>
      <c r="G393" s="0" t="s">
        <v>329</v>
      </c>
      <c r="H393" s="0" t="s">
        <v>185</v>
      </c>
    </row>
    <row r="394">
      <c r="A394" s="0" t="s">
        <v>444</v>
      </c>
      <c r="B394" s="0">
        <v>11022</v>
      </c>
      <c r="C394" s="0" t="s">
        <v>236</v>
      </c>
      <c r="D394" s="0" t="s">
        <v>774</v>
      </c>
      <c r="E394" s="0" t="s">
        <v>185</v>
      </c>
      <c r="F394" s="0" t="s">
        <v>753</v>
      </c>
      <c r="G394" s="0" t="s">
        <v>329</v>
      </c>
      <c r="H394" s="0" t="s">
        <v>185</v>
      </c>
    </row>
    <row r="395">
      <c r="A395" s="0" t="s">
        <v>89</v>
      </c>
      <c r="B395" s="0">
        <v>11028</v>
      </c>
      <c r="C395" s="0" t="s">
        <v>236</v>
      </c>
      <c r="D395" s="0" t="s">
        <v>775</v>
      </c>
      <c r="E395" s="0" t="s">
        <v>185</v>
      </c>
      <c r="F395" s="0" t="s">
        <v>185</v>
      </c>
      <c r="G395" s="0" t="s">
        <v>353</v>
      </c>
      <c r="H395" s="0" t="s">
        <v>185</v>
      </c>
    </row>
    <row r="396">
      <c r="A396" s="0" t="s">
        <v>48</v>
      </c>
      <c r="B396" s="0">
        <v>11106</v>
      </c>
      <c r="C396" s="0" t="s">
        <v>236</v>
      </c>
      <c r="D396" s="0" t="s">
        <v>776</v>
      </c>
      <c r="E396" s="0" t="s">
        <v>185</v>
      </c>
      <c r="F396" s="0" t="s">
        <v>331</v>
      </c>
      <c r="G396" s="0" t="s">
        <v>329</v>
      </c>
      <c r="H396" s="0" t="s">
        <v>185</v>
      </c>
    </row>
    <row r="397">
      <c r="A397" s="0" t="s">
        <v>439</v>
      </c>
      <c r="B397" s="0">
        <v>11120</v>
      </c>
      <c r="C397" s="0" t="s">
        <v>236</v>
      </c>
      <c r="D397" s="0" t="s">
        <v>777</v>
      </c>
      <c r="E397" s="0" t="s">
        <v>185</v>
      </c>
      <c r="F397" s="0" t="s">
        <v>411</v>
      </c>
      <c r="G397" s="0" t="s">
        <v>329</v>
      </c>
      <c r="H397" s="0" t="s">
        <v>185</v>
      </c>
    </row>
    <row r="398">
      <c r="A398" s="0" t="s">
        <v>439</v>
      </c>
      <c r="B398" s="0">
        <v>11154</v>
      </c>
      <c r="C398" s="0" t="s">
        <v>236</v>
      </c>
      <c r="D398" s="0" t="s">
        <v>778</v>
      </c>
      <c r="E398" s="0" t="s">
        <v>185</v>
      </c>
      <c r="F398" s="0" t="s">
        <v>411</v>
      </c>
      <c r="G398" s="0" t="s">
        <v>329</v>
      </c>
      <c r="H398" s="0" t="s">
        <v>438</v>
      </c>
    </row>
    <row r="399">
      <c r="A399" s="0" t="s">
        <v>713</v>
      </c>
      <c r="B399" s="0">
        <v>11159</v>
      </c>
      <c r="C399" s="0" t="s">
        <v>236</v>
      </c>
      <c r="D399" s="0" t="s">
        <v>779</v>
      </c>
      <c r="E399" s="0" t="s">
        <v>185</v>
      </c>
      <c r="F399" s="0" t="s">
        <v>185</v>
      </c>
      <c r="G399" s="0" t="s">
        <v>353</v>
      </c>
      <c r="H399" s="0" t="s">
        <v>780</v>
      </c>
    </row>
    <row r="400">
      <c r="A400" s="0" t="s">
        <v>48</v>
      </c>
      <c r="B400" s="0">
        <v>11173</v>
      </c>
      <c r="C400" s="0" t="s">
        <v>236</v>
      </c>
      <c r="D400" s="0" t="s">
        <v>781</v>
      </c>
      <c r="E400" s="0" t="s">
        <v>185</v>
      </c>
      <c r="F400" s="0" t="s">
        <v>331</v>
      </c>
      <c r="G400" s="0" t="s">
        <v>329</v>
      </c>
      <c r="H400" s="0" t="s">
        <v>185</v>
      </c>
    </row>
    <row r="401">
      <c r="A401" s="0" t="s">
        <v>434</v>
      </c>
      <c r="B401" s="0">
        <v>11182</v>
      </c>
      <c r="C401" s="0" t="s">
        <v>236</v>
      </c>
      <c r="D401" s="0" t="s">
        <v>782</v>
      </c>
      <c r="E401" s="0" t="s">
        <v>185</v>
      </c>
      <c r="F401" s="0" t="s">
        <v>411</v>
      </c>
      <c r="G401" s="0" t="s">
        <v>329</v>
      </c>
      <c r="H401" s="0" t="s">
        <v>185</v>
      </c>
    </row>
    <row r="402">
      <c r="A402" s="0" t="s">
        <v>72</v>
      </c>
      <c r="B402" s="0">
        <v>11290</v>
      </c>
      <c r="C402" s="0" t="s">
        <v>236</v>
      </c>
      <c r="D402" s="0" t="s">
        <v>783</v>
      </c>
      <c r="E402" s="0" t="s">
        <v>185</v>
      </c>
      <c r="F402" s="0" t="s">
        <v>185</v>
      </c>
      <c r="G402" s="0" t="s">
        <v>353</v>
      </c>
      <c r="H402" s="0" t="s">
        <v>185</v>
      </c>
    </row>
    <row r="403">
      <c r="A403" s="0" t="s">
        <v>72</v>
      </c>
      <c r="B403" s="0">
        <v>11291</v>
      </c>
      <c r="C403" s="0" t="s">
        <v>236</v>
      </c>
      <c r="D403" s="0" t="s">
        <v>784</v>
      </c>
      <c r="E403" s="0" t="s">
        <v>185</v>
      </c>
      <c r="F403" s="0" t="s">
        <v>185</v>
      </c>
      <c r="G403" s="0" t="s">
        <v>353</v>
      </c>
      <c r="H403" s="0" t="s">
        <v>185</v>
      </c>
    </row>
    <row r="404">
      <c r="A404" s="0" t="s">
        <v>72</v>
      </c>
      <c r="B404" s="0">
        <v>11295</v>
      </c>
      <c r="C404" s="0" t="s">
        <v>236</v>
      </c>
      <c r="D404" s="0" t="s">
        <v>785</v>
      </c>
      <c r="E404" s="0" t="s">
        <v>185</v>
      </c>
      <c r="F404" s="0" t="s">
        <v>185</v>
      </c>
      <c r="G404" s="0" t="s">
        <v>353</v>
      </c>
      <c r="H404" s="0" t="s">
        <v>185</v>
      </c>
    </row>
    <row r="405">
      <c r="A405" s="0" t="s">
        <v>99</v>
      </c>
      <c r="B405" s="0">
        <v>11309</v>
      </c>
      <c r="C405" s="0" t="s">
        <v>236</v>
      </c>
      <c r="D405" s="0" t="s">
        <v>786</v>
      </c>
      <c r="E405" s="0" t="s">
        <v>185</v>
      </c>
      <c r="F405" s="0" t="s">
        <v>185</v>
      </c>
      <c r="G405" s="0" t="s">
        <v>353</v>
      </c>
      <c r="H405" s="0" t="s">
        <v>185</v>
      </c>
    </row>
    <row r="406">
      <c r="A406" s="0" t="s">
        <v>471</v>
      </c>
      <c r="B406" s="0">
        <v>11528</v>
      </c>
      <c r="C406" s="0" t="s">
        <v>236</v>
      </c>
      <c r="D406" s="0" t="s">
        <v>787</v>
      </c>
      <c r="E406" s="0" t="s">
        <v>185</v>
      </c>
      <c r="F406" s="0" t="s">
        <v>411</v>
      </c>
      <c r="G406" s="0" t="s">
        <v>329</v>
      </c>
      <c r="H406" s="0" t="s">
        <v>185</v>
      </c>
    </row>
    <row r="407">
      <c r="A407" s="0" t="s">
        <v>471</v>
      </c>
      <c r="B407" s="0">
        <v>11545</v>
      </c>
      <c r="C407" s="0" t="s">
        <v>236</v>
      </c>
      <c r="D407" s="0" t="s">
        <v>788</v>
      </c>
      <c r="E407" s="0" t="s">
        <v>185</v>
      </c>
      <c r="F407" s="0" t="s">
        <v>411</v>
      </c>
      <c r="G407" s="0" t="s">
        <v>303</v>
      </c>
      <c r="H407" s="0" t="s">
        <v>185</v>
      </c>
    </row>
    <row r="408">
      <c r="A408" s="0" t="s">
        <v>444</v>
      </c>
      <c r="B408" s="0">
        <v>11576</v>
      </c>
      <c r="C408" s="0" t="s">
        <v>236</v>
      </c>
      <c r="D408" s="0" t="s">
        <v>789</v>
      </c>
      <c r="E408" s="0" t="s">
        <v>185</v>
      </c>
      <c r="F408" s="0" t="s">
        <v>411</v>
      </c>
      <c r="G408" s="0" t="s">
        <v>329</v>
      </c>
      <c r="H408" s="0" t="s">
        <v>185</v>
      </c>
    </row>
    <row r="409">
      <c r="A409" s="0" t="s">
        <v>444</v>
      </c>
      <c r="B409" s="0">
        <v>11581</v>
      </c>
      <c r="C409" s="0" t="s">
        <v>236</v>
      </c>
      <c r="D409" s="0" t="s">
        <v>790</v>
      </c>
      <c r="E409" s="0" t="s">
        <v>185</v>
      </c>
      <c r="F409" s="0" t="s">
        <v>185</v>
      </c>
      <c r="G409" s="0" t="s">
        <v>369</v>
      </c>
      <c r="H409" s="0" t="s">
        <v>185</v>
      </c>
    </row>
    <row r="410">
      <c r="A410" s="0" t="s">
        <v>142</v>
      </c>
      <c r="B410" s="0">
        <v>11583</v>
      </c>
      <c r="C410" s="0" t="s">
        <v>236</v>
      </c>
      <c r="D410" s="0" t="s">
        <v>791</v>
      </c>
      <c r="E410" s="0" t="s">
        <v>185</v>
      </c>
      <c r="F410" s="0" t="s">
        <v>344</v>
      </c>
      <c r="G410" s="0" t="s">
        <v>329</v>
      </c>
      <c r="H410" s="0" t="s">
        <v>185</v>
      </c>
    </row>
    <row r="411">
      <c r="A411" s="0" t="s">
        <v>439</v>
      </c>
      <c r="B411" s="0">
        <v>11720</v>
      </c>
      <c r="C411" s="0" t="s">
        <v>236</v>
      </c>
      <c r="D411" s="0" t="s">
        <v>792</v>
      </c>
      <c r="E411" s="0" t="s">
        <v>185</v>
      </c>
      <c r="F411" s="0" t="s">
        <v>411</v>
      </c>
      <c r="G411" s="0" t="s">
        <v>329</v>
      </c>
      <c r="H411" s="0" t="s">
        <v>185</v>
      </c>
    </row>
    <row r="412">
      <c r="A412" s="0" t="s">
        <v>425</v>
      </c>
      <c r="B412" s="0">
        <v>11731</v>
      </c>
      <c r="C412" s="0" t="s">
        <v>236</v>
      </c>
      <c r="D412" s="0" t="s">
        <v>793</v>
      </c>
      <c r="E412" s="0" t="s">
        <v>185</v>
      </c>
      <c r="F412" s="0" t="s">
        <v>344</v>
      </c>
      <c r="G412" s="0" t="s">
        <v>329</v>
      </c>
      <c r="H412" s="0" t="s">
        <v>185</v>
      </c>
    </row>
    <row r="413">
      <c r="A413" s="0" t="s">
        <v>351</v>
      </c>
      <c r="B413" s="0">
        <v>11768</v>
      </c>
      <c r="C413" s="0" t="s">
        <v>236</v>
      </c>
      <c r="D413" s="0" t="s">
        <v>794</v>
      </c>
      <c r="E413" s="0" t="s">
        <v>185</v>
      </c>
      <c r="F413" s="0" t="s">
        <v>185</v>
      </c>
      <c r="G413" s="0" t="s">
        <v>353</v>
      </c>
      <c r="H413" s="0" t="s">
        <v>185</v>
      </c>
    </row>
    <row r="414">
      <c r="A414" s="0" t="s">
        <v>351</v>
      </c>
      <c r="B414" s="0">
        <v>11769</v>
      </c>
      <c r="C414" s="0" t="s">
        <v>236</v>
      </c>
      <c r="D414" s="0" t="s">
        <v>795</v>
      </c>
      <c r="E414" s="0" t="s">
        <v>185</v>
      </c>
      <c r="F414" s="0" t="s">
        <v>185</v>
      </c>
      <c r="G414" s="0" t="s">
        <v>353</v>
      </c>
      <c r="H414" s="0" t="s">
        <v>185</v>
      </c>
    </row>
    <row r="415">
      <c r="A415" s="0" t="s">
        <v>351</v>
      </c>
      <c r="B415" s="0">
        <v>11770</v>
      </c>
      <c r="C415" s="0" t="s">
        <v>236</v>
      </c>
      <c r="D415" s="0" t="s">
        <v>796</v>
      </c>
      <c r="E415" s="0" t="s">
        <v>185</v>
      </c>
      <c r="F415" s="0" t="s">
        <v>185</v>
      </c>
      <c r="G415" s="0" t="s">
        <v>353</v>
      </c>
      <c r="H415" s="0" t="s">
        <v>185</v>
      </c>
    </row>
    <row r="416">
      <c r="A416" s="0" t="s">
        <v>439</v>
      </c>
      <c r="B416" s="0">
        <v>11795</v>
      </c>
      <c r="C416" s="0" t="s">
        <v>236</v>
      </c>
      <c r="D416" s="0" t="s">
        <v>797</v>
      </c>
      <c r="E416" s="0" t="s">
        <v>185</v>
      </c>
      <c r="F416" s="0" t="s">
        <v>185</v>
      </c>
      <c r="G416" s="0" t="s">
        <v>353</v>
      </c>
      <c r="H416" s="0" t="s">
        <v>185</v>
      </c>
    </row>
    <row r="417">
      <c r="A417" s="0" t="s">
        <v>434</v>
      </c>
      <c r="B417" s="0">
        <v>11803</v>
      </c>
      <c r="C417" s="0" t="s">
        <v>236</v>
      </c>
      <c r="D417" s="0" t="s">
        <v>798</v>
      </c>
      <c r="E417" s="0" t="s">
        <v>185</v>
      </c>
      <c r="F417" s="0" t="s">
        <v>411</v>
      </c>
      <c r="G417" s="0" t="s">
        <v>329</v>
      </c>
      <c r="H417" s="0" t="s">
        <v>185</v>
      </c>
    </row>
    <row r="418">
      <c r="A418" s="0" t="s">
        <v>412</v>
      </c>
      <c r="B418" s="0">
        <v>11806</v>
      </c>
      <c r="C418" s="0" t="s">
        <v>236</v>
      </c>
      <c r="D418" s="0" t="s">
        <v>799</v>
      </c>
      <c r="E418" s="0" t="s">
        <v>185</v>
      </c>
      <c r="F418" s="0" t="s">
        <v>185</v>
      </c>
      <c r="G418" s="0" t="s">
        <v>353</v>
      </c>
      <c r="H418" s="0" t="s">
        <v>688</v>
      </c>
    </row>
    <row r="419">
      <c r="A419" s="0" t="s">
        <v>425</v>
      </c>
      <c r="B419" s="0">
        <v>11814</v>
      </c>
      <c r="C419" s="0" t="s">
        <v>236</v>
      </c>
      <c r="D419" s="0" t="s">
        <v>800</v>
      </c>
      <c r="E419" s="0" t="s">
        <v>185</v>
      </c>
      <c r="F419" s="0" t="s">
        <v>344</v>
      </c>
      <c r="G419" s="0" t="s">
        <v>329</v>
      </c>
      <c r="H419" s="0" t="s">
        <v>185</v>
      </c>
    </row>
    <row r="420">
      <c r="A420" s="0" t="s">
        <v>402</v>
      </c>
      <c r="B420" s="0">
        <v>11815</v>
      </c>
      <c r="C420" s="0" t="s">
        <v>236</v>
      </c>
      <c r="D420" s="0" t="s">
        <v>801</v>
      </c>
      <c r="E420" s="0" t="s">
        <v>185</v>
      </c>
      <c r="F420" s="0" t="s">
        <v>185</v>
      </c>
      <c r="G420" s="0" t="s">
        <v>353</v>
      </c>
      <c r="H420" s="0" t="s">
        <v>185</v>
      </c>
    </row>
    <row r="421">
      <c r="A421" s="0" t="s">
        <v>354</v>
      </c>
      <c r="B421" s="0">
        <v>11837</v>
      </c>
      <c r="C421" s="0" t="s">
        <v>236</v>
      </c>
      <c r="D421" s="0" t="s">
        <v>802</v>
      </c>
      <c r="E421" s="0" t="s">
        <v>185</v>
      </c>
      <c r="F421" s="0" t="s">
        <v>185</v>
      </c>
      <c r="G421" s="0" t="s">
        <v>353</v>
      </c>
      <c r="H421" s="0" t="s">
        <v>185</v>
      </c>
    </row>
    <row r="422">
      <c r="A422" s="0" t="s">
        <v>72</v>
      </c>
      <c r="B422" s="0">
        <v>11851</v>
      </c>
      <c r="C422" s="0" t="s">
        <v>236</v>
      </c>
      <c r="D422" s="0" t="s">
        <v>803</v>
      </c>
      <c r="E422" s="0" t="s">
        <v>185</v>
      </c>
      <c r="F422" s="0" t="s">
        <v>427</v>
      </c>
      <c r="G422" s="0" t="s">
        <v>329</v>
      </c>
      <c r="H422" s="0" t="s">
        <v>185</v>
      </c>
    </row>
    <row r="423">
      <c r="A423" s="0" t="s">
        <v>618</v>
      </c>
      <c r="B423" s="0">
        <v>11852</v>
      </c>
      <c r="C423" s="0" t="s">
        <v>236</v>
      </c>
      <c r="D423" s="0" t="s">
        <v>804</v>
      </c>
      <c r="E423" s="0" t="s">
        <v>185</v>
      </c>
      <c r="F423" s="0" t="s">
        <v>427</v>
      </c>
      <c r="G423" s="0" t="s">
        <v>329</v>
      </c>
      <c r="H423" s="0" t="s">
        <v>185</v>
      </c>
    </row>
    <row r="424">
      <c r="A424" s="0" t="s">
        <v>602</v>
      </c>
      <c r="B424" s="0">
        <v>11866</v>
      </c>
      <c r="C424" s="0" t="s">
        <v>236</v>
      </c>
      <c r="D424" s="0" t="s">
        <v>805</v>
      </c>
      <c r="E424" s="0" t="s">
        <v>185</v>
      </c>
      <c r="F424" s="0" t="s">
        <v>704</v>
      </c>
      <c r="G424" s="0" t="s">
        <v>329</v>
      </c>
      <c r="H424" s="0" t="s">
        <v>185</v>
      </c>
    </row>
    <row r="425">
      <c r="A425" s="0" t="s">
        <v>99</v>
      </c>
      <c r="B425" s="0">
        <v>11867</v>
      </c>
      <c r="C425" s="0" t="s">
        <v>236</v>
      </c>
      <c r="D425" s="0" t="s">
        <v>806</v>
      </c>
      <c r="E425" s="0" t="s">
        <v>185</v>
      </c>
      <c r="F425" s="0" t="s">
        <v>185</v>
      </c>
      <c r="G425" s="0" t="s">
        <v>353</v>
      </c>
      <c r="H425" s="0" t="s">
        <v>185</v>
      </c>
    </row>
    <row r="426">
      <c r="A426" s="0" t="s">
        <v>409</v>
      </c>
      <c r="B426" s="0">
        <v>11881</v>
      </c>
      <c r="C426" s="0" t="s">
        <v>236</v>
      </c>
      <c r="D426" s="0" t="s">
        <v>807</v>
      </c>
      <c r="E426" s="0" t="s">
        <v>185</v>
      </c>
      <c r="F426" s="0" t="s">
        <v>185</v>
      </c>
      <c r="G426" s="0" t="s">
        <v>353</v>
      </c>
      <c r="H426" s="0" t="s">
        <v>185</v>
      </c>
    </row>
    <row r="427">
      <c r="A427" s="0" t="s">
        <v>48</v>
      </c>
      <c r="B427" s="0">
        <v>11918</v>
      </c>
      <c r="C427" s="0" t="s">
        <v>236</v>
      </c>
      <c r="D427" s="0" t="s">
        <v>808</v>
      </c>
      <c r="E427" s="0" t="s">
        <v>185</v>
      </c>
      <c r="F427" s="0" t="s">
        <v>185</v>
      </c>
      <c r="G427" s="0" t="s">
        <v>353</v>
      </c>
      <c r="H427" s="0" t="s">
        <v>185</v>
      </c>
    </row>
    <row r="428">
      <c r="A428" s="0" t="s">
        <v>351</v>
      </c>
      <c r="B428" s="0">
        <v>11955</v>
      </c>
      <c r="C428" s="0" t="s">
        <v>236</v>
      </c>
      <c r="D428" s="0" t="s">
        <v>809</v>
      </c>
      <c r="E428" s="0" t="s">
        <v>185</v>
      </c>
      <c r="F428" s="0" t="s">
        <v>185</v>
      </c>
      <c r="G428" s="0" t="s">
        <v>353</v>
      </c>
      <c r="H428" s="0" t="s">
        <v>185</v>
      </c>
    </row>
    <row r="429">
      <c r="A429" s="0" t="s">
        <v>351</v>
      </c>
      <c r="B429" s="0">
        <v>11958</v>
      </c>
      <c r="C429" s="0" t="s">
        <v>236</v>
      </c>
      <c r="D429" s="0" t="s">
        <v>810</v>
      </c>
      <c r="E429" s="0" t="s">
        <v>185</v>
      </c>
      <c r="F429" s="0" t="s">
        <v>185</v>
      </c>
      <c r="G429" s="0" t="s">
        <v>353</v>
      </c>
      <c r="H429" s="0" t="s">
        <v>185</v>
      </c>
    </row>
    <row r="430">
      <c r="A430" s="0" t="s">
        <v>351</v>
      </c>
      <c r="B430" s="0">
        <v>11959</v>
      </c>
      <c r="C430" s="0" t="s">
        <v>236</v>
      </c>
      <c r="D430" s="0" t="s">
        <v>811</v>
      </c>
      <c r="E430" s="0" t="s">
        <v>185</v>
      </c>
      <c r="F430" s="0" t="s">
        <v>185</v>
      </c>
      <c r="G430" s="0" t="s">
        <v>353</v>
      </c>
      <c r="H430" s="0" t="s">
        <v>185</v>
      </c>
    </row>
    <row r="431">
      <c r="A431" s="0" t="s">
        <v>812</v>
      </c>
      <c r="B431" s="0">
        <v>11987</v>
      </c>
      <c r="C431" s="0" t="s">
        <v>236</v>
      </c>
      <c r="D431" s="0" t="s">
        <v>813</v>
      </c>
      <c r="E431" s="0" t="s">
        <v>185</v>
      </c>
      <c r="F431" s="0" t="s">
        <v>648</v>
      </c>
      <c r="G431" s="0" t="s">
        <v>329</v>
      </c>
      <c r="H431" s="0" t="s">
        <v>185</v>
      </c>
    </row>
    <row r="432">
      <c r="A432" s="0" t="s">
        <v>444</v>
      </c>
      <c r="B432" s="0">
        <v>11989</v>
      </c>
      <c r="C432" s="0" t="s">
        <v>236</v>
      </c>
      <c r="D432" s="0" t="s">
        <v>814</v>
      </c>
      <c r="E432" s="0" t="s">
        <v>185</v>
      </c>
      <c r="F432" s="0" t="s">
        <v>411</v>
      </c>
      <c r="G432" s="0" t="s">
        <v>303</v>
      </c>
      <c r="H432" s="0" t="s">
        <v>185</v>
      </c>
    </row>
    <row r="433">
      <c r="A433" s="0" t="s">
        <v>471</v>
      </c>
      <c r="B433" s="0">
        <v>12045</v>
      </c>
      <c r="C433" s="0" t="s">
        <v>236</v>
      </c>
      <c r="D433" s="0" t="s">
        <v>815</v>
      </c>
      <c r="E433" s="0" t="s">
        <v>185</v>
      </c>
      <c r="F433" s="0" t="s">
        <v>185</v>
      </c>
      <c r="G433" s="0" t="s">
        <v>353</v>
      </c>
      <c r="H433" s="0" t="s">
        <v>185</v>
      </c>
    </row>
    <row r="434">
      <c r="A434" s="0" t="s">
        <v>471</v>
      </c>
      <c r="B434" s="0">
        <v>12047</v>
      </c>
      <c r="C434" s="0" t="s">
        <v>236</v>
      </c>
      <c r="D434" s="0" t="s">
        <v>816</v>
      </c>
      <c r="E434" s="0" t="s">
        <v>185</v>
      </c>
      <c r="F434" s="0" t="s">
        <v>185</v>
      </c>
      <c r="G434" s="0" t="s">
        <v>353</v>
      </c>
      <c r="H434" s="0" t="s">
        <v>185</v>
      </c>
    </row>
    <row r="435">
      <c r="A435" s="0" t="s">
        <v>471</v>
      </c>
      <c r="B435" s="0">
        <v>12049</v>
      </c>
      <c r="C435" s="0" t="s">
        <v>236</v>
      </c>
      <c r="D435" s="0" t="s">
        <v>817</v>
      </c>
      <c r="E435" s="0" t="s">
        <v>185</v>
      </c>
      <c r="F435" s="0" t="s">
        <v>185</v>
      </c>
      <c r="G435" s="0" t="s">
        <v>353</v>
      </c>
      <c r="H435" s="0" t="s">
        <v>185</v>
      </c>
    </row>
    <row r="436">
      <c r="A436" s="0" t="s">
        <v>471</v>
      </c>
      <c r="B436" s="0">
        <v>12051</v>
      </c>
      <c r="C436" s="0" t="s">
        <v>236</v>
      </c>
      <c r="D436" s="0" t="s">
        <v>818</v>
      </c>
      <c r="E436" s="0" t="s">
        <v>185</v>
      </c>
      <c r="F436" s="0" t="s">
        <v>185</v>
      </c>
      <c r="G436" s="0" t="s">
        <v>353</v>
      </c>
      <c r="H436" s="0" t="s">
        <v>532</v>
      </c>
    </row>
    <row r="437">
      <c r="A437" s="0" t="s">
        <v>351</v>
      </c>
      <c r="B437" s="0">
        <v>12061</v>
      </c>
      <c r="C437" s="0" t="s">
        <v>236</v>
      </c>
      <c r="D437" s="0" t="s">
        <v>819</v>
      </c>
      <c r="E437" s="0" t="s">
        <v>185</v>
      </c>
      <c r="F437" s="0" t="s">
        <v>185</v>
      </c>
      <c r="G437" s="0" t="s">
        <v>353</v>
      </c>
      <c r="H437" s="0" t="s">
        <v>185</v>
      </c>
    </row>
    <row r="438">
      <c r="A438" s="0" t="s">
        <v>351</v>
      </c>
      <c r="B438" s="0">
        <v>12091</v>
      </c>
      <c r="C438" s="0" t="s">
        <v>236</v>
      </c>
      <c r="D438" s="0" t="s">
        <v>820</v>
      </c>
      <c r="E438" s="0" t="s">
        <v>185</v>
      </c>
      <c r="F438" s="0" t="s">
        <v>427</v>
      </c>
      <c r="G438" s="0" t="s">
        <v>329</v>
      </c>
      <c r="H438" s="0" t="s">
        <v>185</v>
      </c>
    </row>
    <row r="439">
      <c r="A439" s="0" t="s">
        <v>72</v>
      </c>
      <c r="B439" s="0">
        <v>12094</v>
      </c>
      <c r="C439" s="0" t="s">
        <v>236</v>
      </c>
      <c r="D439" s="0" t="s">
        <v>821</v>
      </c>
      <c r="E439" s="0" t="s">
        <v>185</v>
      </c>
      <c r="F439" s="0" t="s">
        <v>185</v>
      </c>
      <c r="G439" s="0" t="s">
        <v>353</v>
      </c>
      <c r="H439" s="0" t="s">
        <v>185</v>
      </c>
    </row>
    <row r="440">
      <c r="A440" s="0" t="s">
        <v>511</v>
      </c>
      <c r="B440" s="0">
        <v>12099</v>
      </c>
      <c r="C440" s="0" t="s">
        <v>236</v>
      </c>
      <c r="D440" s="0" t="s">
        <v>822</v>
      </c>
      <c r="E440" s="0" t="s">
        <v>185</v>
      </c>
      <c r="F440" s="0" t="s">
        <v>427</v>
      </c>
      <c r="G440" s="0" t="s">
        <v>329</v>
      </c>
      <c r="H440" s="0" t="s">
        <v>185</v>
      </c>
    </row>
    <row r="441">
      <c r="A441" s="0" t="s">
        <v>72</v>
      </c>
      <c r="B441" s="0">
        <v>12173</v>
      </c>
      <c r="C441" s="0" t="s">
        <v>236</v>
      </c>
      <c r="D441" s="0" t="s">
        <v>823</v>
      </c>
      <c r="E441" s="0" t="s">
        <v>185</v>
      </c>
      <c r="F441" s="0" t="s">
        <v>185</v>
      </c>
      <c r="G441" s="0" t="s">
        <v>353</v>
      </c>
      <c r="H441" s="0" t="s">
        <v>185</v>
      </c>
    </row>
    <row r="442">
      <c r="A442" s="0" t="s">
        <v>812</v>
      </c>
      <c r="B442" s="0">
        <v>12176</v>
      </c>
      <c r="C442" s="0" t="s">
        <v>236</v>
      </c>
      <c r="D442" s="0" t="s">
        <v>824</v>
      </c>
      <c r="E442" s="0" t="s">
        <v>185</v>
      </c>
      <c r="F442" s="0" t="s">
        <v>185</v>
      </c>
      <c r="G442" s="0" t="s">
        <v>353</v>
      </c>
      <c r="H442" s="0" t="s">
        <v>185</v>
      </c>
    </row>
    <row r="443">
      <c r="A443" s="0" t="s">
        <v>72</v>
      </c>
      <c r="B443" s="0">
        <v>12179</v>
      </c>
      <c r="C443" s="0" t="s">
        <v>236</v>
      </c>
      <c r="D443" s="0" t="s">
        <v>262</v>
      </c>
      <c r="E443" s="0" t="s">
        <v>185</v>
      </c>
      <c r="F443" s="0" t="s">
        <v>427</v>
      </c>
      <c r="G443" s="0" t="s">
        <v>303</v>
      </c>
      <c r="H443" s="0" t="s">
        <v>185</v>
      </c>
    </row>
    <row r="444">
      <c r="A444" s="0" t="s">
        <v>434</v>
      </c>
      <c r="B444" s="0">
        <v>12236</v>
      </c>
      <c r="C444" s="0" t="s">
        <v>236</v>
      </c>
      <c r="D444" s="0" t="s">
        <v>825</v>
      </c>
      <c r="E444" s="0" t="s">
        <v>185</v>
      </c>
      <c r="F444" s="0" t="s">
        <v>185</v>
      </c>
      <c r="G444" s="0" t="s">
        <v>353</v>
      </c>
      <c r="H444" s="0" t="s">
        <v>185</v>
      </c>
    </row>
    <row r="445">
      <c r="A445" s="0" t="s">
        <v>444</v>
      </c>
      <c r="B445" s="0">
        <v>12239</v>
      </c>
      <c r="C445" s="0" t="s">
        <v>236</v>
      </c>
      <c r="D445" s="0" t="s">
        <v>826</v>
      </c>
      <c r="E445" s="0" t="s">
        <v>185</v>
      </c>
      <c r="F445" s="0" t="s">
        <v>185</v>
      </c>
      <c r="G445" s="0" t="s">
        <v>353</v>
      </c>
      <c r="H445" s="0" t="s">
        <v>185</v>
      </c>
    </row>
    <row r="446">
      <c r="A446" s="0" t="s">
        <v>434</v>
      </c>
      <c r="B446" s="0">
        <v>12241</v>
      </c>
      <c r="C446" s="0" t="s">
        <v>236</v>
      </c>
      <c r="D446" s="0" t="s">
        <v>827</v>
      </c>
      <c r="E446" s="0" t="s">
        <v>185</v>
      </c>
      <c r="F446" s="0" t="s">
        <v>185</v>
      </c>
      <c r="G446" s="0" t="s">
        <v>353</v>
      </c>
      <c r="H446" s="0" t="s">
        <v>185</v>
      </c>
    </row>
    <row r="447">
      <c r="A447" s="0" t="s">
        <v>471</v>
      </c>
      <c r="B447" s="0">
        <v>12243</v>
      </c>
      <c r="C447" s="0" t="s">
        <v>236</v>
      </c>
      <c r="D447" s="0" t="s">
        <v>828</v>
      </c>
      <c r="E447" s="0" t="s">
        <v>185</v>
      </c>
      <c r="F447" s="0" t="s">
        <v>411</v>
      </c>
      <c r="G447" s="0" t="s">
        <v>329</v>
      </c>
      <c r="H447" s="0" t="s">
        <v>185</v>
      </c>
    </row>
    <row r="448">
      <c r="A448" s="0" t="s">
        <v>351</v>
      </c>
      <c r="B448" s="0">
        <v>12266</v>
      </c>
      <c r="C448" s="0" t="s">
        <v>236</v>
      </c>
      <c r="D448" s="0" t="s">
        <v>829</v>
      </c>
      <c r="E448" s="0" t="s">
        <v>185</v>
      </c>
      <c r="F448" s="0" t="s">
        <v>185</v>
      </c>
      <c r="G448" s="0" t="s">
        <v>353</v>
      </c>
      <c r="H448" s="0" t="s">
        <v>685</v>
      </c>
    </row>
    <row r="449">
      <c r="A449" s="0" t="s">
        <v>812</v>
      </c>
      <c r="B449" s="0">
        <v>12478</v>
      </c>
      <c r="C449" s="0" t="s">
        <v>236</v>
      </c>
      <c r="D449" s="0" t="s">
        <v>830</v>
      </c>
      <c r="E449" s="0" t="s">
        <v>185</v>
      </c>
      <c r="F449" s="0" t="s">
        <v>185</v>
      </c>
      <c r="G449" s="0" t="s">
        <v>353</v>
      </c>
      <c r="H449" s="0" t="s">
        <v>831</v>
      </c>
    </row>
    <row r="450">
      <c r="A450" s="0" t="s">
        <v>72</v>
      </c>
      <c r="B450" s="0">
        <v>12480</v>
      </c>
      <c r="C450" s="0" t="s">
        <v>236</v>
      </c>
      <c r="D450" s="0" t="s">
        <v>832</v>
      </c>
      <c r="E450" s="0" t="s">
        <v>185</v>
      </c>
      <c r="F450" s="0" t="s">
        <v>185</v>
      </c>
      <c r="G450" s="0" t="s">
        <v>353</v>
      </c>
      <c r="H450" s="0" t="s">
        <v>185</v>
      </c>
    </row>
    <row r="451">
      <c r="A451" s="0" t="s">
        <v>48</v>
      </c>
      <c r="B451" s="0">
        <v>12492</v>
      </c>
      <c r="C451" s="0" t="s">
        <v>236</v>
      </c>
      <c r="D451" s="0" t="s">
        <v>833</v>
      </c>
      <c r="E451" s="0" t="s">
        <v>185</v>
      </c>
      <c r="F451" s="0" t="s">
        <v>185</v>
      </c>
      <c r="G451" s="0" t="s">
        <v>353</v>
      </c>
      <c r="H451" s="0" t="s">
        <v>185</v>
      </c>
    </row>
    <row r="452">
      <c r="A452" s="0" t="s">
        <v>72</v>
      </c>
      <c r="B452" s="0">
        <v>12525</v>
      </c>
      <c r="C452" s="0" t="s">
        <v>236</v>
      </c>
      <c r="D452" s="0" t="s">
        <v>834</v>
      </c>
      <c r="E452" s="0" t="s">
        <v>185</v>
      </c>
      <c r="F452" s="0" t="s">
        <v>185</v>
      </c>
      <c r="G452" s="0" t="s">
        <v>353</v>
      </c>
      <c r="H452" s="0" t="s">
        <v>185</v>
      </c>
    </row>
    <row r="453">
      <c r="A453" s="0" t="s">
        <v>137</v>
      </c>
      <c r="B453" s="0">
        <v>12533</v>
      </c>
      <c r="C453" s="0" t="s">
        <v>236</v>
      </c>
      <c r="D453" s="0" t="s">
        <v>138</v>
      </c>
      <c r="E453" s="0" t="s">
        <v>185</v>
      </c>
      <c r="F453" s="0" t="s">
        <v>539</v>
      </c>
      <c r="G453" s="0" t="s">
        <v>329</v>
      </c>
      <c r="H453" s="0" t="s">
        <v>185</v>
      </c>
    </row>
    <row r="454">
      <c r="A454" s="0" t="s">
        <v>72</v>
      </c>
      <c r="B454" s="0">
        <v>12537</v>
      </c>
      <c r="C454" s="0" t="s">
        <v>236</v>
      </c>
      <c r="D454" s="0" t="s">
        <v>835</v>
      </c>
      <c r="E454" s="0" t="s">
        <v>185</v>
      </c>
      <c r="F454" s="0" t="s">
        <v>185</v>
      </c>
      <c r="G454" s="0" t="s">
        <v>353</v>
      </c>
      <c r="H454" s="0" t="s">
        <v>185</v>
      </c>
    </row>
    <row r="455">
      <c r="A455" s="0" t="s">
        <v>124</v>
      </c>
      <c r="B455" s="0">
        <v>12550</v>
      </c>
      <c r="C455" s="0" t="s">
        <v>236</v>
      </c>
      <c r="D455" s="0" t="s">
        <v>836</v>
      </c>
      <c r="E455" s="0" t="s">
        <v>185</v>
      </c>
      <c r="F455" s="0" t="s">
        <v>837</v>
      </c>
      <c r="G455" s="0" t="s">
        <v>303</v>
      </c>
      <c r="H455" s="0" t="s">
        <v>185</v>
      </c>
    </row>
    <row r="456">
      <c r="A456" s="0" t="s">
        <v>425</v>
      </c>
      <c r="B456" s="0">
        <v>12560</v>
      </c>
      <c r="C456" s="0" t="s">
        <v>236</v>
      </c>
      <c r="D456" s="0" t="s">
        <v>838</v>
      </c>
      <c r="E456" s="0" t="s">
        <v>185</v>
      </c>
      <c r="F456" s="0" t="s">
        <v>185</v>
      </c>
      <c r="G456" s="0" t="s">
        <v>353</v>
      </c>
      <c r="H456" s="0" t="s">
        <v>688</v>
      </c>
    </row>
    <row r="457">
      <c r="A457" s="0" t="s">
        <v>142</v>
      </c>
      <c r="B457" s="0">
        <v>12591</v>
      </c>
      <c r="C457" s="0" t="s">
        <v>236</v>
      </c>
      <c r="D457" s="0" t="s">
        <v>839</v>
      </c>
      <c r="E457" s="0" t="s">
        <v>185</v>
      </c>
      <c r="F457" s="0" t="s">
        <v>539</v>
      </c>
      <c r="G457" s="0" t="s">
        <v>303</v>
      </c>
      <c r="H457" s="0" t="s">
        <v>185</v>
      </c>
    </row>
    <row r="458">
      <c r="A458" s="0" t="s">
        <v>142</v>
      </c>
      <c r="B458" s="0">
        <v>12604</v>
      </c>
      <c r="C458" s="0" t="s">
        <v>236</v>
      </c>
      <c r="D458" s="0" t="s">
        <v>840</v>
      </c>
      <c r="E458" s="0" t="s">
        <v>185</v>
      </c>
      <c r="F458" s="0" t="s">
        <v>185</v>
      </c>
      <c r="G458" s="0" t="s">
        <v>353</v>
      </c>
      <c r="H458" s="0" t="s">
        <v>185</v>
      </c>
    </row>
  </sheetData>
  <pageMargins left="0.7" right="0.7" top="0.75" bottom="0.75" header="0.3" footer="0.3"/>
  <pageSetup paperSize="9" orientation="portrait"/>
  <headerFooter>
    <oddFooter>&amp;L&amp;1#&amp;"Tahoma"&amp;9&amp;KCF022BC2 – Usage restreint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9945-EBFD-4775-9538-210CD65369EB}">
  <dimension ref="A1:D22"/>
  <sheetViews>
    <sheetView workbookViewId="0"/>
  </sheetViews>
  <sheetFormatPr baseColWidth="10" defaultColWidth="11.42578125" defaultRowHeight="15" x14ac:dyDescent="0.25"/>
  <cols>
    <col min="2" max="2" bestFit="1" width="12" customWidth="1"/>
    <col min="3" max="3" bestFit="1" width="37.7109375" customWidth="1"/>
  </cols>
  <sheetData>
    <row r="1" ht="75">
      <c r="A1" s="196" t="s">
        <v>251</v>
      </c>
    </row>
    <row r="3" s="218" customFormat="1">
      <c r="B3" s="219" t="s">
        <v>841</v>
      </c>
      <c r="C3" s="219"/>
      <c r="D3" s="219" t="s">
        <v>842</v>
      </c>
    </row>
    <row r="9">
      <c r="D9" s="0" t="s">
        <v>843</v>
      </c>
    </row>
    <row r="18">
      <c r="B18" s="46" t="s">
        <v>190</v>
      </c>
    </row>
    <row r="19">
      <c r="B19" s="101"/>
      <c r="C19" s="0" t="s">
        <v>223</v>
      </c>
    </row>
    <row r="20">
      <c r="B20" s="161"/>
      <c r="C20" s="0" t="s">
        <v>225</v>
      </c>
    </row>
    <row r="21">
      <c r="B21" s="102"/>
      <c r="C21" s="0" t="s">
        <v>228</v>
      </c>
    </row>
    <row r="22">
      <c r="B22" s="164" t="s">
        <v>844</v>
      </c>
      <c r="C22" s="0" t="s">
        <v>845</v>
      </c>
    </row>
  </sheetData>
  <protectedRanges>
    <protectedRange sqref="A1" name="Modif_1" securityDescriptor="O:WDG:WDD:(A;;CC;;;WD)"/>
  </protectedRange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D0DC5894D0943A3C95B7A00148002" ma:contentTypeVersion="16" ma:contentTypeDescription="Crée un document." ma:contentTypeScope="" ma:versionID="acbb7ff84c7002354deec85f7a0fc7c0">
  <xsd:schema xmlns:xsd="http://www.w3.org/2001/XMLSchema" xmlns:xs="http://www.w3.org/2001/XMLSchema" xmlns:p="http://schemas.microsoft.com/office/2006/metadata/properties" xmlns:ns2="09eecb0d-25a3-421c-96a4-d9249d05b2cf" xmlns:ns3="e7190c23-21fd-4781-aafe-0dbcea736928" targetNamespace="http://schemas.microsoft.com/office/2006/metadata/properties" ma:root="true" ma:fieldsID="84dbb0d36822dab740e2f7830fd68883" ns2:_="" ns3:_="">
    <xsd:import namespace="09eecb0d-25a3-421c-96a4-d9249d05b2cf"/>
    <xsd:import namespace="e7190c23-21fd-4781-aafe-0dbcea736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ecb0d-25a3-421c-96a4-d9249d05b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90c23-21fd-4781-aafe-0dbcea736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c03a51f-3f00-476d-b1b1-19ea8794ec75}" ma:internalName="TaxCatchAll" ma:showField="CatchAllData" ma:web="e7190c23-21fd-4781-aafe-0dbcea7369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190c23-21fd-4781-aafe-0dbcea736928" xsi:nil="true"/>
    <lcf76f155ced4ddcb4097134ff3c332f xmlns="09eecb0d-25a3-421c-96a4-d9249d05b2cf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9A765-B4EF-4F6F-9420-D2286161BE0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6FC4091-B609-456C-A9E8-2E7369A485EF}"/>
</file>

<file path=customXml/itemProps3.xml><?xml version="1.0" encoding="utf-8"?>
<ds:datastoreItem xmlns:ds="http://schemas.openxmlformats.org/officeDocument/2006/customXml" ds:itemID="{70B9DA21-5B8D-4A9E-9AA5-9FFE6C594C2D}">
  <ds:schemaRefs>
    <ds:schemaRef ds:uri="http://schemas.microsoft.com/office/2006/documentManagement/types"/>
    <ds:schemaRef ds:uri="e7190c23-21fd-4781-aafe-0dbcea736928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09eecb0d-25a3-421c-96a4-d9249d05b2c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20841FB-08D4-4F81-80AC-1121C096C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10</vt:i4>
      </vt:variant>
    </vt:vector>
  </HeadingPairs>
  <TitlesOfParts>
    <vt:vector size="17" baseType="lpstr">
      <vt:lpstr>PI2023.08-1 Suivi Sprint-Init</vt:lpstr>
      <vt:lpstr>Contenu Sprint</vt:lpstr>
      <vt:lpstr>US de Reference</vt:lpstr>
      <vt:lpstr>Param</vt:lpstr>
      <vt:lpstr>Tickets</vt:lpstr>
      <vt:lpstr>SSG - Features</vt:lpstr>
      <vt:lpstr>Feuil1</vt:lpstr>
      <vt:lpstr>HEURES</vt:lpstr>
      <vt:lpstr>'PI2023.08-1 Suivi Sprint-Init'!heures_BA</vt:lpstr>
      <vt:lpstr>'PI2023.08-1 Suivi Sprint-Init'!HEURES_INIT</vt:lpstr>
      <vt:lpstr>'PI2023.08-1 Suivi Sprint-Init'!jour_tot_autre_init</vt:lpstr>
      <vt:lpstr>'PI2023.08-1 Suivi Sprint-Init'!jour_tot_net_init</vt:lpstr>
      <vt:lpstr>Liste_Projet</vt:lpstr>
      <vt:lpstr>Liste_Techno</vt:lpstr>
      <vt:lpstr>Liste_valeur</vt:lpstr>
      <vt:lpstr>'PI2023.08-1 Suivi Sprint-Init'!Total_jour_presence</vt:lpstr>
      <vt:lpstr>Type_Ticket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SAROT Valentin</dc:creator>
  <cp:keywords/>
  <dc:description/>
  <cp:lastModifiedBy>BRUGAL Jerome</cp:lastModifiedBy>
  <cp:revision/>
  <dcterms:created xsi:type="dcterms:W3CDTF">2020-01-30T10:13:14Z</dcterms:created>
  <dcterms:modified xsi:type="dcterms:W3CDTF">2023-08-04T15:55:47Z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0x010100271D0DC5894D0943A3C95B7A00148002</vt:lpwstr>
  </property>
  <property fmtid="{D5CDD505-2E9C-101B-9397-08002B2CF9AE}" pid="3" name="MediaServiceImageTags">
    <vt:lpwstr/>
  </property>
  <property fmtid="{D5CDD505-2E9C-101B-9397-08002B2CF9AE}" pid="4" name="MSIP_Label_7bd1f144-26ac-4410-8fdb-05c7de218e82_Enabled">
    <vt:lpwstr>true</vt:lpwstr>
  </property>
  <property fmtid="{D5CDD505-2E9C-101B-9397-08002B2CF9AE}" pid="5" name="MSIP_Label_7bd1f144-26ac-4410-8fdb-05c7de218e82_SetDate">
    <vt:lpwstr>2023-01-02T12:47:52Z</vt:lpwstr>
  </property>
  <property fmtid="{D5CDD505-2E9C-101B-9397-08002B2CF9AE}" pid="6" name="MSIP_Label_7bd1f144-26ac-4410-8fdb-05c7de218e82_Method">
    <vt:lpwstr>Standard</vt:lpwstr>
  </property>
  <property fmtid="{D5CDD505-2E9C-101B-9397-08002B2CF9AE}" pid="7" name="MSIP_Label_7bd1f144-26ac-4410-8fdb-05c7de218e82_Name">
    <vt:lpwstr>FR Usage restreint</vt:lpwstr>
  </property>
  <property fmtid="{D5CDD505-2E9C-101B-9397-08002B2CF9AE}" pid="8" name="MSIP_Label_7bd1f144-26ac-4410-8fdb-05c7de218e82_SiteId">
    <vt:lpwstr>8b87af7d-8647-4dc7-8df4-5f69a2011bb5</vt:lpwstr>
  </property>
  <property fmtid="{D5CDD505-2E9C-101B-9397-08002B2CF9AE}" pid="9" name="MSIP_Label_7bd1f144-26ac-4410-8fdb-05c7de218e82_ActionId">
    <vt:lpwstr>619dafc1-78b6-43e2-aba8-b217815620ea</vt:lpwstr>
  </property>
  <property fmtid="{D5CDD505-2E9C-101B-9397-08002B2CF9AE}" pid="10" name="MSIP_Label_7bd1f144-26ac-4410-8fdb-05c7de218e82_ContentBits">
    <vt:lpwstr>3</vt:lpwstr>
  </property>
</Properties>
</file>