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D:\bruga\Documents\Developpement\sourcesGitHub\.NET\MajConsoSuiviSprint\tests\"/>
    </mc:Choice>
  </mc:AlternateContent>
  <xr:revisionPtr revIDLastSave="0" documentId="13_ncr:1_{346A6007-FFBD-4FA3-9505-7ACCD5F4D0BF}" xr6:coauthVersionLast="47" xr6:coauthVersionMax="47" xr10:uidLastSave="{00000000-0000-0000-0000-000000000000}"/>
  <bookViews>
    <workbookView xWindow="4935" yWindow="555" windowWidth="17625" windowHeight="15420" xr2:uid="{00000000-000D-0000-FFFF-FFFF00000000}"/>
  </bookViews>
  <sheets>
    <sheet name="PI2023.08-1 Suivi Sprint" sheetId="24" r:id="rId1"/>
    <sheet name="PI2023.08-1 Suivi Sprint-Init" sheetId="22" r:id="rId2"/>
    <sheet name="Contenu Sprint" sheetId="17" r:id="rId3"/>
    <sheet name="US de Reference" sheetId="4" r:id="rId4"/>
    <sheet name="Param" sheetId="18" r:id="rId5"/>
    <sheet name="Tickets" sheetId="5" r:id="rId6"/>
    <sheet name="SSG - Features" sheetId="21" r:id="rId7"/>
  </sheets>
  <externalReferences>
    <externalReference r:id="rId8"/>
    <externalReference r:id="rId9"/>
  </externalReferences>
  <definedNames>
    <definedName name="DonnéesExternes_1" localSheetId="6" hidden="1">'SSG - Features'!$A$1:$H$458</definedName>
    <definedName name="HEURES">Param!$A$19</definedName>
    <definedName name="heures_BA" localSheetId="0">'PI2023.08-1 Suivi Sprint'!$E$31</definedName>
    <definedName name="heures_BA" localSheetId="1">'PI2023.08-1 Suivi Sprint-Init'!$E$31</definedName>
    <definedName name="HEURES_INIT" localSheetId="0">'PI2023.08-1 Suivi Sprint'!$AT$45</definedName>
    <definedName name="HEURES_INIT" localSheetId="1">'PI2023.08-1 Suivi Sprint-Init'!$AT$45</definedName>
    <definedName name="jour_tot_autre_init" localSheetId="0">'PI2023.08-1 Suivi Sprint'!$J$37</definedName>
    <definedName name="jour_tot_autre_init" localSheetId="1">'PI2023.08-1 Suivi Sprint-Init'!$J$37</definedName>
    <definedName name="jour_tot_net_init" localSheetId="0">'PI2023.08-1 Suivi Sprint'!$J$36</definedName>
    <definedName name="jour_tot_net_init" localSheetId="1">'PI2023.08-1 Suivi Sprint-Init'!$J$36</definedName>
    <definedName name="Liste_Projet">Param!$A$6:$A$7</definedName>
    <definedName name="Liste_Techno">Param!$A$11:$A$12</definedName>
    <definedName name="Liste_valeur">Param!$A$2:$A$3</definedName>
    <definedName name="Total_jour_presence" localSheetId="0">'PI2023.08-1 Suivi Sprint'!$J$41</definedName>
    <definedName name="Total_jour_presence" localSheetId="1">'PI2023.08-1 Suivi Sprint-Init'!$J$41</definedName>
    <definedName name="Total_jour_presence">#REF!</definedName>
    <definedName name="Type_Ticket">Param!$A$15:$A$16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5" i="24" l="1"/>
  <c r="U55" i="24"/>
  <c r="S55" i="24"/>
  <c r="Q55" i="24"/>
  <c r="O55" i="24"/>
  <c r="M55" i="24"/>
  <c r="W54" i="24"/>
  <c r="U54" i="24"/>
  <c r="S54" i="24"/>
  <c r="Q54" i="24"/>
  <c r="O54" i="24"/>
  <c r="M54" i="24"/>
  <c r="AZ51" i="24"/>
  <c r="AZ54" i="24" s="1"/>
  <c r="AS47" i="24"/>
  <c r="AN47" i="24"/>
  <c r="AS46" i="24"/>
  <c r="AN46" i="24"/>
  <c r="AS45" i="24"/>
  <c r="J55" i="24" s="1"/>
  <c r="AR45" i="24"/>
  <c r="AN45" i="24"/>
  <c r="AJ44" i="24"/>
  <c r="AT43" i="24"/>
  <c r="AQ43" i="24"/>
  <c r="AJ43" i="24"/>
  <c r="J43" i="24"/>
  <c r="AQ42" i="24"/>
  <c r="AT42" i="24" s="1"/>
  <c r="AJ42" i="24"/>
  <c r="AQ41" i="24"/>
  <c r="AT41" i="24" s="1"/>
  <c r="AJ41" i="24"/>
  <c r="AV40" i="24"/>
  <c r="AW40" i="24" s="1"/>
  <c r="AX40" i="24" s="1"/>
  <c r="AY40" i="24" s="1"/>
  <c r="AZ40" i="24" s="1"/>
  <c r="BA40" i="24" s="1"/>
  <c r="BB40" i="24" s="1"/>
  <c r="BC40" i="24" s="1"/>
  <c r="BD40" i="24" s="1"/>
  <c r="AU40" i="24"/>
  <c r="AT40" i="24"/>
  <c r="AQ40" i="24"/>
  <c r="AJ40" i="24"/>
  <c r="J40" i="24"/>
  <c r="AQ39" i="24"/>
  <c r="AT39" i="24" s="1"/>
  <c r="AJ39" i="24"/>
  <c r="J39" i="24"/>
  <c r="L39" i="24" s="1"/>
  <c r="AQ38" i="24"/>
  <c r="AT38" i="24" s="1"/>
  <c r="AJ38" i="24"/>
  <c r="N38" i="24"/>
  <c r="AQ37" i="24"/>
  <c r="AT37" i="24" s="1"/>
  <c r="AJ37" i="24"/>
  <c r="AV36" i="24"/>
  <c r="AW36" i="24" s="1"/>
  <c r="AX36" i="24" s="1"/>
  <c r="AY36" i="24" s="1"/>
  <c r="AZ36" i="24" s="1"/>
  <c r="BA36" i="24" s="1"/>
  <c r="BB36" i="24" s="1"/>
  <c r="BC36" i="24" s="1"/>
  <c r="BD36" i="24" s="1"/>
  <c r="AU36" i="24"/>
  <c r="AT36" i="24"/>
  <c r="AQ36" i="24"/>
  <c r="AJ36" i="24"/>
  <c r="AQ35" i="24"/>
  <c r="AT35" i="24" s="1"/>
  <c r="AJ35" i="24"/>
  <c r="AQ34" i="24"/>
  <c r="AT34" i="24" s="1"/>
  <c r="AJ34" i="24"/>
  <c r="AW33" i="24"/>
  <c r="AX33" i="24" s="1"/>
  <c r="AY33" i="24" s="1"/>
  <c r="AZ33" i="24" s="1"/>
  <c r="BA33" i="24" s="1"/>
  <c r="BB33" i="24" s="1"/>
  <c r="BC33" i="24" s="1"/>
  <c r="BD33" i="24" s="1"/>
  <c r="AV33" i="24"/>
  <c r="AQ33" i="24"/>
  <c r="AT33" i="24" s="1"/>
  <c r="AU33" i="24" s="1"/>
  <c r="AJ33" i="24"/>
  <c r="BB32" i="24"/>
  <c r="BC32" i="24" s="1"/>
  <c r="BD32" i="24" s="1"/>
  <c r="AT32" i="24"/>
  <c r="AV32" i="24" s="1"/>
  <c r="AW32" i="24" s="1"/>
  <c r="AX32" i="24" s="1"/>
  <c r="AY32" i="24" s="1"/>
  <c r="AZ32" i="24" s="1"/>
  <c r="BA32" i="24" s="1"/>
  <c r="AQ32" i="24"/>
  <c r="AJ32" i="24"/>
  <c r="BB31" i="24"/>
  <c r="BC31" i="24" s="1"/>
  <c r="BD31" i="24" s="1"/>
  <c r="AT31" i="24"/>
  <c r="AV31" i="24" s="1"/>
  <c r="AW31" i="24" s="1"/>
  <c r="AX31" i="24" s="1"/>
  <c r="AY31" i="24" s="1"/>
  <c r="AZ31" i="24" s="1"/>
  <c r="BA31" i="24" s="1"/>
  <c r="AQ31" i="24"/>
  <c r="AJ31" i="24"/>
  <c r="BB30" i="24"/>
  <c r="BC30" i="24" s="1"/>
  <c r="BD30" i="24" s="1"/>
  <c r="AT30" i="24"/>
  <c r="AV30" i="24" s="1"/>
  <c r="AW30" i="24" s="1"/>
  <c r="AX30" i="24" s="1"/>
  <c r="AY30" i="24" s="1"/>
  <c r="AZ30" i="24" s="1"/>
  <c r="BA30" i="24" s="1"/>
  <c r="AQ30" i="24"/>
  <c r="AJ30" i="24"/>
  <c r="AB30" i="24" a="1"/>
  <c r="AB30" i="24" s="1"/>
  <c r="Z30" i="24" a="1"/>
  <c r="Z30" i="24" s="1"/>
  <c r="X30" i="24" a="1"/>
  <c r="X30" i="24" s="1"/>
  <c r="V30" i="24" a="1"/>
  <c r="V30" i="24" s="1"/>
  <c r="T30" i="24" a="1"/>
  <c r="T30" i="24" s="1"/>
  <c r="R30" i="24" a="1"/>
  <c r="R30" i="24" s="1"/>
  <c r="P30" i="24" a="1"/>
  <c r="P30" i="24" s="1"/>
  <c r="N30" i="24" a="1"/>
  <c r="N30" i="24" s="1"/>
  <c r="L30" i="24" a="1"/>
  <c r="L30" i="24" s="1"/>
  <c r="J30" i="24" a="1"/>
  <c r="J30" i="24" s="1"/>
  <c r="AW29" i="24"/>
  <c r="AX29" i="24" s="1"/>
  <c r="AY29" i="24" s="1"/>
  <c r="AZ29" i="24" s="1"/>
  <c r="BA29" i="24" s="1"/>
  <c r="BB29" i="24" s="1"/>
  <c r="BC29" i="24" s="1"/>
  <c r="BD29" i="24" s="1"/>
  <c r="AV29" i="24"/>
  <c r="AT29" i="24"/>
  <c r="AU29" i="24" s="1"/>
  <c r="AQ29" i="24"/>
  <c r="AJ29" i="24"/>
  <c r="AB29" i="24" a="1"/>
  <c r="AB29" i="24" s="1"/>
  <c r="AB31" i="24" s="1"/>
  <c r="Z29" i="24" a="1"/>
  <c r="Z29" i="24" s="1"/>
  <c r="Z31" i="24" s="1"/>
  <c r="X29" i="24" a="1"/>
  <c r="X29" i="24" s="1"/>
  <c r="V29" i="24" a="1"/>
  <c r="V29" i="24" s="1"/>
  <c r="BA51" i="24" s="1"/>
  <c r="BA54" i="24" s="1"/>
  <c r="T29" i="24" a="1"/>
  <c r="T29" i="24" s="1"/>
  <c r="T31" i="24" s="1"/>
  <c r="R29" i="24" a="1"/>
  <c r="R29" i="24" s="1"/>
  <c r="R31" i="24" s="1"/>
  <c r="P29" i="24" a="1"/>
  <c r="P29" i="24" s="1"/>
  <c r="N29" i="24" a="1"/>
  <c r="N29" i="24" s="1"/>
  <c r="N31" i="24" s="1"/>
  <c r="L29" i="24" a="1"/>
  <c r="L29" i="24" s="1"/>
  <c r="L31" i="24" s="1"/>
  <c r="J29" i="24"/>
  <c r="J29" i="24" a="1"/>
  <c r="AT28" i="24"/>
  <c r="AQ28" i="24"/>
  <c r="AJ28" i="24"/>
  <c r="AB28" i="24"/>
  <c r="Z28" i="24"/>
  <c r="X28" i="24"/>
  <c r="V28" i="24"/>
  <c r="BA52" i="24" s="1"/>
  <c r="BA55" i="24" s="1"/>
  <c r="T28" i="24"/>
  <c r="AZ52" i="24" s="1"/>
  <c r="AZ55" i="24" s="1"/>
  <c r="R28" i="24"/>
  <c r="AY52" i="24" s="1"/>
  <c r="AY55" i="24" s="1"/>
  <c r="P28" i="24"/>
  <c r="N28" i="24"/>
  <c r="AW52" i="24" s="1"/>
  <c r="AW55" i="24" s="1"/>
  <c r="L28" i="24"/>
  <c r="J28" i="24"/>
  <c r="AT27" i="24"/>
  <c r="AQ27" i="24"/>
  <c r="AJ27" i="24"/>
  <c r="AB27" i="24"/>
  <c r="BD51" i="24" s="1"/>
  <c r="BD54" i="24" s="1"/>
  <c r="Z27" i="24"/>
  <c r="X27" i="24"/>
  <c r="V27" i="24"/>
  <c r="T27" i="24"/>
  <c r="R27" i="24"/>
  <c r="P27" i="24"/>
  <c r="AX51" i="24" s="1"/>
  <c r="AX54" i="24" s="1"/>
  <c r="N27" i="24"/>
  <c r="AW51" i="24" s="1"/>
  <c r="AW54" i="24" s="1"/>
  <c r="L27" i="24"/>
  <c r="AV51" i="24" s="1"/>
  <c r="AV54" i="24" s="1"/>
  <c r="J27" i="24"/>
  <c r="AX26" i="24"/>
  <c r="AY26" i="24" s="1"/>
  <c r="AZ26" i="24" s="1"/>
  <c r="BA26" i="24" s="1"/>
  <c r="BB26" i="24" s="1"/>
  <c r="BC26" i="24" s="1"/>
  <c r="BD26" i="24" s="1"/>
  <c r="AV26" i="24"/>
  <c r="AW26" i="24" s="1"/>
  <c r="AT26" i="24"/>
  <c r="AU26" i="24" s="1"/>
  <c r="AQ26" i="24"/>
  <c r="AJ26" i="24"/>
  <c r="AB26" i="24" a="1"/>
  <c r="AB26" i="24" s="1"/>
  <c r="Z26" i="24" a="1"/>
  <c r="Z26" i="24" s="1"/>
  <c r="X26" i="24" a="1"/>
  <c r="X26" i="24" s="1"/>
  <c r="V26" i="24" a="1"/>
  <c r="V26" i="24" s="1"/>
  <c r="T26" i="24"/>
  <c r="AZ50" i="24" s="1"/>
  <c r="AZ53" i="24" s="1"/>
  <c r="T26" i="24" a="1"/>
  <c r="R26" i="24" a="1"/>
  <c r="R26" i="24" s="1"/>
  <c r="P26" i="24" a="1"/>
  <c r="P26" i="24" s="1"/>
  <c r="N26" i="24" a="1"/>
  <c r="N26" i="24" s="1"/>
  <c r="L26" i="24" a="1"/>
  <c r="L26" i="24" s="1"/>
  <c r="J26" i="24" a="1"/>
  <c r="J26" i="24" s="1"/>
  <c r="AT25" i="24"/>
  <c r="AU25" i="24" s="1"/>
  <c r="AQ25" i="24"/>
  <c r="AJ25" i="24"/>
  <c r="I25" i="24"/>
  <c r="H25" i="24"/>
  <c r="G25" i="24"/>
  <c r="F25" i="24"/>
  <c r="E25" i="24" s="1"/>
  <c r="D25" i="24"/>
  <c r="AQ24" i="24"/>
  <c r="AT24" i="24" s="1"/>
  <c r="AV24" i="24" s="1"/>
  <c r="AW24" i="24" s="1"/>
  <c r="AX24" i="24" s="1"/>
  <c r="AY24" i="24" s="1"/>
  <c r="AZ24" i="24" s="1"/>
  <c r="BA24" i="24" s="1"/>
  <c r="BB24" i="24" s="1"/>
  <c r="BC24" i="24" s="1"/>
  <c r="BD24" i="24" s="1"/>
  <c r="AJ24" i="24"/>
  <c r="I24" i="24"/>
  <c r="E24" i="24" s="1"/>
  <c r="H24" i="24"/>
  <c r="G24" i="24"/>
  <c r="F24" i="24"/>
  <c r="D24" i="24"/>
  <c r="A24" i="24"/>
  <c r="AQ23" i="24"/>
  <c r="AT23" i="24" s="1"/>
  <c r="AV23" i="24" s="1"/>
  <c r="AW23" i="24" s="1"/>
  <c r="AX23" i="24" s="1"/>
  <c r="AY23" i="24" s="1"/>
  <c r="AZ23" i="24" s="1"/>
  <c r="BA23" i="24" s="1"/>
  <c r="BB23" i="24" s="1"/>
  <c r="AJ23" i="24"/>
  <c r="I23" i="24"/>
  <c r="H23" i="24"/>
  <c r="G23" i="24"/>
  <c r="E23" i="24" s="1"/>
  <c r="F23" i="24"/>
  <c r="D23" i="24"/>
  <c r="A23" i="24"/>
  <c r="AQ22" i="24"/>
  <c r="AT22" i="24" s="1"/>
  <c r="AV22" i="24" s="1"/>
  <c r="AW22" i="24" s="1"/>
  <c r="AX22" i="24" s="1"/>
  <c r="AY22" i="24" s="1"/>
  <c r="AZ22" i="24" s="1"/>
  <c r="BA22" i="24" s="1"/>
  <c r="BB22" i="24" s="1"/>
  <c r="BC22" i="24" s="1"/>
  <c r="BD22" i="24" s="1"/>
  <c r="AJ22" i="24"/>
  <c r="I22" i="24"/>
  <c r="H22" i="24"/>
  <c r="G22" i="24"/>
  <c r="E22" i="24" s="1"/>
  <c r="F22" i="24"/>
  <c r="D22" i="24"/>
  <c r="A22" i="24"/>
  <c r="AU21" i="24"/>
  <c r="AQ21" i="24"/>
  <c r="AT21" i="24" s="1"/>
  <c r="AV21" i="24" s="1"/>
  <c r="AW21" i="24" s="1"/>
  <c r="AX21" i="24" s="1"/>
  <c r="AY21" i="24" s="1"/>
  <c r="AZ21" i="24" s="1"/>
  <c r="BA21" i="24" s="1"/>
  <c r="BB21" i="24" s="1"/>
  <c r="BC21" i="24" s="1"/>
  <c r="BD21" i="24" s="1"/>
  <c r="AJ21" i="24"/>
  <c r="I21" i="24"/>
  <c r="H21" i="24"/>
  <c r="G21" i="24"/>
  <c r="E21" i="24" s="1"/>
  <c r="F21" i="24"/>
  <c r="D21" i="24"/>
  <c r="A21" i="24"/>
  <c r="AQ20" i="24"/>
  <c r="AT20" i="24" s="1"/>
  <c r="AV20" i="24" s="1"/>
  <c r="AW20" i="24" s="1"/>
  <c r="AX20" i="24" s="1"/>
  <c r="AY20" i="24" s="1"/>
  <c r="AZ20" i="24" s="1"/>
  <c r="BA20" i="24" s="1"/>
  <c r="BB20" i="24" s="1"/>
  <c r="BC20" i="24" s="1"/>
  <c r="BD20" i="24" s="1"/>
  <c r="AJ20" i="24"/>
  <c r="I20" i="24"/>
  <c r="H20" i="24"/>
  <c r="G20" i="24"/>
  <c r="E20" i="24" s="1"/>
  <c r="F20" i="24"/>
  <c r="D20" i="24"/>
  <c r="AT19" i="24"/>
  <c r="AV19" i="24" s="1"/>
  <c r="AW19" i="24" s="1"/>
  <c r="AX19" i="24" s="1"/>
  <c r="AY19" i="24" s="1"/>
  <c r="AZ19" i="24" s="1"/>
  <c r="BA19" i="24" s="1"/>
  <c r="BB19" i="24" s="1"/>
  <c r="BC19" i="24" s="1"/>
  <c r="BD19" i="24" s="1"/>
  <c r="AQ19" i="24"/>
  <c r="AJ19" i="24"/>
  <c r="I19" i="24"/>
  <c r="H19" i="24"/>
  <c r="G19" i="24"/>
  <c r="F19" i="24"/>
  <c r="E19" i="24" s="1"/>
  <c r="D19" i="24"/>
  <c r="A19" i="24"/>
  <c r="AT18" i="24"/>
  <c r="AV18" i="24" s="1"/>
  <c r="AW18" i="24" s="1"/>
  <c r="AX18" i="24" s="1"/>
  <c r="AY18" i="24" s="1"/>
  <c r="AZ18" i="24" s="1"/>
  <c r="BA18" i="24" s="1"/>
  <c r="BB18" i="24" s="1"/>
  <c r="BC18" i="24" s="1"/>
  <c r="BD18" i="24" s="1"/>
  <c r="AQ18" i="24"/>
  <c r="AJ18" i="24"/>
  <c r="I18" i="24"/>
  <c r="H18" i="24"/>
  <c r="G18" i="24"/>
  <c r="F18" i="24"/>
  <c r="E18" i="24"/>
  <c r="D18" i="24"/>
  <c r="A18" i="24"/>
  <c r="AV17" i="24"/>
  <c r="AW17" i="24" s="1"/>
  <c r="AX17" i="24" s="1"/>
  <c r="AY17" i="24" s="1"/>
  <c r="AZ17" i="24" s="1"/>
  <c r="BA17" i="24" s="1"/>
  <c r="BB17" i="24" s="1"/>
  <c r="BC17" i="24" s="1"/>
  <c r="BD17" i="24" s="1"/>
  <c r="AU17" i="24"/>
  <c r="AT17" i="24"/>
  <c r="AQ17" i="24"/>
  <c r="AJ17" i="24"/>
  <c r="I17" i="24"/>
  <c r="H17" i="24"/>
  <c r="G17" i="24"/>
  <c r="F17" i="24"/>
  <c r="E17" i="24" s="1"/>
  <c r="D17" i="24"/>
  <c r="A17" i="24"/>
  <c r="AY16" i="24"/>
  <c r="AZ16" i="24" s="1"/>
  <c r="BA16" i="24" s="1"/>
  <c r="BB16" i="24" s="1"/>
  <c r="BC16" i="24" s="1"/>
  <c r="BD16" i="24" s="1"/>
  <c r="AX16" i="24"/>
  <c r="AV16" i="24"/>
  <c r="AW16" i="24" s="1"/>
  <c r="AT16" i="24"/>
  <c r="AU16" i="24" s="1"/>
  <c r="AQ16" i="24"/>
  <c r="AJ16" i="24"/>
  <c r="I16" i="24"/>
  <c r="H16" i="24"/>
  <c r="G16" i="24"/>
  <c r="F16" i="24"/>
  <c r="E16" i="24" s="1"/>
  <c r="D16" i="24"/>
  <c r="A16" i="24"/>
  <c r="AQ15" i="24"/>
  <c r="AQ46" i="24" s="1"/>
  <c r="AJ15" i="24"/>
  <c r="I15" i="24"/>
  <c r="E15" i="24" s="1"/>
  <c r="H15" i="24"/>
  <c r="G15" i="24"/>
  <c r="F15" i="24"/>
  <c r="D15" i="24"/>
  <c r="A15" i="24"/>
  <c r="AV14" i="24"/>
  <c r="AW14" i="24" s="1"/>
  <c r="AX14" i="24" s="1"/>
  <c r="AY14" i="24" s="1"/>
  <c r="AZ14" i="24" s="1"/>
  <c r="BA14" i="24" s="1"/>
  <c r="BB14" i="24" s="1"/>
  <c r="BC14" i="24" s="1"/>
  <c r="BD14" i="24" s="1"/>
  <c r="AU14" i="24"/>
  <c r="AT14" i="24"/>
  <c r="AQ14" i="24"/>
  <c r="AJ14" i="24"/>
  <c r="I14" i="24"/>
  <c r="H14" i="24"/>
  <c r="G14" i="24"/>
  <c r="F14" i="24"/>
  <c r="E14" i="24" s="1"/>
  <c r="D14" i="24"/>
  <c r="AQ13" i="24"/>
  <c r="AT13" i="24" s="1"/>
  <c r="AJ13" i="24"/>
  <c r="I13" i="24"/>
  <c r="H13" i="24"/>
  <c r="G13" i="24"/>
  <c r="E13" i="24" s="1"/>
  <c r="F13" i="24"/>
  <c r="D13" i="24"/>
  <c r="A13" i="24"/>
  <c r="AU12" i="24"/>
  <c r="AT12" i="24"/>
  <c r="AV12" i="24" s="1"/>
  <c r="AW12" i="24" s="1"/>
  <c r="AX12" i="24" s="1"/>
  <c r="AY12" i="24" s="1"/>
  <c r="AZ12" i="24" s="1"/>
  <c r="BA12" i="24" s="1"/>
  <c r="BB12" i="24" s="1"/>
  <c r="BC12" i="24" s="1"/>
  <c r="BD12" i="24" s="1"/>
  <c r="AQ12" i="24"/>
  <c r="AJ12" i="24"/>
  <c r="I12" i="24"/>
  <c r="H12" i="24"/>
  <c r="G12" i="24"/>
  <c r="F12" i="24"/>
  <c r="E12" i="24"/>
  <c r="D12" i="24"/>
  <c r="A12" i="24"/>
  <c r="AQ11" i="24"/>
  <c r="AT11" i="24" s="1"/>
  <c r="AJ11" i="24"/>
  <c r="I11" i="24"/>
  <c r="H11" i="24"/>
  <c r="G11" i="24"/>
  <c r="E11" i="24" s="1"/>
  <c r="F11" i="24"/>
  <c r="D11" i="24"/>
  <c r="AQ10" i="24"/>
  <c r="AT10" i="24" s="1"/>
  <c r="AJ10" i="24"/>
  <c r="I10" i="24"/>
  <c r="H10" i="24"/>
  <c r="G10" i="24"/>
  <c r="F10" i="24"/>
  <c r="E10" i="24"/>
  <c r="D10" i="24"/>
  <c r="A10" i="24"/>
  <c r="AW9" i="24"/>
  <c r="AX9" i="24" s="1"/>
  <c r="AY9" i="24" s="1"/>
  <c r="AZ9" i="24" s="1"/>
  <c r="BA9" i="24" s="1"/>
  <c r="BB9" i="24" s="1"/>
  <c r="BC9" i="24" s="1"/>
  <c r="BD9" i="24" s="1"/>
  <c r="AV9" i="24"/>
  <c r="AT9" i="24"/>
  <c r="AU9" i="24" s="1"/>
  <c r="AQ9" i="24"/>
  <c r="AJ9" i="24"/>
  <c r="I9" i="24"/>
  <c r="H9" i="24"/>
  <c r="G9" i="24"/>
  <c r="F9" i="24"/>
  <c r="E9" i="24" s="1"/>
  <c r="D9" i="24"/>
  <c r="AQ8" i="24"/>
  <c r="AT8" i="24" s="1"/>
  <c r="AJ8" i="24"/>
  <c r="I8" i="24"/>
  <c r="E8" i="24" s="1"/>
  <c r="H8" i="24"/>
  <c r="G8" i="24"/>
  <c r="F8" i="24"/>
  <c r="D8" i="24"/>
  <c r="A8" i="24"/>
  <c r="AV7" i="24"/>
  <c r="AW7" i="24" s="1"/>
  <c r="AX7" i="24" s="1"/>
  <c r="AY7" i="24" s="1"/>
  <c r="AZ7" i="24" s="1"/>
  <c r="BA7" i="24" s="1"/>
  <c r="BB7" i="24" s="1"/>
  <c r="BC7" i="24" s="1"/>
  <c r="BD7" i="24" s="1"/>
  <c r="AU7" i="24"/>
  <c r="AT7" i="24"/>
  <c r="AJ7" i="24"/>
  <c r="I7" i="24"/>
  <c r="AQ6" i="24"/>
  <c r="AT6" i="24" s="1"/>
  <c r="AJ6" i="24"/>
  <c r="I6" i="24"/>
  <c r="H6" i="24"/>
  <c r="G6" i="24"/>
  <c r="F6" i="24"/>
  <c r="E6" i="24"/>
  <c r="D6" i="24"/>
  <c r="J41" i="24" s="1"/>
  <c r="C42" i="24" s="1"/>
  <c r="A6" i="24"/>
  <c r="AW5" i="24"/>
  <c r="AX5" i="24" s="1"/>
  <c r="AV5" i="24"/>
  <c r="AT5" i="24"/>
  <c r="AQ5" i="24"/>
  <c r="AQ47" i="24" s="1"/>
  <c r="AJ5" i="24"/>
  <c r="A22" i="18" a="1"/>
  <c r="A22" i="18" s="1"/>
  <c r="J47" i="17"/>
  <c r="U28" i="17"/>
  <c r="AC27" i="17"/>
  <c r="AB27" i="17"/>
  <c r="Q27" i="17"/>
  <c r="AC26" i="17"/>
  <c r="AB26" i="17"/>
  <c r="Q26" i="17"/>
  <c r="AC25" i="17"/>
  <c r="AB25" i="17"/>
  <c r="Q25" i="17"/>
  <c r="AC24" i="17"/>
  <c r="AB24" i="17"/>
  <c r="Q24" i="17"/>
  <c r="J24" i="17"/>
  <c r="AC23" i="17"/>
  <c r="AB23" i="17"/>
  <c r="Q23" i="17"/>
  <c r="AC22" i="17"/>
  <c r="AB22" i="17"/>
  <c r="Q22" i="17"/>
  <c r="AC21" i="17"/>
  <c r="AB21" i="17"/>
  <c r="Q21" i="17"/>
  <c r="AC20" i="17"/>
  <c r="AB20" i="17"/>
  <c r="Q20" i="17"/>
  <c r="AC19" i="17"/>
  <c r="AB19" i="17"/>
  <c r="Q19" i="17"/>
  <c r="AC18" i="17"/>
  <c r="AB18" i="17"/>
  <c r="Q18" i="17"/>
  <c r="AC17" i="17"/>
  <c r="AB17" i="17"/>
  <c r="Q17" i="17"/>
  <c r="AC16" i="17"/>
  <c r="AB16" i="17"/>
  <c r="Q16" i="17"/>
  <c r="AC15" i="17"/>
  <c r="AB15" i="17"/>
  <c r="Q15" i="17"/>
  <c r="AC14" i="17"/>
  <c r="AB14" i="17"/>
  <c r="Q14" i="17"/>
  <c r="AC13" i="17"/>
  <c r="AB13" i="17"/>
  <c r="Q13" i="17"/>
  <c r="AC12" i="17"/>
  <c r="AB12" i="17"/>
  <c r="Q12" i="17"/>
  <c r="AC11" i="17"/>
  <c r="AB11" i="17"/>
  <c r="Q11" i="17"/>
  <c r="AC10" i="17"/>
  <c r="AB10" i="17"/>
  <c r="Q10" i="17"/>
  <c r="AC9" i="17"/>
  <c r="AB9" i="17"/>
  <c r="Q9" i="17"/>
  <c r="AC8" i="17"/>
  <c r="AB8" i="17"/>
  <c r="Q8" i="17"/>
  <c r="AC7" i="17"/>
  <c r="AB7" i="17"/>
  <c r="Q7" i="17"/>
  <c r="AC6" i="17"/>
  <c r="AB6" i="17"/>
  <c r="Q6" i="17"/>
  <c r="AC5" i="17"/>
  <c r="AB5" i="17"/>
  <c r="Q5" i="17"/>
  <c r="AC4" i="17"/>
  <c r="AB4" i="17"/>
  <c r="AB28" i="17" s="1"/>
  <c r="Q4" i="17"/>
  <c r="W55" i="22"/>
  <c r="U55" i="22"/>
  <c r="S55" i="22"/>
  <c r="Q55" i="22"/>
  <c r="O55" i="22"/>
  <c r="M55" i="22"/>
  <c r="W54" i="22"/>
  <c r="U54" i="22"/>
  <c r="S54" i="22"/>
  <c r="Q54" i="22"/>
  <c r="O54" i="22"/>
  <c r="M54" i="22"/>
  <c r="AS47" i="22"/>
  <c r="AN47" i="22"/>
  <c r="AS46" i="22"/>
  <c r="AN46" i="22"/>
  <c r="AS45" i="22"/>
  <c r="J55" i="22" s="1"/>
  <c r="AR45" i="22"/>
  <c r="AN45" i="22"/>
  <c r="AJ44" i="22"/>
  <c r="AT43" i="22"/>
  <c r="AQ43" i="22"/>
  <c r="AJ43" i="22"/>
  <c r="J43" i="22"/>
  <c r="AQ42" i="22"/>
  <c r="AT42" i="22" s="1"/>
  <c r="AJ42" i="22"/>
  <c r="AQ41" i="22"/>
  <c r="AT41" i="22" s="1"/>
  <c r="AJ41" i="22"/>
  <c r="AV40" i="22"/>
  <c r="AW40" i="22" s="1"/>
  <c r="AX40" i="22" s="1"/>
  <c r="AY40" i="22" s="1"/>
  <c r="AZ40" i="22" s="1"/>
  <c r="BA40" i="22" s="1"/>
  <c r="BB40" i="22" s="1"/>
  <c r="BC40" i="22" s="1"/>
  <c r="BD40" i="22" s="1"/>
  <c r="AU40" i="22"/>
  <c r="AT40" i="22"/>
  <c r="AQ40" i="22"/>
  <c r="AJ40" i="22"/>
  <c r="J40" i="22"/>
  <c r="AT39" i="22"/>
  <c r="AQ39" i="22"/>
  <c r="AJ39" i="22"/>
  <c r="J39" i="22"/>
  <c r="L39" i="22" s="1"/>
  <c r="AQ38" i="22"/>
  <c r="AT38" i="22" s="1"/>
  <c r="AJ38" i="22"/>
  <c r="N38" i="22"/>
  <c r="AT37" i="22"/>
  <c r="AQ37" i="22"/>
  <c r="AJ37" i="22"/>
  <c r="BD36" i="22"/>
  <c r="AV36" i="22"/>
  <c r="AW36" i="22" s="1"/>
  <c r="AX36" i="22" s="1"/>
  <c r="AY36" i="22" s="1"/>
  <c r="AZ36" i="22" s="1"/>
  <c r="BA36" i="22" s="1"/>
  <c r="BB36" i="22" s="1"/>
  <c r="BC36" i="22" s="1"/>
  <c r="AU36" i="22"/>
  <c r="AT36" i="22"/>
  <c r="AQ36" i="22"/>
  <c r="AJ36" i="22"/>
  <c r="AQ35" i="22"/>
  <c r="AT35" i="22" s="1"/>
  <c r="AJ35" i="22"/>
  <c r="AQ34" i="22"/>
  <c r="AT34" i="22" s="1"/>
  <c r="AJ34" i="22"/>
  <c r="AQ33" i="22"/>
  <c r="AT33" i="22" s="1"/>
  <c r="AJ33" i="22"/>
  <c r="AU32" i="22"/>
  <c r="AT32" i="22"/>
  <c r="AV32" i="22" s="1"/>
  <c r="AW32" i="22" s="1"/>
  <c r="AX32" i="22" s="1"/>
  <c r="AY32" i="22" s="1"/>
  <c r="AZ32" i="22" s="1"/>
  <c r="BA32" i="22" s="1"/>
  <c r="BB32" i="22" s="1"/>
  <c r="BC32" i="22" s="1"/>
  <c r="BD32" i="22" s="1"/>
  <c r="AQ32" i="22"/>
  <c r="AJ32" i="22"/>
  <c r="AU31" i="22"/>
  <c r="AT31" i="22"/>
  <c r="AV31" i="22" s="1"/>
  <c r="AW31" i="22" s="1"/>
  <c r="AX31" i="22" s="1"/>
  <c r="AY31" i="22" s="1"/>
  <c r="AZ31" i="22" s="1"/>
  <c r="BA31" i="22" s="1"/>
  <c r="BB31" i="22" s="1"/>
  <c r="BC31" i="22" s="1"/>
  <c r="BD31" i="22" s="1"/>
  <c r="AQ31" i="22"/>
  <c r="AJ31" i="22"/>
  <c r="AU30" i="22"/>
  <c r="AT30" i="22"/>
  <c r="AV30" i="22" s="1"/>
  <c r="AW30" i="22" s="1"/>
  <c r="AX30" i="22" s="1"/>
  <c r="AY30" i="22" s="1"/>
  <c r="AZ30" i="22" s="1"/>
  <c r="BA30" i="22" s="1"/>
  <c r="BB30" i="22" s="1"/>
  <c r="BC30" i="22" s="1"/>
  <c r="BD30" i="22" s="1"/>
  <c r="AQ30" i="22"/>
  <c r="AJ30" i="22"/>
  <c r="AB30" i="22" a="1"/>
  <c r="AB30" i="22" s="1"/>
  <c r="Z30" i="22" a="1"/>
  <c r="Z30" i="22" s="1"/>
  <c r="X30" i="22" a="1"/>
  <c r="X30" i="22" s="1"/>
  <c r="V30" i="22" a="1"/>
  <c r="V30" i="22"/>
  <c r="T30" i="22" a="1"/>
  <c r="T30" i="22" s="1"/>
  <c r="R30" i="22" a="1"/>
  <c r="R30" i="22" s="1"/>
  <c r="P30" i="22" a="1"/>
  <c r="P30" i="22" s="1"/>
  <c r="N30" i="22" a="1"/>
  <c r="N30" i="22" s="1"/>
  <c r="L30" i="22" a="1"/>
  <c r="L30" i="22" s="1"/>
  <c r="J30" i="22" a="1"/>
  <c r="J30" i="22" s="1"/>
  <c r="E30" i="22" s="1"/>
  <c r="AY29" i="22"/>
  <c r="AZ29" i="22" s="1"/>
  <c r="BA29" i="22" s="1"/>
  <c r="BB29" i="22" s="1"/>
  <c r="BC29" i="22" s="1"/>
  <c r="BD29" i="22" s="1"/>
  <c r="AW29" i="22"/>
  <c r="AX29" i="22" s="1"/>
  <c r="AU29" i="22"/>
  <c r="AT29" i="22"/>
  <c r="AV29" i="22" s="1"/>
  <c r="AQ29" i="22"/>
  <c r="AJ29" i="22"/>
  <c r="AB29" i="22" a="1"/>
  <c r="AB29" i="22" s="1"/>
  <c r="AB31" i="22" s="1"/>
  <c r="Z29" i="22" a="1"/>
  <c r="Z29" i="22" s="1"/>
  <c r="Z31" i="22" s="1"/>
  <c r="X29" i="22" a="1"/>
  <c r="X29" i="22" s="1"/>
  <c r="X31" i="22" s="1"/>
  <c r="V29" i="22" a="1"/>
  <c r="V29" i="22" s="1"/>
  <c r="V31" i="22" s="1"/>
  <c r="T29" i="22" a="1"/>
  <c r="T29" i="22" s="1"/>
  <c r="T31" i="22" s="1"/>
  <c r="R29" i="22" a="1"/>
  <c r="R29" i="22" s="1"/>
  <c r="AY52" i="22" s="1"/>
  <c r="AY55" i="22" s="1"/>
  <c r="P29" i="22" a="1"/>
  <c r="P29" i="22" s="1"/>
  <c r="N29" i="22" a="1"/>
  <c r="N29" i="22" s="1"/>
  <c r="L29" i="22" a="1"/>
  <c r="L29" i="22" s="1"/>
  <c r="L31" i="22" s="1"/>
  <c r="J29" i="22" a="1"/>
  <c r="J29" i="22" s="1"/>
  <c r="J31" i="22" s="1"/>
  <c r="AQ28" i="22"/>
  <c r="AT28" i="22" s="1"/>
  <c r="AV28" i="22" s="1"/>
  <c r="AW28" i="22" s="1"/>
  <c r="AX28" i="22" s="1"/>
  <c r="AY28" i="22" s="1"/>
  <c r="AZ28" i="22" s="1"/>
  <c r="BA28" i="22" s="1"/>
  <c r="BB28" i="22" s="1"/>
  <c r="BC28" i="22" s="1"/>
  <c r="BD28" i="22" s="1"/>
  <c r="AJ28" i="22"/>
  <c r="AB28" i="22"/>
  <c r="Z28" i="22"/>
  <c r="BC52" i="22" s="1"/>
  <c r="BC55" i="22" s="1"/>
  <c r="X28" i="22"/>
  <c r="V28" i="22"/>
  <c r="BA52" i="22" s="1"/>
  <c r="BA55" i="22" s="1"/>
  <c r="T28" i="22"/>
  <c r="AZ52" i="22" s="1"/>
  <c r="AZ55" i="22" s="1"/>
  <c r="R28" i="22"/>
  <c r="P28" i="22"/>
  <c r="E28" i="22" s="1"/>
  <c r="N28" i="22"/>
  <c r="L28" i="22"/>
  <c r="J28" i="22"/>
  <c r="AU52" i="22" s="1"/>
  <c r="AQ27" i="22"/>
  <c r="AT27" i="22" s="1"/>
  <c r="AV27" i="22" s="1"/>
  <c r="AW27" i="22" s="1"/>
  <c r="AX27" i="22" s="1"/>
  <c r="AY27" i="22" s="1"/>
  <c r="AZ27" i="22" s="1"/>
  <c r="BA27" i="22" s="1"/>
  <c r="BB27" i="22" s="1"/>
  <c r="BC27" i="22" s="1"/>
  <c r="BD27" i="22" s="1"/>
  <c r="AJ27" i="22"/>
  <c r="AB27" i="22"/>
  <c r="BD51" i="22" s="1"/>
  <c r="BD54" i="22" s="1"/>
  <c r="Z27" i="22"/>
  <c r="BC51" i="22" s="1"/>
  <c r="BC54" i="22" s="1"/>
  <c r="X27" i="22"/>
  <c r="V27" i="22"/>
  <c r="BA51" i="22" s="1"/>
  <c r="BA54" i="22" s="1"/>
  <c r="T27" i="22"/>
  <c r="AZ51" i="22" s="1"/>
  <c r="AZ54" i="22" s="1"/>
  <c r="R27" i="22"/>
  <c r="AY51" i="22" s="1"/>
  <c r="AY54" i="22" s="1"/>
  <c r="P27" i="22"/>
  <c r="N27" i="22"/>
  <c r="AW51" i="22" s="1"/>
  <c r="AW54" i="22" s="1"/>
  <c r="L27" i="22"/>
  <c r="AV51" i="22" s="1"/>
  <c r="AV54" i="22" s="1"/>
  <c r="J27" i="22"/>
  <c r="AU51" i="22" s="1"/>
  <c r="AV26" i="22"/>
  <c r="AW26" i="22" s="1"/>
  <c r="AX26" i="22" s="1"/>
  <c r="AY26" i="22" s="1"/>
  <c r="AZ26" i="22" s="1"/>
  <c r="BA26" i="22" s="1"/>
  <c r="BB26" i="22" s="1"/>
  <c r="BC26" i="22" s="1"/>
  <c r="BD26" i="22" s="1"/>
  <c r="AQ26" i="22"/>
  <c r="AT26" i="22" s="1"/>
  <c r="AU26" i="22" s="1"/>
  <c r="AJ26" i="22"/>
  <c r="AB26" i="22" a="1"/>
  <c r="AB26" i="22" s="1"/>
  <c r="AB32" i="22" s="1"/>
  <c r="Z26" i="22" a="1"/>
  <c r="Z26" i="22" s="1"/>
  <c r="X26" i="22" a="1"/>
  <c r="X26" i="22" s="1"/>
  <c r="V26" i="22" a="1"/>
  <c r="V26" i="22" s="1"/>
  <c r="T26" i="22" a="1"/>
  <c r="T26" i="22" s="1"/>
  <c r="AZ50" i="22" s="1"/>
  <c r="AZ53" i="22" s="1"/>
  <c r="R26" i="22" a="1"/>
  <c r="R26" i="22"/>
  <c r="P26" i="22" a="1"/>
  <c r="P26" i="22" s="1"/>
  <c r="N26" i="22" a="1"/>
  <c r="N26" i="22"/>
  <c r="L26" i="22" a="1"/>
  <c r="L26" i="22" s="1"/>
  <c r="L32" i="22" s="1"/>
  <c r="J26" i="22" a="1"/>
  <c r="J26" i="22"/>
  <c r="AQ25" i="22"/>
  <c r="AT25" i="22" s="1"/>
  <c r="AJ25" i="22"/>
  <c r="I25" i="22"/>
  <c r="H25" i="22"/>
  <c r="G25" i="22"/>
  <c r="E25" i="22" s="1"/>
  <c r="F25" i="22"/>
  <c r="D25" i="22"/>
  <c r="AV24" i="22"/>
  <c r="AW24" i="22" s="1"/>
  <c r="AX24" i="22" s="1"/>
  <c r="AY24" i="22" s="1"/>
  <c r="AZ24" i="22" s="1"/>
  <c r="BA24" i="22" s="1"/>
  <c r="BB24" i="22" s="1"/>
  <c r="BC24" i="22" s="1"/>
  <c r="BD24" i="22" s="1"/>
  <c r="AT24" i="22"/>
  <c r="AU24" i="22" s="1"/>
  <c r="AQ24" i="22"/>
  <c r="AJ24" i="22"/>
  <c r="I24" i="22"/>
  <c r="H24" i="22"/>
  <c r="G24" i="22"/>
  <c r="F24" i="22"/>
  <c r="E24" i="22" s="1"/>
  <c r="D24" i="22"/>
  <c r="A24" i="22"/>
  <c r="AQ23" i="22"/>
  <c r="AT23" i="22" s="1"/>
  <c r="AJ23" i="22"/>
  <c r="I23" i="22"/>
  <c r="H23" i="22"/>
  <c r="G23" i="22"/>
  <c r="F23" i="22"/>
  <c r="D23" i="22"/>
  <c r="A23" i="22"/>
  <c r="AQ22" i="22"/>
  <c r="AT22" i="22" s="1"/>
  <c r="AJ22" i="22"/>
  <c r="I22" i="22"/>
  <c r="H22" i="22"/>
  <c r="G22" i="22"/>
  <c r="E22" i="22" s="1"/>
  <c r="F22" i="22"/>
  <c r="D22" i="22"/>
  <c r="A22" i="22"/>
  <c r="AT21" i="22"/>
  <c r="AU21" i="22" s="1"/>
  <c r="AQ21" i="22"/>
  <c r="AJ21" i="22"/>
  <c r="I21" i="22"/>
  <c r="H21" i="22"/>
  <c r="G21" i="22"/>
  <c r="F21" i="22"/>
  <c r="E21" i="22" s="1"/>
  <c r="D21" i="22"/>
  <c r="A21" i="22"/>
  <c r="AQ20" i="22"/>
  <c r="AT20" i="22" s="1"/>
  <c r="AJ20" i="22"/>
  <c r="I20" i="22"/>
  <c r="H20" i="22"/>
  <c r="G20" i="22"/>
  <c r="F20" i="22"/>
  <c r="E20" i="22" s="1"/>
  <c r="D20" i="22"/>
  <c r="AQ19" i="22"/>
  <c r="AT19" i="22" s="1"/>
  <c r="AJ19" i="22"/>
  <c r="I19" i="22"/>
  <c r="H19" i="22"/>
  <c r="E19" i="22" s="1"/>
  <c r="G19" i="22"/>
  <c r="F19" i="22"/>
  <c r="D19" i="22"/>
  <c r="A19" i="22"/>
  <c r="AV18" i="22"/>
  <c r="AW18" i="22" s="1"/>
  <c r="AX18" i="22" s="1"/>
  <c r="AY18" i="22" s="1"/>
  <c r="AZ18" i="22" s="1"/>
  <c r="BA18" i="22" s="1"/>
  <c r="BB18" i="22" s="1"/>
  <c r="BC18" i="22" s="1"/>
  <c r="BD18" i="22" s="1"/>
  <c r="AT18" i="22"/>
  <c r="AU18" i="22" s="1"/>
  <c r="AQ18" i="22"/>
  <c r="AJ18" i="22"/>
  <c r="I18" i="22"/>
  <c r="H18" i="22"/>
  <c r="G18" i="22"/>
  <c r="F18" i="22"/>
  <c r="E18" i="22" s="1"/>
  <c r="D18" i="22"/>
  <c r="A18" i="22"/>
  <c r="AV17" i="22"/>
  <c r="AW17" i="22" s="1"/>
  <c r="AX17" i="22" s="1"/>
  <c r="AY17" i="22" s="1"/>
  <c r="AZ17" i="22" s="1"/>
  <c r="BA17" i="22" s="1"/>
  <c r="BB17" i="22" s="1"/>
  <c r="BC17" i="22" s="1"/>
  <c r="BD17" i="22" s="1"/>
  <c r="AU17" i="22"/>
  <c r="AT17" i="22"/>
  <c r="AQ17" i="22"/>
  <c r="AJ17" i="22"/>
  <c r="I17" i="22"/>
  <c r="H17" i="22"/>
  <c r="E17" i="22" s="1"/>
  <c r="G17" i="22"/>
  <c r="F17" i="22"/>
  <c r="D17" i="22"/>
  <c r="A17" i="22"/>
  <c r="AT16" i="22"/>
  <c r="AV16" i="22" s="1"/>
  <c r="AW16" i="22" s="1"/>
  <c r="AX16" i="22" s="1"/>
  <c r="AY16" i="22" s="1"/>
  <c r="AZ16" i="22" s="1"/>
  <c r="BA16" i="22" s="1"/>
  <c r="BB16" i="22" s="1"/>
  <c r="BC16" i="22" s="1"/>
  <c r="BD16" i="22" s="1"/>
  <c r="AQ16" i="22"/>
  <c r="AJ16" i="22"/>
  <c r="I16" i="22"/>
  <c r="H16" i="22"/>
  <c r="G16" i="22"/>
  <c r="F16" i="22"/>
  <c r="E16" i="22" s="1"/>
  <c r="D16" i="22"/>
  <c r="A16" i="22"/>
  <c r="AU15" i="22"/>
  <c r="AT15" i="22"/>
  <c r="AV15" i="22" s="1"/>
  <c r="AQ15" i="22"/>
  <c r="AJ15" i="22"/>
  <c r="I15" i="22"/>
  <c r="H15" i="22"/>
  <c r="E15" i="22" s="1"/>
  <c r="G15" i="22"/>
  <c r="F15" i="22"/>
  <c r="D15" i="22"/>
  <c r="A15" i="22"/>
  <c r="AT14" i="22"/>
  <c r="AV14" i="22" s="1"/>
  <c r="AW14" i="22" s="1"/>
  <c r="AX14" i="22" s="1"/>
  <c r="AY14" i="22" s="1"/>
  <c r="AZ14" i="22" s="1"/>
  <c r="BA14" i="22" s="1"/>
  <c r="BB14" i="22" s="1"/>
  <c r="BC14" i="22" s="1"/>
  <c r="BD14" i="22" s="1"/>
  <c r="AQ14" i="22"/>
  <c r="AJ14" i="22"/>
  <c r="I14" i="22"/>
  <c r="H14" i="22"/>
  <c r="G14" i="22"/>
  <c r="F14" i="22"/>
  <c r="E14" i="22" s="1"/>
  <c r="D14" i="22"/>
  <c r="AT13" i="22"/>
  <c r="AV13" i="22" s="1"/>
  <c r="AW13" i="22" s="1"/>
  <c r="AX13" i="22" s="1"/>
  <c r="AY13" i="22" s="1"/>
  <c r="AZ13" i="22" s="1"/>
  <c r="BA13" i="22" s="1"/>
  <c r="BB13" i="22" s="1"/>
  <c r="BC13" i="22" s="1"/>
  <c r="BD13" i="22" s="1"/>
  <c r="AQ13" i="22"/>
  <c r="AJ13" i="22"/>
  <c r="I13" i="22"/>
  <c r="H13" i="22"/>
  <c r="G13" i="22"/>
  <c r="E13" i="22" s="1"/>
  <c r="F13" i="22"/>
  <c r="D13" i="22"/>
  <c r="A13" i="22"/>
  <c r="AQ12" i="22"/>
  <c r="AT12" i="22" s="1"/>
  <c r="AJ12" i="22"/>
  <c r="I12" i="22"/>
  <c r="H12" i="22"/>
  <c r="G12" i="22"/>
  <c r="F12" i="22"/>
  <c r="E12" i="22"/>
  <c r="D12" i="22"/>
  <c r="A12" i="22"/>
  <c r="AT11" i="22"/>
  <c r="AV11" i="22" s="1"/>
  <c r="AW11" i="22" s="1"/>
  <c r="AX11" i="22" s="1"/>
  <c r="AY11" i="22" s="1"/>
  <c r="AZ11" i="22" s="1"/>
  <c r="BA11" i="22" s="1"/>
  <c r="BB11" i="22" s="1"/>
  <c r="BC11" i="22" s="1"/>
  <c r="BD11" i="22" s="1"/>
  <c r="AQ11" i="22"/>
  <c r="AJ11" i="22"/>
  <c r="I11" i="22"/>
  <c r="H11" i="22"/>
  <c r="G11" i="22"/>
  <c r="E11" i="22" s="1"/>
  <c r="F11" i="22"/>
  <c r="D11" i="22"/>
  <c r="AT10" i="22"/>
  <c r="AV10" i="22" s="1"/>
  <c r="AW10" i="22" s="1"/>
  <c r="AX10" i="22" s="1"/>
  <c r="AY10" i="22" s="1"/>
  <c r="AZ10" i="22" s="1"/>
  <c r="BA10" i="22" s="1"/>
  <c r="BB10" i="22" s="1"/>
  <c r="BC10" i="22" s="1"/>
  <c r="BD10" i="22" s="1"/>
  <c r="AQ10" i="22"/>
  <c r="AJ10" i="22"/>
  <c r="I10" i="22"/>
  <c r="H10" i="22"/>
  <c r="G10" i="22"/>
  <c r="F10" i="22"/>
  <c r="E10" i="22" s="1"/>
  <c r="D10" i="22"/>
  <c r="A10" i="22"/>
  <c r="AQ9" i="22"/>
  <c r="AT9" i="22" s="1"/>
  <c r="AJ9" i="22"/>
  <c r="I9" i="22"/>
  <c r="H9" i="22"/>
  <c r="G9" i="22"/>
  <c r="F9" i="22"/>
  <c r="E9" i="22" s="1"/>
  <c r="D9" i="22"/>
  <c r="AQ8" i="22"/>
  <c r="AT8" i="22" s="1"/>
  <c r="AJ8" i="22"/>
  <c r="I8" i="22"/>
  <c r="E8" i="22" s="1"/>
  <c r="H8" i="22"/>
  <c r="G8" i="22"/>
  <c r="F8" i="22"/>
  <c r="D8" i="22"/>
  <c r="A8" i="22"/>
  <c r="AV7" i="22"/>
  <c r="AW7" i="22" s="1"/>
  <c r="AX7" i="22" s="1"/>
  <c r="AY7" i="22" s="1"/>
  <c r="AZ7" i="22" s="1"/>
  <c r="BA7" i="22" s="1"/>
  <c r="BB7" i="22" s="1"/>
  <c r="BC7" i="22" s="1"/>
  <c r="BD7" i="22" s="1"/>
  <c r="AU7" i="22"/>
  <c r="AT7" i="22"/>
  <c r="AJ7" i="22"/>
  <c r="I7" i="22"/>
  <c r="AQ6" i="22"/>
  <c r="AT6" i="22" s="1"/>
  <c r="AJ6" i="22"/>
  <c r="I6" i="22"/>
  <c r="H6" i="22"/>
  <c r="G6" i="22"/>
  <c r="F6" i="22"/>
  <c r="D6" i="22"/>
  <c r="A6" i="22"/>
  <c r="AQ5" i="22"/>
  <c r="AJ5" i="22"/>
  <c r="O29" i="17" l="1"/>
  <c r="AV13" i="24"/>
  <c r="AW13" i="24" s="1"/>
  <c r="AX13" i="24" s="1"/>
  <c r="AY13" i="24" s="1"/>
  <c r="AZ13" i="24" s="1"/>
  <c r="BA13" i="24" s="1"/>
  <c r="BB13" i="24" s="1"/>
  <c r="BC13" i="24" s="1"/>
  <c r="BD13" i="24" s="1"/>
  <c r="AU13" i="24"/>
  <c r="AY5" i="24"/>
  <c r="AV6" i="24"/>
  <c r="AW6" i="24" s="1"/>
  <c r="AX6" i="24" s="1"/>
  <c r="AY6" i="24" s="1"/>
  <c r="AZ6" i="24" s="1"/>
  <c r="BA6" i="24" s="1"/>
  <c r="BB6" i="24" s="1"/>
  <c r="BC6" i="24" s="1"/>
  <c r="BD6" i="24" s="1"/>
  <c r="AU6" i="24"/>
  <c r="AU10" i="24"/>
  <c r="AV10" i="24"/>
  <c r="AW10" i="24" s="1"/>
  <c r="AX10" i="24" s="1"/>
  <c r="AY10" i="24" s="1"/>
  <c r="AZ10" i="24" s="1"/>
  <c r="BA10" i="24" s="1"/>
  <c r="BB10" i="24" s="1"/>
  <c r="BC10" i="24" s="1"/>
  <c r="BD10" i="24" s="1"/>
  <c r="L32" i="24"/>
  <c r="AV50" i="24"/>
  <c r="AV53" i="24" s="1"/>
  <c r="AV11" i="24"/>
  <c r="AW11" i="24" s="1"/>
  <c r="AX11" i="24" s="1"/>
  <c r="AY11" i="24" s="1"/>
  <c r="AZ11" i="24" s="1"/>
  <c r="BA11" i="24" s="1"/>
  <c r="BB11" i="24" s="1"/>
  <c r="BC11" i="24" s="1"/>
  <c r="BD11" i="24" s="1"/>
  <c r="AU11" i="24"/>
  <c r="AB32" i="24"/>
  <c r="BD50" i="24"/>
  <c r="BD53" i="24" s="1"/>
  <c r="E30" i="24"/>
  <c r="AV39" i="24"/>
  <c r="AW39" i="24" s="1"/>
  <c r="AX39" i="24" s="1"/>
  <c r="AY39" i="24" s="1"/>
  <c r="AZ39" i="24" s="1"/>
  <c r="BA39" i="24" s="1"/>
  <c r="BB39" i="24" s="1"/>
  <c r="BC39" i="24" s="1"/>
  <c r="BD39" i="24" s="1"/>
  <c r="AU39" i="24"/>
  <c r="AV8" i="24"/>
  <c r="AW8" i="24" s="1"/>
  <c r="AX8" i="24" s="1"/>
  <c r="AY8" i="24" s="1"/>
  <c r="AZ8" i="24" s="1"/>
  <c r="BA8" i="24" s="1"/>
  <c r="BB8" i="24" s="1"/>
  <c r="BC8" i="24" s="1"/>
  <c r="BD8" i="24" s="1"/>
  <c r="AU8" i="24"/>
  <c r="AV37" i="24"/>
  <c r="AW37" i="24" s="1"/>
  <c r="AX37" i="24" s="1"/>
  <c r="AY37" i="24" s="1"/>
  <c r="AZ37" i="24" s="1"/>
  <c r="BA37" i="24" s="1"/>
  <c r="BB37" i="24" s="1"/>
  <c r="BC37" i="24" s="1"/>
  <c r="BD37" i="24" s="1"/>
  <c r="AU37" i="24"/>
  <c r="BC23" i="24"/>
  <c r="AT15" i="24"/>
  <c r="AU18" i="24"/>
  <c r="AV25" i="24"/>
  <c r="AW25" i="24" s="1"/>
  <c r="AX25" i="24" s="1"/>
  <c r="AY25" i="24" s="1"/>
  <c r="AZ25" i="24" s="1"/>
  <c r="BA25" i="24" s="1"/>
  <c r="BB25" i="24" s="1"/>
  <c r="BC25" i="24" s="1"/>
  <c r="BD25" i="24" s="1"/>
  <c r="Z32" i="24"/>
  <c r="AY51" i="24"/>
  <c r="AY54" i="24" s="1"/>
  <c r="AV27" i="24"/>
  <c r="AW27" i="24" s="1"/>
  <c r="AX27" i="24" s="1"/>
  <c r="AY27" i="24" s="1"/>
  <c r="AZ27" i="24" s="1"/>
  <c r="BA27" i="24" s="1"/>
  <c r="BB27" i="24" s="1"/>
  <c r="BC27" i="24" s="1"/>
  <c r="BD27" i="24" s="1"/>
  <c r="AU27" i="24"/>
  <c r="BC50" i="24"/>
  <c r="BC53" i="24" s="1"/>
  <c r="E29" i="24"/>
  <c r="J31" i="24"/>
  <c r="X31" i="24"/>
  <c r="AV35" i="24"/>
  <c r="AW35" i="24" s="1"/>
  <c r="AX35" i="24" s="1"/>
  <c r="AY35" i="24" s="1"/>
  <c r="AZ35" i="24" s="1"/>
  <c r="BA35" i="24" s="1"/>
  <c r="BB35" i="24" s="1"/>
  <c r="BC35" i="24" s="1"/>
  <c r="BD35" i="24" s="1"/>
  <c r="AU35" i="24"/>
  <c r="AV43" i="24"/>
  <c r="AW43" i="24" s="1"/>
  <c r="AX43" i="24" s="1"/>
  <c r="AY43" i="24" s="1"/>
  <c r="AZ43" i="24" s="1"/>
  <c r="BA43" i="24" s="1"/>
  <c r="BB43" i="24" s="1"/>
  <c r="BC43" i="24" s="1"/>
  <c r="BD43" i="24" s="1"/>
  <c r="AU43" i="24"/>
  <c r="AU24" i="24"/>
  <c r="N32" i="24"/>
  <c r="AW50" i="24"/>
  <c r="AW53" i="24" s="1"/>
  <c r="AV28" i="24"/>
  <c r="AW28" i="24" s="1"/>
  <c r="AX28" i="24" s="1"/>
  <c r="AY28" i="24" s="1"/>
  <c r="AZ28" i="24" s="1"/>
  <c r="BA28" i="24" s="1"/>
  <c r="BB28" i="24" s="1"/>
  <c r="BC28" i="24" s="1"/>
  <c r="BD28" i="24" s="1"/>
  <c r="AU28" i="24"/>
  <c r="AU30" i="24"/>
  <c r="AU31" i="24"/>
  <c r="AU32" i="24"/>
  <c r="AV42" i="24"/>
  <c r="AW42" i="24" s="1"/>
  <c r="AX42" i="24" s="1"/>
  <c r="AY42" i="24" s="1"/>
  <c r="AZ42" i="24" s="1"/>
  <c r="BA42" i="24" s="1"/>
  <c r="BB42" i="24" s="1"/>
  <c r="BC42" i="24" s="1"/>
  <c r="BD42" i="24" s="1"/>
  <c r="AU42" i="24"/>
  <c r="BB50" i="24"/>
  <c r="BB53" i="24" s="1"/>
  <c r="X32" i="24"/>
  <c r="J35" i="24"/>
  <c r="L35" i="24" s="1"/>
  <c r="J38" i="24"/>
  <c r="L38" i="24" s="1"/>
  <c r="AU19" i="24"/>
  <c r="AU20" i="24"/>
  <c r="AU22" i="24"/>
  <c r="AU23" i="24"/>
  <c r="P32" i="24"/>
  <c r="AX50" i="24"/>
  <c r="AX53" i="24" s="1"/>
  <c r="P31" i="24"/>
  <c r="AV34" i="24"/>
  <c r="AW34" i="24" s="1"/>
  <c r="AX34" i="24" s="1"/>
  <c r="AY34" i="24" s="1"/>
  <c r="AZ34" i="24" s="1"/>
  <c r="BA34" i="24" s="1"/>
  <c r="BB34" i="24" s="1"/>
  <c r="BC34" i="24" s="1"/>
  <c r="BD34" i="24" s="1"/>
  <c r="AU34" i="24"/>
  <c r="N36" i="24"/>
  <c r="AV38" i="24"/>
  <c r="AW38" i="24" s="1"/>
  <c r="AX38" i="24" s="1"/>
  <c r="AY38" i="24" s="1"/>
  <c r="AZ38" i="24" s="1"/>
  <c r="BA38" i="24" s="1"/>
  <c r="BB38" i="24" s="1"/>
  <c r="BC38" i="24" s="1"/>
  <c r="BD38" i="24" s="1"/>
  <c r="AU38" i="24"/>
  <c r="J37" i="24"/>
  <c r="L37" i="24" s="1"/>
  <c r="AR47" i="24" s="1"/>
  <c r="AY50" i="24"/>
  <c r="AY53" i="24" s="1"/>
  <c r="BB51" i="24"/>
  <c r="BB54" i="24" s="1"/>
  <c r="AT47" i="24"/>
  <c r="AU5" i="24"/>
  <c r="J36" i="24"/>
  <c r="L36" i="24" s="1"/>
  <c r="E27" i="24"/>
  <c r="AU51" i="24"/>
  <c r="BC51" i="24"/>
  <c r="BC54" i="24" s="1"/>
  <c r="BB52" i="24"/>
  <c r="BB55" i="24" s="1"/>
  <c r="R32" i="24"/>
  <c r="AV41" i="24"/>
  <c r="AW41" i="24" s="1"/>
  <c r="AX41" i="24" s="1"/>
  <c r="AY41" i="24" s="1"/>
  <c r="AZ41" i="24" s="1"/>
  <c r="BA41" i="24" s="1"/>
  <c r="BB41" i="24" s="1"/>
  <c r="BC41" i="24" s="1"/>
  <c r="BD41" i="24" s="1"/>
  <c r="AU41" i="24"/>
  <c r="AX52" i="24"/>
  <c r="AX55" i="24" s="1"/>
  <c r="AW47" i="24"/>
  <c r="AW66" i="24" s="1"/>
  <c r="AV47" i="24"/>
  <c r="AV66" i="24" s="1"/>
  <c r="E28" i="24"/>
  <c r="AU52" i="24"/>
  <c r="BC52" i="24"/>
  <c r="BC55" i="24" s="1"/>
  <c r="T32" i="24"/>
  <c r="E26" i="24"/>
  <c r="J32" i="24"/>
  <c r="BA50" i="24"/>
  <c r="BA53" i="24" s="1"/>
  <c r="V32" i="24"/>
  <c r="AV52" i="24"/>
  <c r="AV55" i="24" s="1"/>
  <c r="BD52" i="24"/>
  <c r="BD55" i="24" s="1"/>
  <c r="V31" i="24"/>
  <c r="AU50" i="24"/>
  <c r="Z32" i="22"/>
  <c r="BC50" i="22"/>
  <c r="BC53" i="22" s="1"/>
  <c r="P31" i="22"/>
  <c r="E29" i="22"/>
  <c r="E31" i="22" s="1"/>
  <c r="AV12" i="22"/>
  <c r="AW12" i="22" s="1"/>
  <c r="AX12" i="22" s="1"/>
  <c r="AY12" i="22" s="1"/>
  <c r="AZ12" i="22" s="1"/>
  <c r="BA12" i="22" s="1"/>
  <c r="BB12" i="22" s="1"/>
  <c r="BC12" i="22" s="1"/>
  <c r="BD12" i="22" s="1"/>
  <c r="AU12" i="22"/>
  <c r="AV20" i="22"/>
  <c r="AW20" i="22" s="1"/>
  <c r="AX20" i="22" s="1"/>
  <c r="AY20" i="22" s="1"/>
  <c r="AZ20" i="22" s="1"/>
  <c r="BA20" i="22" s="1"/>
  <c r="BB20" i="22" s="1"/>
  <c r="BC20" i="22" s="1"/>
  <c r="BD20" i="22" s="1"/>
  <c r="AU20" i="22"/>
  <c r="AV9" i="22"/>
  <c r="AW9" i="22" s="1"/>
  <c r="AX9" i="22" s="1"/>
  <c r="AY9" i="22" s="1"/>
  <c r="AZ9" i="22" s="1"/>
  <c r="BA9" i="22" s="1"/>
  <c r="BB9" i="22" s="1"/>
  <c r="BC9" i="22" s="1"/>
  <c r="BD9" i="22" s="1"/>
  <c r="AU9" i="22"/>
  <c r="AV19" i="22"/>
  <c r="AW19" i="22" s="1"/>
  <c r="AX19" i="22" s="1"/>
  <c r="AY19" i="22" s="1"/>
  <c r="AZ19" i="22" s="1"/>
  <c r="BA19" i="22" s="1"/>
  <c r="BB19" i="22" s="1"/>
  <c r="BC19" i="22" s="1"/>
  <c r="BD19" i="22" s="1"/>
  <c r="AU19" i="22"/>
  <c r="AV22" i="22"/>
  <c r="AW22" i="22" s="1"/>
  <c r="AX22" i="22" s="1"/>
  <c r="AY22" i="22" s="1"/>
  <c r="AZ22" i="22" s="1"/>
  <c r="BA22" i="22" s="1"/>
  <c r="BB22" i="22" s="1"/>
  <c r="BC22" i="22" s="1"/>
  <c r="BD22" i="22" s="1"/>
  <c r="AU22" i="22"/>
  <c r="AU23" i="22"/>
  <c r="AV23" i="22"/>
  <c r="AW23" i="22" s="1"/>
  <c r="AX23" i="22" s="1"/>
  <c r="AY23" i="22" s="1"/>
  <c r="AZ23" i="22" s="1"/>
  <c r="BA23" i="22" s="1"/>
  <c r="BB23" i="22" s="1"/>
  <c r="AV25" i="22"/>
  <c r="AW25" i="22" s="1"/>
  <c r="AX25" i="22" s="1"/>
  <c r="AY25" i="22" s="1"/>
  <c r="AZ25" i="22" s="1"/>
  <c r="BA25" i="22" s="1"/>
  <c r="BB25" i="22" s="1"/>
  <c r="BC25" i="22" s="1"/>
  <c r="BD25" i="22" s="1"/>
  <c r="AU25" i="22"/>
  <c r="AV6" i="22"/>
  <c r="AW6" i="22" s="1"/>
  <c r="AX6" i="22" s="1"/>
  <c r="AY6" i="22" s="1"/>
  <c r="AZ6" i="22" s="1"/>
  <c r="BA6" i="22" s="1"/>
  <c r="BB6" i="22" s="1"/>
  <c r="BC6" i="22" s="1"/>
  <c r="BD6" i="22" s="1"/>
  <c r="AU6" i="22"/>
  <c r="AW15" i="22"/>
  <c r="E26" i="22"/>
  <c r="O31" i="17" s="1"/>
  <c r="V32" i="22"/>
  <c r="BA50" i="22"/>
  <c r="BA53" i="22" s="1"/>
  <c r="AV8" i="22"/>
  <c r="AW8" i="22" s="1"/>
  <c r="AX8" i="22" s="1"/>
  <c r="AY8" i="22" s="1"/>
  <c r="AZ8" i="22" s="1"/>
  <c r="BA8" i="22" s="1"/>
  <c r="BB8" i="22" s="1"/>
  <c r="BC8" i="22" s="1"/>
  <c r="BD8" i="22" s="1"/>
  <c r="AU8" i="22"/>
  <c r="J38" i="22"/>
  <c r="L38" i="22" s="1"/>
  <c r="AX51" i="22"/>
  <c r="AX54" i="22" s="1"/>
  <c r="BB52" i="22"/>
  <c r="BB55" i="22" s="1"/>
  <c r="AU42" i="22"/>
  <c r="AV42" i="22"/>
  <c r="AW42" i="22" s="1"/>
  <c r="AX42" i="22" s="1"/>
  <c r="AY42" i="22" s="1"/>
  <c r="AZ42" i="22" s="1"/>
  <c r="BA42" i="22" s="1"/>
  <c r="BB42" i="22" s="1"/>
  <c r="BC42" i="22" s="1"/>
  <c r="BD42" i="22" s="1"/>
  <c r="J41" i="22"/>
  <c r="C42" i="22" s="1"/>
  <c r="J35" i="22"/>
  <c r="L35" i="22" s="1"/>
  <c r="J37" i="22"/>
  <c r="L37" i="22" s="1"/>
  <c r="AR47" i="22" s="1"/>
  <c r="AU11" i="22"/>
  <c r="AU13" i="22"/>
  <c r="AX50" i="22"/>
  <c r="AX53" i="22" s="1"/>
  <c r="P32" i="22"/>
  <c r="AU27" i="22"/>
  <c r="AV33" i="22"/>
  <c r="AW33" i="22" s="1"/>
  <c r="AX33" i="22" s="1"/>
  <c r="AY33" i="22" s="1"/>
  <c r="AZ33" i="22" s="1"/>
  <c r="BA33" i="22" s="1"/>
  <c r="BB33" i="22" s="1"/>
  <c r="BC33" i="22" s="1"/>
  <c r="BD33" i="22" s="1"/>
  <c r="AU33" i="22"/>
  <c r="AU46" i="22" s="1"/>
  <c r="AU67" i="22" s="1"/>
  <c r="AU55" i="22"/>
  <c r="AQ47" i="22"/>
  <c r="AT5" i="22"/>
  <c r="E23" i="22"/>
  <c r="J36" i="22"/>
  <c r="L36" i="22" s="1"/>
  <c r="AY50" i="22"/>
  <c r="AY53" i="22" s="1"/>
  <c r="R32" i="22"/>
  <c r="AV52" i="22"/>
  <c r="AV55" i="22" s="1"/>
  <c r="BD52" i="22"/>
  <c r="BD55" i="22" s="1"/>
  <c r="R31" i="22"/>
  <c r="T32" i="22"/>
  <c r="AV37" i="22"/>
  <c r="AW37" i="22" s="1"/>
  <c r="AX37" i="22" s="1"/>
  <c r="AY37" i="22" s="1"/>
  <c r="AZ37" i="22" s="1"/>
  <c r="BA37" i="22" s="1"/>
  <c r="BB37" i="22" s="1"/>
  <c r="BC37" i="22" s="1"/>
  <c r="BD37" i="22" s="1"/>
  <c r="AU37" i="22"/>
  <c r="AW52" i="22"/>
  <c r="AW55" i="22" s="1"/>
  <c r="AV39" i="22"/>
  <c r="AW39" i="22" s="1"/>
  <c r="AX39" i="22" s="1"/>
  <c r="AY39" i="22" s="1"/>
  <c r="AZ39" i="22" s="1"/>
  <c r="BA39" i="22" s="1"/>
  <c r="BB39" i="22" s="1"/>
  <c r="BC39" i="22" s="1"/>
  <c r="BD39" i="22" s="1"/>
  <c r="AU39" i="22"/>
  <c r="AU14" i="22"/>
  <c r="AU16" i="22"/>
  <c r="AV21" i="22"/>
  <c r="AW21" i="22" s="1"/>
  <c r="AX21" i="22" s="1"/>
  <c r="AY21" i="22" s="1"/>
  <c r="AZ21" i="22" s="1"/>
  <c r="BA21" i="22" s="1"/>
  <c r="BB21" i="22" s="1"/>
  <c r="BC21" i="22" s="1"/>
  <c r="BD21" i="22" s="1"/>
  <c r="J32" i="22"/>
  <c r="AU50" i="22"/>
  <c r="E27" i="22"/>
  <c r="BB51" i="22"/>
  <c r="BB54" i="22" s="1"/>
  <c r="AX52" i="22"/>
  <c r="AX55" i="22" s="1"/>
  <c r="AU34" i="22"/>
  <c r="AV34" i="22"/>
  <c r="AW34" i="22" s="1"/>
  <c r="AX34" i="22" s="1"/>
  <c r="AY34" i="22" s="1"/>
  <c r="AZ34" i="22" s="1"/>
  <c r="BA34" i="22" s="1"/>
  <c r="BB34" i="22" s="1"/>
  <c r="BC34" i="22" s="1"/>
  <c r="BD34" i="22" s="1"/>
  <c r="BE58" i="22"/>
  <c r="AU54" i="22"/>
  <c r="AU28" i="22"/>
  <c r="AV41" i="22"/>
  <c r="AW41" i="22" s="1"/>
  <c r="AX41" i="22" s="1"/>
  <c r="AY41" i="22" s="1"/>
  <c r="AZ41" i="22" s="1"/>
  <c r="BA41" i="22" s="1"/>
  <c r="BB41" i="22" s="1"/>
  <c r="BC41" i="22" s="1"/>
  <c r="BD41" i="22" s="1"/>
  <c r="AU41" i="22"/>
  <c r="AV43" i="22"/>
  <c r="AW43" i="22" s="1"/>
  <c r="AX43" i="22" s="1"/>
  <c r="AY43" i="22" s="1"/>
  <c r="AZ43" i="22" s="1"/>
  <c r="BA43" i="22" s="1"/>
  <c r="BB43" i="22" s="1"/>
  <c r="BC43" i="22" s="1"/>
  <c r="BD43" i="22" s="1"/>
  <c r="AU43" i="22"/>
  <c r="AV50" i="22"/>
  <c r="AV53" i="22" s="1"/>
  <c r="E6" i="22"/>
  <c r="AU10" i="22"/>
  <c r="N36" i="22"/>
  <c r="AV38" i="22"/>
  <c r="AW38" i="22" s="1"/>
  <c r="AX38" i="22" s="1"/>
  <c r="AY38" i="22" s="1"/>
  <c r="AZ38" i="22" s="1"/>
  <c r="BA38" i="22" s="1"/>
  <c r="BB38" i="22" s="1"/>
  <c r="BC38" i="22" s="1"/>
  <c r="BD38" i="22" s="1"/>
  <c r="AU38" i="22"/>
  <c r="AQ46" i="22"/>
  <c r="BD50" i="22"/>
  <c r="BD53" i="22" s="1"/>
  <c r="AC28" i="17"/>
  <c r="O30" i="17" s="1"/>
  <c r="AT46" i="22"/>
  <c r="AW50" i="22"/>
  <c r="AW53" i="22" s="1"/>
  <c r="N32" i="22"/>
  <c r="X32" i="22"/>
  <c r="BB50" i="22"/>
  <c r="BB53" i="22" s="1"/>
  <c r="N31" i="22"/>
  <c r="AU35" i="22"/>
  <c r="AV35" i="22"/>
  <c r="AW35" i="22" s="1"/>
  <c r="AX35" i="22" s="1"/>
  <c r="AY35" i="22" s="1"/>
  <c r="AZ35" i="22" s="1"/>
  <c r="BA35" i="22" s="1"/>
  <c r="BB35" i="22" s="1"/>
  <c r="BC35" i="22" s="1"/>
  <c r="BD35" i="22" s="1"/>
  <c r="A29" i="18"/>
  <c r="A32" i="18" s="1"/>
  <c r="A23" i="18"/>
  <c r="AU1" i="24" l="1"/>
  <c r="AV1" i="24" s="1"/>
  <c r="AW1" i="24" s="1"/>
  <c r="AX1" i="24" s="1"/>
  <c r="AY1" i="24" s="1"/>
  <c r="AZ1" i="24" s="1"/>
  <c r="BA1" i="24" s="1"/>
  <c r="BB1" i="24" s="1"/>
  <c r="BC1" i="24" s="1"/>
  <c r="BD1" i="24" s="1"/>
  <c r="J4" i="24"/>
  <c r="AH58" i="24"/>
  <c r="T35" i="24"/>
  <c r="E32" i="24"/>
  <c r="E33" i="24" s="1"/>
  <c r="AH57" i="24"/>
  <c r="J54" i="24" s="1"/>
  <c r="W36" i="24"/>
  <c r="T36" i="24"/>
  <c r="AR46" i="24"/>
  <c r="AH59" i="24"/>
  <c r="AQ44" i="24" s="1"/>
  <c r="AY47" i="24"/>
  <c r="AY66" i="24" s="1"/>
  <c r="AZ5" i="24"/>
  <c r="BE57" i="24"/>
  <c r="AU53" i="24"/>
  <c r="BE69" i="24" s="1"/>
  <c r="AT56" i="24" s="1"/>
  <c r="AU56" i="24" s="1"/>
  <c r="AV56" i="24" s="1"/>
  <c r="AW56" i="24" s="1"/>
  <c r="AX56" i="24" s="1"/>
  <c r="AY56" i="24" s="1"/>
  <c r="AZ56" i="24" s="1"/>
  <c r="BA56" i="24" s="1"/>
  <c r="BB56" i="24" s="1"/>
  <c r="BC56" i="24" s="1"/>
  <c r="BD56" i="24" s="1"/>
  <c r="AU47" i="24"/>
  <c r="AU66" i="24" s="1"/>
  <c r="P36" i="24"/>
  <c r="AT66" i="24"/>
  <c r="AV60" i="24"/>
  <c r="AT63" i="24"/>
  <c r="BC60" i="24"/>
  <c r="AZ60" i="24"/>
  <c r="AY60" i="24"/>
  <c r="AX60" i="24"/>
  <c r="E31" i="24"/>
  <c r="AX47" i="24"/>
  <c r="AX66" i="24" s="1"/>
  <c r="AU54" i="24"/>
  <c r="BE58" i="24"/>
  <c r="AU60" i="24" s="1"/>
  <c r="BE59" i="24"/>
  <c r="AU55" i="24"/>
  <c r="BE71" i="24" s="1"/>
  <c r="AT58" i="24" s="1"/>
  <c r="AU58" i="24" s="1"/>
  <c r="AV58" i="24" s="1"/>
  <c r="AW58" i="24" s="1"/>
  <c r="AX58" i="24" s="1"/>
  <c r="AY58" i="24" s="1"/>
  <c r="AZ58" i="24" s="1"/>
  <c r="BA58" i="24" s="1"/>
  <c r="BB58" i="24" s="1"/>
  <c r="BC58" i="24" s="1"/>
  <c r="BD58" i="24" s="1"/>
  <c r="P38" i="24"/>
  <c r="T37" i="24"/>
  <c r="AH60" i="24"/>
  <c r="AT46" i="24"/>
  <c r="AV15" i="24"/>
  <c r="AU15" i="24"/>
  <c r="AU46" i="24" s="1"/>
  <c r="AU67" i="24" s="1"/>
  <c r="AH54" i="24"/>
  <c r="AH56" i="24"/>
  <c r="AH51" i="24" s="1"/>
  <c r="BD23" i="24"/>
  <c r="AT67" i="22"/>
  <c r="AW61" i="22"/>
  <c r="BC61" i="22"/>
  <c r="BA61" i="22"/>
  <c r="AT64" i="22"/>
  <c r="AV61" i="22"/>
  <c r="AT47" i="22"/>
  <c r="AV5" i="22"/>
  <c r="AU5" i="22"/>
  <c r="BC23" i="22"/>
  <c r="AW46" i="22"/>
  <c r="AW67" i="22" s="1"/>
  <c r="AX15" i="22"/>
  <c r="BE71" i="22"/>
  <c r="AT58" i="22" s="1"/>
  <c r="AU58" i="22" s="1"/>
  <c r="AV58" i="22" s="1"/>
  <c r="AW58" i="22" s="1"/>
  <c r="AX58" i="22" s="1"/>
  <c r="AY58" i="22" s="1"/>
  <c r="AZ58" i="22" s="1"/>
  <c r="BA58" i="22" s="1"/>
  <c r="BB58" i="22" s="1"/>
  <c r="BC58" i="22" s="1"/>
  <c r="BD58" i="22" s="1"/>
  <c r="AV46" i="22"/>
  <c r="AV67" i="22" s="1"/>
  <c r="P38" i="22"/>
  <c r="T37" i="22"/>
  <c r="AH60" i="22"/>
  <c r="BE57" i="22"/>
  <c r="AU53" i="22"/>
  <c r="BE69" i="22" s="1"/>
  <c r="AT56" i="22" s="1"/>
  <c r="AU56" i="22" s="1"/>
  <c r="AV56" i="22" s="1"/>
  <c r="AW56" i="22" s="1"/>
  <c r="AX56" i="22" s="1"/>
  <c r="AY56" i="22" s="1"/>
  <c r="AZ56" i="22" s="1"/>
  <c r="BA56" i="22" s="1"/>
  <c r="BB56" i="22" s="1"/>
  <c r="BC56" i="22" s="1"/>
  <c r="BD56" i="22" s="1"/>
  <c r="AH54" i="22"/>
  <c r="AH56" i="22"/>
  <c r="AH51" i="22" s="1"/>
  <c r="BE61" i="22"/>
  <c r="BE70" i="22"/>
  <c r="AT57" i="22" s="1"/>
  <c r="AU57" i="22" s="1"/>
  <c r="AV57" i="22" s="1"/>
  <c r="AW57" i="22" s="1"/>
  <c r="AX57" i="22" s="1"/>
  <c r="AY57" i="22" s="1"/>
  <c r="AZ57" i="22" s="1"/>
  <c r="BA57" i="22" s="1"/>
  <c r="BB57" i="22" s="1"/>
  <c r="BC57" i="22" s="1"/>
  <c r="BD57" i="22" s="1"/>
  <c r="E32" i="22"/>
  <c r="E33" i="22" s="1"/>
  <c r="AH58" i="22"/>
  <c r="T35" i="22"/>
  <c r="P36" i="22"/>
  <c r="W36" i="22"/>
  <c r="T36" i="22"/>
  <c r="AR46" i="22"/>
  <c r="AH57" i="22"/>
  <c r="J54" i="22" s="1"/>
  <c r="AH59" i="22"/>
  <c r="AQ44" i="22" s="1"/>
  <c r="BE59" i="22"/>
  <c r="AY61" i="22" s="1"/>
  <c r="AU1" i="22"/>
  <c r="AV1" i="22" s="1"/>
  <c r="AW1" i="22" s="1"/>
  <c r="AX1" i="22" s="1"/>
  <c r="AY1" i="22" s="1"/>
  <c r="AZ1" i="22" s="1"/>
  <c r="BA1" i="22" s="1"/>
  <c r="BB1" i="22" s="1"/>
  <c r="BC1" i="22" s="1"/>
  <c r="BD1" i="22" s="1"/>
  <c r="J4" i="22"/>
  <c r="BB61" i="24" l="1"/>
  <c r="BA61" i="24"/>
  <c r="AZ61" i="24"/>
  <c r="AY61" i="24"/>
  <c r="AX61" i="24"/>
  <c r="AT67" i="24"/>
  <c r="AW61" i="24"/>
  <c r="BD61" i="24"/>
  <c r="BC61" i="24"/>
  <c r="AT64" i="24"/>
  <c r="AV61" i="24"/>
  <c r="AU61" i="24"/>
  <c r="AW60" i="24"/>
  <c r="AU63" i="24"/>
  <c r="AV63" i="24" s="1"/>
  <c r="AW63" i="24" s="1"/>
  <c r="AX63" i="24" s="1"/>
  <c r="AY63" i="24" s="1"/>
  <c r="AZ63" i="24" s="1"/>
  <c r="BD60" i="24"/>
  <c r="X54" i="24"/>
  <c r="Y54" i="24" s="1"/>
  <c r="AA54" i="24" s="1"/>
  <c r="X55" i="24"/>
  <c r="Y55" i="24" s="1"/>
  <c r="AA55" i="24" s="1"/>
  <c r="AH53" i="24"/>
  <c r="AH50" i="24"/>
  <c r="AH49" i="24" s="1"/>
  <c r="AZ47" i="24"/>
  <c r="AZ66" i="24" s="1"/>
  <c r="BA5" i="24"/>
  <c r="BA60" i="24"/>
  <c r="AW15" i="24"/>
  <c r="AV46" i="24"/>
  <c r="AV67" i="24" s="1"/>
  <c r="BE70" i="24"/>
  <c r="AT57" i="24" s="1"/>
  <c r="AU57" i="24" s="1"/>
  <c r="AV57" i="24" s="1"/>
  <c r="AW57" i="24" s="1"/>
  <c r="AX57" i="24" s="1"/>
  <c r="AY57" i="24" s="1"/>
  <c r="AZ57" i="24" s="1"/>
  <c r="BA57" i="24" s="1"/>
  <c r="BB57" i="24" s="1"/>
  <c r="BC57" i="24" s="1"/>
  <c r="BD57" i="24" s="1"/>
  <c r="BE61" i="24"/>
  <c r="BB60" i="24"/>
  <c r="AT44" i="24"/>
  <c r="N37" i="24"/>
  <c r="AQ45" i="24"/>
  <c r="AU47" i="22"/>
  <c r="AU66" i="22" s="1"/>
  <c r="AV47" i="22"/>
  <c r="AV66" i="22" s="1"/>
  <c r="AW5" i="22"/>
  <c r="BB61" i="22"/>
  <c r="AU61" i="22"/>
  <c r="BA60" i="22"/>
  <c r="AZ60" i="22"/>
  <c r="AY60" i="22"/>
  <c r="AW60" i="22"/>
  <c r="AT66" i="22"/>
  <c r="BD60" i="22"/>
  <c r="AV60" i="22"/>
  <c r="AT63" i="22"/>
  <c r="BC60" i="22"/>
  <c r="AU60" i="22"/>
  <c r="BB60" i="22"/>
  <c r="AX60" i="22"/>
  <c r="BD61" i="22"/>
  <c r="AX46" i="22"/>
  <c r="AX67" i="22" s="1"/>
  <c r="AY15" i="22"/>
  <c r="N37" i="22"/>
  <c r="AT44" i="22"/>
  <c r="AQ45" i="22"/>
  <c r="BD23" i="22"/>
  <c r="AU64" i="22"/>
  <c r="AV64" i="22" s="1"/>
  <c r="AW64" i="22" s="1"/>
  <c r="AX61" i="22"/>
  <c r="AH53" i="22"/>
  <c r="AH50" i="22"/>
  <c r="AH49" i="22" s="1"/>
  <c r="X54" i="22"/>
  <c r="Y54" i="22" s="1"/>
  <c r="AA54" i="22" s="1"/>
  <c r="X55" i="22"/>
  <c r="Y55" i="22" s="1"/>
  <c r="AA55" i="22" s="1"/>
  <c r="AZ61" i="22"/>
  <c r="BA63" i="24" l="1"/>
  <c r="BB63" i="24" s="1"/>
  <c r="BC63" i="24" s="1"/>
  <c r="BD63" i="24" s="1"/>
  <c r="AX64" i="22"/>
  <c r="AY64" i="22" s="1"/>
  <c r="AZ64" i="22" s="1"/>
  <c r="BA64" i="22" s="1"/>
  <c r="BB64" i="22" s="1"/>
  <c r="BC64" i="22" s="1"/>
  <c r="BD64" i="22" s="1"/>
  <c r="AW46" i="24"/>
  <c r="AW67" i="24" s="1"/>
  <c r="AX15" i="24"/>
  <c r="P37" i="24"/>
  <c r="R36" i="24"/>
  <c r="AU44" i="24"/>
  <c r="AU45" i="24" s="1"/>
  <c r="AU65" i="24" s="1"/>
  <c r="AV44" i="24"/>
  <c r="AT45" i="24"/>
  <c r="BA47" i="24"/>
  <c r="BA66" i="24" s="1"/>
  <c r="BB5" i="24"/>
  <c r="AU64" i="24"/>
  <c r="AV64" i="24" s="1"/>
  <c r="AW64" i="24" s="1"/>
  <c r="AX64" i="24" s="1"/>
  <c r="AY64" i="24" s="1"/>
  <c r="AZ64" i="24" s="1"/>
  <c r="BA64" i="24" s="1"/>
  <c r="BB64" i="24" s="1"/>
  <c r="BC64" i="24" s="1"/>
  <c r="BD64" i="24" s="1"/>
  <c r="P37" i="22"/>
  <c r="R36" i="22"/>
  <c r="AV44" i="22"/>
  <c r="AU44" i="22"/>
  <c r="AU45" i="22" s="1"/>
  <c r="AU65" i="22" s="1"/>
  <c r="AT45" i="22"/>
  <c r="AU63" i="22"/>
  <c r="AV63" i="22" s="1"/>
  <c r="AW63" i="22" s="1"/>
  <c r="AX63" i="22" s="1"/>
  <c r="AY63" i="22" s="1"/>
  <c r="AZ63" i="22" s="1"/>
  <c r="BA63" i="22" s="1"/>
  <c r="BB63" i="22" s="1"/>
  <c r="BC63" i="22" s="1"/>
  <c r="BD63" i="22" s="1"/>
  <c r="AZ15" i="22"/>
  <c r="AY46" i="22"/>
  <c r="AY67" i="22" s="1"/>
  <c r="AW47" i="22"/>
  <c r="AW66" i="22" s="1"/>
  <c r="AX5" i="22"/>
  <c r="BB47" i="24" l="1"/>
  <c r="BB66" i="24" s="1"/>
  <c r="BC5" i="24"/>
  <c r="AX46" i="24"/>
  <c r="AX67" i="24" s="1"/>
  <c r="AY15" i="24"/>
  <c r="AZ59" i="24"/>
  <c r="AY59" i="24"/>
  <c r="AX59" i="24"/>
  <c r="AT65" i="24"/>
  <c r="AW59" i="24"/>
  <c r="AT62" i="24"/>
  <c r="BD59" i="24"/>
  <c r="AV59" i="24"/>
  <c r="BC59" i="24"/>
  <c r="AU59" i="24"/>
  <c r="BA59" i="24"/>
  <c r="BB59" i="24"/>
  <c r="AW44" i="24"/>
  <c r="AV45" i="24"/>
  <c r="AV65" i="24" s="1"/>
  <c r="AZ46" i="22"/>
  <c r="AZ67" i="22" s="1"/>
  <c r="BA15" i="22"/>
  <c r="AX47" i="22"/>
  <c r="AX66" i="22" s="1"/>
  <c r="AY5" i="22"/>
  <c r="AW44" i="22"/>
  <c r="AV45" i="22"/>
  <c r="AV65" i="22" s="1"/>
  <c r="AT65" i="22"/>
  <c r="AW59" i="22"/>
  <c r="AT62" i="22"/>
  <c r="BD59" i="22"/>
  <c r="AV59" i="22"/>
  <c r="BC59" i="22"/>
  <c r="AU59" i="22"/>
  <c r="BA59" i="22"/>
  <c r="AZ59" i="22"/>
  <c r="AY59" i="22"/>
  <c r="AX59" i="22"/>
  <c r="BB59" i="22"/>
  <c r="AZ15" i="24" l="1"/>
  <c r="AY46" i="24"/>
  <c r="AY67" i="24" s="1"/>
  <c r="AU62" i="24"/>
  <c r="AV62" i="24" s="1"/>
  <c r="AW62" i="24" s="1"/>
  <c r="AX62" i="24" s="1"/>
  <c r="AY62" i="24" s="1"/>
  <c r="AZ62" i="24" s="1"/>
  <c r="BA62" i="24" s="1"/>
  <c r="BB62" i="24" s="1"/>
  <c r="BC62" i="24" s="1"/>
  <c r="BD62" i="24" s="1"/>
  <c r="AX44" i="24"/>
  <c r="AW45" i="24"/>
  <c r="AW65" i="24" s="1"/>
  <c r="BC47" i="24"/>
  <c r="BC66" i="24" s="1"/>
  <c r="BD5" i="24"/>
  <c r="AY47" i="22"/>
  <c r="AY66" i="22" s="1"/>
  <c r="AZ5" i="22"/>
  <c r="AX44" i="22"/>
  <c r="AW45" i="22"/>
  <c r="AW65" i="22" s="1"/>
  <c r="AU62" i="22"/>
  <c r="AV62" i="22" s="1"/>
  <c r="AW62" i="22" s="1"/>
  <c r="AX62" i="22" s="1"/>
  <c r="AY62" i="22" s="1"/>
  <c r="AZ62" i="22" s="1"/>
  <c r="BA62" i="22" s="1"/>
  <c r="BB62" i="22" s="1"/>
  <c r="BC62" i="22" s="1"/>
  <c r="BD62" i="22" s="1"/>
  <c r="BA46" i="22"/>
  <c r="BA67" i="22" s="1"/>
  <c r="BB15" i="22"/>
  <c r="AZ46" i="24" l="1"/>
  <c r="AZ67" i="24" s="1"/>
  <c r="BA15" i="24"/>
  <c r="BD47" i="24"/>
  <c r="BD66" i="24" s="1"/>
  <c r="AY44" i="24"/>
  <c r="AX45" i="24"/>
  <c r="AX65" i="24" s="1"/>
  <c r="AY44" i="22"/>
  <c r="AX45" i="22"/>
  <c r="AX65" i="22" s="1"/>
  <c r="AZ47" i="22"/>
  <c r="AZ66" i="22" s="1"/>
  <c r="BA5" i="22"/>
  <c r="BC15" i="22"/>
  <c r="BB46" i="22"/>
  <c r="BB67" i="22" s="1"/>
  <c r="AZ44" i="24" l="1"/>
  <c r="AY45" i="24"/>
  <c r="AY65" i="24" s="1"/>
  <c r="BA46" i="24"/>
  <c r="BA67" i="24" s="1"/>
  <c r="BB15" i="24"/>
  <c r="BD15" i="22"/>
  <c r="BD46" i="22" s="1"/>
  <c r="BD67" i="22" s="1"/>
  <c r="BC46" i="22"/>
  <c r="BC67" i="22" s="1"/>
  <c r="BA47" i="22"/>
  <c r="BA66" i="22" s="1"/>
  <c r="BB5" i="22"/>
  <c r="AZ44" i="22"/>
  <c r="AY45" i="22"/>
  <c r="AY65" i="22" s="1"/>
  <c r="BC15" i="24" l="1"/>
  <c r="BB46" i="24"/>
  <c r="BB67" i="24" s="1"/>
  <c r="BA44" i="24"/>
  <c r="AZ45" i="24"/>
  <c r="AZ65" i="24" s="1"/>
  <c r="BA44" i="22"/>
  <c r="AZ45" i="22"/>
  <c r="AZ65" i="22" s="1"/>
  <c r="BB47" i="22"/>
  <c r="BB66" i="22" s="1"/>
  <c r="BC5" i="22"/>
  <c r="BD15" i="24" l="1"/>
  <c r="BC46" i="24"/>
  <c r="BC67" i="24" s="1"/>
  <c r="BB44" i="24"/>
  <c r="BA45" i="24"/>
  <c r="BA65" i="24" s="1"/>
  <c r="BC47" i="22"/>
  <c r="BC66" i="22" s="1"/>
  <c r="BD5" i="22"/>
  <c r="BB44" i="22"/>
  <c r="BA45" i="22"/>
  <c r="BA65" i="22" s="1"/>
  <c r="BD46" i="24" l="1"/>
  <c r="BD67" i="24" s="1"/>
  <c r="BC44" i="24"/>
  <c r="BB45" i="24"/>
  <c r="BB65" i="24" s="1"/>
  <c r="BC44" i="22"/>
  <c r="BB45" i="22"/>
  <c r="BB65" i="22" s="1"/>
  <c r="BD47" i="22"/>
  <c r="BD66" i="22" s="1"/>
  <c r="BD44" i="24" l="1"/>
  <c r="BD45" i="24" s="1"/>
  <c r="BD65" i="24" s="1"/>
  <c r="BC45" i="24"/>
  <c r="BC65" i="24" s="1"/>
  <c r="BD44" i="22"/>
  <c r="BD45" i="22" s="1"/>
  <c r="BD65" i="22" s="1"/>
  <c r="BC45" i="22"/>
  <c r="BC65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BA463-80AA-4F8D-9D93-EAB18FF8304E}" keepAlive="1" name="Requête - SSG - Features" description="Connexion à la requête « SSG - Features » dans le classeur." type="5" refreshedVersion="8" background="1" saveData="1">
    <dbPr connection="Provider=Microsoft.Mashup.OleDb.1;Data Source=$Workbook$;Location=&quot;SSG - Features&quot;;Extended Properties=&quot;&quot;" command="SELECT * FROM [SSG - Features]"/>
  </connection>
</connections>
</file>

<file path=xl/sharedStrings.xml><?xml version="1.0" encoding="utf-8"?>
<sst xmlns="http://schemas.openxmlformats.org/spreadsheetml/2006/main" count="5156" uniqueCount="841">
  <si>
    <t>Nb Heures / Jour</t>
  </si>
  <si>
    <t>CHARGES</t>
  </si>
  <si>
    <t>Mis à jour le 09/08/2023</t>
  </si>
  <si>
    <t>Reste à Faire</t>
  </si>
  <si>
    <t>Ressources Equipes</t>
  </si>
  <si>
    <t>--&gt; H.Dev</t>
  </si>
  <si>
    <t>L</t>
  </si>
  <si>
    <t xml:space="preserve">M </t>
  </si>
  <si>
    <t>M</t>
  </si>
  <si>
    <t>J</t>
  </si>
  <si>
    <t>V</t>
  </si>
  <si>
    <t>Jours Vacances dans fichier absences</t>
  </si>
  <si>
    <t>Nb Jours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</si>
  <si>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</si>
  <si>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</si>
  <si>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</si>
  <si>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</si>
  <si>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</si>
  <si>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</si>
  <si>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</si>
  <si>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</si>
  <si>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</si>
  <si>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Affect</t>
  </si>
  <si>
    <t>Techno</t>
  </si>
  <si>
    <t>Appli.</t>
  </si>
  <si>
    <t>Code</t>
  </si>
  <si>
    <t>N° feature</t>
  </si>
  <si>
    <t>Nom feature</t>
  </si>
  <si>
    <t>Version</t>
  </si>
  <si>
    <t>Prioritaire</t>
  </si>
  <si>
    <t>Détail</t>
  </si>
  <si>
    <t>SP</t>
  </si>
  <si>
    <t>Dev</t>
  </si>
  <si>
    <t>TC / MR</t>
  </si>
  <si>
    <t>H. Dev</t>
  </si>
  <si>
    <t>Heure tot DEV
 Consommé</t>
  </si>
  <si>
    <t>H. Qualif</t>
  </si>
  <si>
    <t>Init</t>
  </si>
  <si>
    <t>J1</t>
  </si>
  <si>
    <t>Présence</t>
  </si>
  <si>
    <t>Autre</t>
  </si>
  <si>
    <t>Specs</t>
  </si>
  <si>
    <t>Qual</t>
  </si>
  <si>
    <t>TMA</t>
  </si>
  <si>
    <t>.Net</t>
  </si>
  <si>
    <t>AM</t>
  </si>
  <si>
    <t>PM</t>
  </si>
  <si>
    <t>Designer</t>
  </si>
  <si>
    <t>SAP</t>
  </si>
  <si>
    <t>2.30.0</t>
  </si>
  <si>
    <t>[Designer] S221018_040 Affichage des 9 caractères des numéros de série distribué en largeur d'affichage</t>
  </si>
  <si>
    <t>Chayma HAMROUNI</t>
  </si>
  <si>
    <t>d</t>
  </si>
  <si>
    <t>[Designer] S221018_040 Suppression des lignes de chèques sans fermer l'écran / contrôle sur la fermeture de l'écran "SAP0130F- Gestion des mouvements de sous-régie"</t>
  </si>
  <si>
    <t>o</t>
  </si>
  <si>
    <t>SAG</t>
  </si>
  <si>
    <t>1.3.0</t>
  </si>
  <si>
    <t>[Designer] S221209_131 Réorganiser le bloc 'Adresse' dans l'écran 'SAG0510F-Organisme'</t>
  </si>
  <si>
    <t>Corinne Rampon</t>
  </si>
  <si>
    <t>t</t>
  </si>
  <si>
    <t>T</t>
  </si>
  <si>
    <t>[Designer] S221209_131 Mettre à jour la récupération des codes postaux dans l'écran SAG0210F onglet Dossier/ Org accompagnateur et Organisme</t>
  </si>
  <si>
    <t>Damien PORTE</t>
  </si>
  <si>
    <t>TS</t>
  </si>
  <si>
    <t>[Designer] S221209_131 Modifier publipostage dans export Notification/Lettres d'envoi/Convention (SAG0110F)</t>
  </si>
  <si>
    <t>Fabien HAINAUT</t>
  </si>
  <si>
    <t>2.31.0</t>
  </si>
  <si>
    <t>[DESIGNER]  Ajout d'un champ "Date de Réception SAS" pour les "Secours Adulte" et type de paiement "Virement" dans l'écran "SAP0120F - Détail d'une demande" (§15 A-B)</t>
  </si>
  <si>
    <t>[DESIGNER] Recherche bénéficiaire - Mise à jour de l'écran SAP0140F - Liste des bénéficiaires (§9 et §10)</t>
  </si>
  <si>
    <t>Grégory THARREAU</t>
  </si>
  <si>
    <t>s</t>
  </si>
  <si>
    <t>q</t>
  </si>
  <si>
    <t>SRS</t>
  </si>
  <si>
    <t>4.8.0</t>
  </si>
  <si>
    <t>[DESIGNER] I230630_179 Modifier la requete pour la re-impression du courrier allocataire</t>
  </si>
  <si>
    <t xml:space="preserve"> KO : 8</t>
  </si>
  <si>
    <t>Jérôme BRUGAL </t>
  </si>
  <si>
    <t>[Designer] S221209_131 Ajouter de la colonne "Lieu de distribution" dans la pop-up "Liste des codes postaux"  SAG0510F-Organismes</t>
  </si>
  <si>
    <t>[Designer] S221209_131 Mettre à jour la récupération des codes postaux dans les éditions des écrans SAG0140F, SAG0150F</t>
  </si>
  <si>
    <t>Jihene MATHYS</t>
  </si>
  <si>
    <t>ABD</t>
  </si>
  <si>
    <t>.NET</t>
  </si>
  <si>
    <t>HTB</t>
  </si>
  <si>
    <t>1.7.0</t>
  </si>
  <si>
    <t>a</t>
  </si>
  <si>
    <t xml:space="preserve">[TS] S20221107-Controle effectifs-Onglet Tableau du payeur-Etude pour rajouter les sous-totaux dans tableau de résultat </t>
  </si>
  <si>
    <t>Mathis FABRE</t>
  </si>
  <si>
    <t>A</t>
  </si>
  <si>
    <t>ABD / RBA</t>
  </si>
  <si>
    <t>ZAE</t>
  </si>
  <si>
    <t>1.6.0</t>
  </si>
  <si>
    <t>Trier par date de début les contrats des adhérents dans l'écran Adhérent (détail d'un adhérent)</t>
  </si>
  <si>
    <t>Emie DELEPINE</t>
  </si>
  <si>
    <t>FHT</t>
  </si>
  <si>
    <t>INF</t>
  </si>
  <si>
    <t>1.11.0</t>
  </si>
  <si>
    <t>b</t>
  </si>
  <si>
    <t>[TS] Etudier les performances de récupération de la liste des utilisateurs
=&gt; KEYCLOAK</t>
  </si>
  <si>
    <t>Pascale DE CACQUERAY</t>
  </si>
  <si>
    <t>GED</t>
  </si>
  <si>
    <t>FHT / ARI / ABD</t>
  </si>
  <si>
    <t>c</t>
  </si>
  <si>
    <t>S20221107-Feedback-Controle effectifs-Faire apparaitre l'UO de réserve dans menu déroulant Service des critères de recherche</t>
  </si>
  <si>
    <t>Samah HAMZE</t>
  </si>
  <si>
    <t>CHI / RBA</t>
  </si>
  <si>
    <t>RDS</t>
  </si>
  <si>
    <t xml:space="preserve">Rechercher sur nom court, responsable site, description, code AS-TECH et code DSIUN + adapter filtre IDs dans champ recherche </t>
  </si>
  <si>
    <t>ARI / ABD</t>
  </si>
  <si>
    <t>e</t>
  </si>
  <si>
    <t>Mise à jour des résultats de recherche dans tableau des sites</t>
  </si>
  <si>
    <t>François DEGRELLE</t>
  </si>
  <si>
    <t>ARI/ABD/FHT</t>
  </si>
  <si>
    <t>f</t>
  </si>
  <si>
    <t xml:space="preserve">S20221107-Controle effectifs-Onglet Tableau du payeur-Rajouter les sous-totaux dans tableau de résultat </t>
  </si>
  <si>
    <t>Adrien BONNARD</t>
  </si>
  <si>
    <t>ARI/JBL/ABD</t>
  </si>
  <si>
    <t>g</t>
  </si>
  <si>
    <t>S20221107-Controle effectifs-Onglet Tableau du payeur-Exporter le résultat</t>
  </si>
  <si>
    <t xml:space="preserve">Riadh BENAMARA </t>
  </si>
  <si>
    <t>CHI/ARI</t>
  </si>
  <si>
    <t>h</t>
  </si>
  <si>
    <t>Afficher les nouveaux champs dans le détail d'un site</t>
  </si>
  <si>
    <t>Ali REGRAGUI</t>
  </si>
  <si>
    <t>ABD/FHT/RBA</t>
  </si>
  <si>
    <t>HEP</t>
  </si>
  <si>
    <t>4.5.1</t>
  </si>
  <si>
    <t>i</t>
  </si>
  <si>
    <t xml:space="preserve">[I230720_058]  Erreur génération automatique du bulletin de situation de l’agent </t>
  </si>
  <si>
    <t>ne pas utiliser</t>
  </si>
  <si>
    <t>O</t>
  </si>
  <si>
    <t>j</t>
  </si>
  <si>
    <t>[I230720_058] Erreur de la génération automatique du compte-rendu et de la fiche de situation de l'agent</t>
  </si>
  <si>
    <t>Total Dev</t>
  </si>
  <si>
    <t>RBA</t>
  </si>
  <si>
    <t>Exporter les sites au format CSV</t>
  </si>
  <si>
    <t>Total Dev Autre</t>
  </si>
  <si>
    <t>DPE</t>
  </si>
  <si>
    <t>MTB</t>
  </si>
  <si>
    <t>[I230718_143] Problème de création du client Keycloak  lors du déploiement via la pipeline</t>
  </si>
  <si>
    <t>Total Dev .NET</t>
  </si>
  <si>
    <t>MFE</t>
  </si>
  <si>
    <t>Java</t>
  </si>
  <si>
    <t>HFD</t>
  </si>
  <si>
    <t>2.29.0</t>
  </si>
  <si>
    <t>[Java] Problème sur les listes des OMP</t>
  </si>
  <si>
    <t>Total Qualif</t>
  </si>
  <si>
    <t>Total Spec</t>
  </si>
  <si>
    <t>JBL</t>
  </si>
  <si>
    <t>#42</t>
  </si>
  <si>
    <t>Retour Recette</t>
  </si>
  <si>
    <t>Centrer le spinner lors de la génération de l'export sur l'écran actif et non sur la totalité de la page</t>
  </si>
  <si>
    <t>Total BA</t>
  </si>
  <si>
    <t>#2</t>
  </si>
  <si>
    <t>Mise à jour du Gitlab CI</t>
  </si>
  <si>
    <t>Total Présence projet</t>
  </si>
  <si>
    <t>SourceDeployer</t>
  </si>
  <si>
    <t>#24</t>
  </si>
  <si>
    <t>Deployer ZAE</t>
  </si>
  <si>
    <t>Total Jours équipe</t>
  </si>
  <si>
    <t>#6</t>
  </si>
  <si>
    <t>Mise à jour version</t>
  </si>
  <si>
    <t>J. Dispo</t>
  </si>
  <si>
    <t>H. Dispo</t>
  </si>
  <si>
    <t>H. Planif</t>
  </si>
  <si>
    <t>Tx Planif</t>
  </si>
  <si>
    <t>Ratio</t>
  </si>
  <si>
    <t>Temps Qualif : 40% heure de dev</t>
  </si>
  <si>
    <r>
      <rPr>
        <b/>
        <sz val="11"/>
        <color theme="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péc</t>
    </r>
  </si>
  <si>
    <t>-</t>
  </si>
  <si>
    <t>#15</t>
  </si>
  <si>
    <t xml:space="preserve"> </t>
  </si>
  <si>
    <r>
      <rPr>
        <b/>
        <sz val="11"/>
        <color theme="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év . .NET</t>
    </r>
  </si>
  <si>
    <r>
      <rPr>
        <b/>
        <sz val="11"/>
        <color theme="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=Dév . Autre</t>
    </r>
  </si>
  <si>
    <t>#9</t>
  </si>
  <si>
    <t>Problème liste idPatrimoine</t>
  </si>
  <si>
    <r>
      <rPr>
        <b/>
        <sz val="11"/>
        <color theme="0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ualif</t>
    </r>
  </si>
  <si>
    <t>#10</t>
  </si>
  <si>
    <t>Problème méthode Update</t>
  </si>
  <si>
    <r>
      <rPr>
        <b/>
        <sz val="11"/>
        <color theme="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ff</t>
    </r>
  </si>
  <si>
    <t>Maj script insertions utilisateurs IQR</t>
  </si>
  <si>
    <t>Autre/Formation/Ecole</t>
  </si>
  <si>
    <t>Total Jour</t>
  </si>
  <si>
    <t>Planning OK :</t>
  </si>
  <si>
    <t>RESERVE</t>
  </si>
  <si>
    <t xml:space="preserve">Reserve </t>
  </si>
  <si>
    <t/>
  </si>
  <si>
    <t>Total</t>
  </si>
  <si>
    <t>Total .NET</t>
  </si>
  <si>
    <t>Total Autre</t>
  </si>
  <si>
    <t xml:space="preserve">CAF INITIALE à 80% : </t>
  </si>
  <si>
    <t>Légende</t>
  </si>
  <si>
    <t>CAF .NET</t>
  </si>
  <si>
    <t>En cours de dév</t>
  </si>
  <si>
    <t>J Presence</t>
  </si>
  <si>
    <t>l</t>
  </si>
  <si>
    <t>CAF Autre</t>
  </si>
  <si>
    <t>Dév / qualif bloqué</t>
  </si>
  <si>
    <t>J Presence Autre</t>
  </si>
  <si>
    <t xml:space="preserve">Capacité TFS : </t>
  </si>
  <si>
    <t>Reste</t>
  </si>
  <si>
    <t>En MR + tests croisés</t>
  </si>
  <si>
    <t>J Presence .NET</t>
  </si>
  <si>
    <t xml:space="preserve">nb jours : </t>
  </si>
  <si>
    <t xml:space="preserve">CAF INITIALE à 100% : </t>
  </si>
  <si>
    <t>En stand-by</t>
  </si>
  <si>
    <t>Heures Présence</t>
  </si>
  <si>
    <t xml:space="preserve">Developpement : </t>
  </si>
  <si>
    <t>Heures Présence Autre</t>
  </si>
  <si>
    <t xml:space="preserve">Requirement : </t>
  </si>
  <si>
    <t>En qualification interne</t>
  </si>
  <si>
    <t>Heures Présence .NET</t>
  </si>
  <si>
    <t>En qualification client</t>
  </si>
  <si>
    <t>Raf H. Présence</t>
  </si>
  <si>
    <t xml:space="preserve">Heures DEV INIT. 80% : </t>
  </si>
  <si>
    <t>Raf H. Présence Autre</t>
  </si>
  <si>
    <t xml:space="preserve">Heures SPEC QUALIF init : </t>
  </si>
  <si>
    <t>Qualifié. Validée par BA</t>
  </si>
  <si>
    <t>Raf H. Présence .NET</t>
  </si>
  <si>
    <t xml:space="preserve">Heures DEV Prévues 100% : </t>
  </si>
  <si>
    <t xml:space="preserve"> Livré client</t>
  </si>
  <si>
    <t>Prévisionnel de Production</t>
  </si>
  <si>
    <t xml:space="preserve">Heures QUALIF Init : </t>
  </si>
  <si>
    <t>Prévisionnel de Prod Autre</t>
  </si>
  <si>
    <t>US arrivées en cours de sprint</t>
  </si>
  <si>
    <t>Prévisionnel de Prod .NET</t>
  </si>
  <si>
    <t>US reportées du sprint précédent</t>
  </si>
  <si>
    <t>RàF CIBLE</t>
  </si>
  <si>
    <t>RàF CIBLE Autre</t>
  </si>
  <si>
    <t>US sortie du sprint dépriorisée</t>
  </si>
  <si>
    <t>RàF CIBLE .NET</t>
  </si>
  <si>
    <t>RàF REEL</t>
  </si>
  <si>
    <t>RàF REEL Autre</t>
  </si>
  <si>
    <t>RàF REEL .NET</t>
  </si>
  <si>
    <t>INITIAL</t>
  </si>
  <si>
    <t>Appli</t>
  </si>
  <si>
    <t>US</t>
  </si>
  <si>
    <t>Feature</t>
  </si>
  <si>
    <t>Priorité</t>
  </si>
  <si>
    <t xml:space="preserve">Dev </t>
  </si>
  <si>
    <t>DEV TC + MR</t>
  </si>
  <si>
    <t>Heures de dev totales</t>
  </si>
  <si>
    <t>Heure dev consommé</t>
  </si>
  <si>
    <t>Type</t>
  </si>
  <si>
    <t>Livré</t>
  </si>
  <si>
    <t>SP Livré</t>
  </si>
  <si>
    <t>Jour de dev</t>
  </si>
  <si>
    <t>[Designer] S221018_040 Demande d'évolution distribution CAP-Utilisation d'une scannette</t>
  </si>
  <si>
    <t>[DESIGNER] S221209_131 - Usage du ROC pour les codes postaux en lieu et place du référentiel obsolète de SRS</t>
  </si>
  <si>
    <t>[DESIGNER] Diverses évolutions N°2 du 16/06/2023</t>
  </si>
  <si>
    <t>[Designer] S221209_131 Mettre à jour la récupération des codes postaux dans les éditions des écrans SAG0140F, SAG150F</t>
  </si>
  <si>
    <t xml:space="preserve">[Designer] S221209_131 Suppression des éléments RMA du menu de l'application SAG ainsi que les écrans correspondants </t>
  </si>
  <si>
    <t>S20221107 Tableau des effectifs - Lot 1</t>
  </si>
  <si>
    <t>S230109_256 : Lot 1 - Ecran statistiques + Enrichir l'écran de détail de l'adhérent</t>
  </si>
  <si>
    <t>Trié par date de début les contrats des adhérents dans l'écran Adhérent (détail d'un adhérent)</t>
  </si>
  <si>
    <t>[WEB] GÉRER LES UTILISATEURS</t>
  </si>
  <si>
    <t>N</t>
  </si>
  <si>
    <t>Ajout de champs pour un site physique-  Synchronisation de données à partir de AS-TECH</t>
  </si>
  <si>
    <t>Bug</t>
  </si>
  <si>
    <t>INITIAL V2</t>
  </si>
  <si>
    <t>Total jour dev bug</t>
  </si>
  <si>
    <t>Total jour dev US</t>
  </si>
  <si>
    <t>Vélocité</t>
  </si>
  <si>
    <t>[DESIGNER] I230630_179 Impossibilité de rééditer une partie des courriers allocataires concernant les décisions de sanction</t>
  </si>
  <si>
    <t>Features résolues</t>
  </si>
  <si>
    <t>En retard : Non livré</t>
  </si>
  <si>
    <t>Description</t>
  </si>
  <si>
    <t>Conception du Modèle de données</t>
  </si>
  <si>
    <t>Ecran moyen</t>
  </si>
  <si>
    <t>Liste valeur</t>
  </si>
  <si>
    <t>Projet</t>
  </si>
  <si>
    <t>CDS</t>
  </si>
  <si>
    <t>Apex</t>
  </si>
  <si>
    <t>Heure de dev</t>
  </si>
  <si>
    <t>Nom du sprint</t>
  </si>
  <si>
    <t>Année</t>
  </si>
  <si>
    <t>Numéro de semaine</t>
  </si>
  <si>
    <t>Premier lundi</t>
  </si>
  <si>
    <t>Mise  jour du fichier le 07/17/2023 13:23:05</t>
  </si>
  <si>
    <t>Application</t>
  </si>
  <si>
    <t>ID</t>
  </si>
  <si>
    <t>Sprint/version</t>
  </si>
  <si>
    <t>Statut</t>
  </si>
  <si>
    <t>date ouverture</t>
  </si>
  <si>
    <t>Commentaire</t>
  </si>
  <si>
    <t>RDS-v1.0.0</t>
  </si>
  <si>
    <t>Adresse &gt; proposer la liste des voies disponibles pour un code postal</t>
  </si>
  <si>
    <t>Sélectionner un type de site &gt; faire apparaitre la liste</t>
  </si>
  <si>
    <t>Area Path</t>
  </si>
  <si>
    <t>Work Item Type</t>
  </si>
  <si>
    <t>Title 1</t>
  </si>
  <si>
    <t>Title 2</t>
  </si>
  <si>
    <t>Assigned To</t>
  </si>
  <si>
    <t>State</t>
  </si>
  <si>
    <t>Tags</t>
  </si>
  <si>
    <t>GSD</t>
  </si>
  <si>
    <t>IHM - Liste des dossiers</t>
  </si>
  <si>
    <t>DAUMERGUE Frederic &lt;NOVEA\FDAUMERGUE&gt;</t>
  </si>
  <si>
    <t>Closed</t>
  </si>
  <si>
    <t>IHM - Ajout d'un dossier</t>
  </si>
  <si>
    <t>IHM - Fiche détaillée d'un dossier</t>
  </si>
  <si>
    <t>IHM - Echeances Actions d'un dossier</t>
  </si>
  <si>
    <t>IHM - Ajout d'un élément</t>
  </si>
  <si>
    <t>ROLE - Administrateur</t>
  </si>
  <si>
    <t>Active</t>
  </si>
  <si>
    <t>gerer_utilisateurs</t>
  </si>
  <si>
    <t>ROLE - Chargé de Mission</t>
  </si>
  <si>
    <t>acceder_contacts_dossier; acceder_echeances_dossier; acceder_faitsmarquants_dossier; acceder_fiche_dossier; creer_dossier; creer_element_dossier; enregistrer_dossier; gerer_indicateurs_dossier; gerer_risques_dossier; imprimer_dossier; modifier_dossier; modifier_element_dossier; modifier_nom_dossier; rechercher_dossier; supprimer_dossier; supprimer_element_dossier</t>
  </si>
  <si>
    <t>ROLE - Directeur Général</t>
  </si>
  <si>
    <t>acceder_contacts_dossier; acceder_echeances_dossier; acceder_faitsmarquants_dossier; acceder_fiche_dossier; imprimer_dossier; rechercher_dossier</t>
  </si>
  <si>
    <t>IHM - Faits marquants d'un dossier</t>
  </si>
  <si>
    <t>acceder_faitsmarquants_dossier</t>
  </si>
  <si>
    <t>IHM - Contacts</t>
  </si>
  <si>
    <t>acceder_contacts_dossier</t>
  </si>
  <si>
    <t>IHM - Ajout acteur interne</t>
  </si>
  <si>
    <t>CONCEPTION - Modèle de données</t>
  </si>
  <si>
    <t>DOUZON Gregory &lt;NOVEA\GDOUZON&gt;</t>
  </si>
  <si>
    <t>CONCEPTION - Maquettes écrans</t>
  </si>
  <si>
    <t>CONCEPTION - Spécifications fonctionnelles</t>
  </si>
  <si>
    <t>GPX</t>
  </si>
  <si>
    <t>Gérer les modèles de matériels</t>
  </si>
  <si>
    <t>Gérer les familles de matériels</t>
  </si>
  <si>
    <t>Gérer les usages</t>
  </si>
  <si>
    <t>Gérer les modules BIOS</t>
  </si>
  <si>
    <t>Gérer les familles de bad drivers</t>
  </si>
  <si>
    <t>Gérer les bad drivers</t>
  </si>
  <si>
    <t>Gérer les BIOS passwords</t>
  </si>
  <si>
    <t>DSS</t>
  </si>
  <si>
    <t>Feature : Administrer les activités</t>
  </si>
  <si>
    <t>DAVOINE - Externe Christel &lt;NOVEA\CDAVOINEEXT&gt;</t>
  </si>
  <si>
    <t>Resolved</t>
  </si>
  <si>
    <t>Feature : Gérer les inscriptions aux activités</t>
  </si>
  <si>
    <t>THARREAU - Externe Gregory &lt;NOVEA\GTHARREAUEXT&gt;</t>
  </si>
  <si>
    <t>Feature : Gérer les fiches collégiens</t>
  </si>
  <si>
    <t>Feature : Administrer les séjours</t>
  </si>
  <si>
    <t>MAYINDA ZOBELA - Externe Anthony &lt;NOVEA\AMAYINDAZOBELAEXT&gt;</t>
  </si>
  <si>
    <t>Feature : Administrer les thèmes</t>
  </si>
  <si>
    <t>Feature : Gérer le catalogue des activités</t>
  </si>
  <si>
    <t>Administrer les activités</t>
  </si>
  <si>
    <t>Administrer les collèges</t>
  </si>
  <si>
    <t>Feature: Administrer une activité</t>
  </si>
  <si>
    <t>Feature: Administrer les activités</t>
  </si>
  <si>
    <t>Feature: Administrer les années scolaires</t>
  </si>
  <si>
    <t>Feature: Administrer les prestataires</t>
  </si>
  <si>
    <t>Feature : Gérer les sites</t>
  </si>
  <si>
    <t>BRUGAL - Externe Jerome &lt;NOVEA\JBRUGALEXT&gt;</t>
  </si>
  <si>
    <t>Feature : Gérer les types de sites</t>
  </si>
  <si>
    <t>Gérer la validation des affectations</t>
  </si>
  <si>
    <t>ENTEZAM - Externe Samuel &lt;NOVEA\SENTEZAMEXT&gt;</t>
  </si>
  <si>
    <t>Administrer les lieux de rendez-vous</t>
  </si>
  <si>
    <t>Administrer les marchés</t>
  </si>
  <si>
    <t>Feature : Gérer l'affectation automatique</t>
  </si>
  <si>
    <t>DGC</t>
  </si>
  <si>
    <t>SPPAS : Chèques-Resto-Collège</t>
  </si>
  <si>
    <t>New</t>
  </si>
  <si>
    <t>IWT</t>
  </si>
  <si>
    <t>Feature 1 : Chèques-Resto-Collège</t>
  </si>
  <si>
    <t>GAN</t>
  </si>
  <si>
    <t>MODIFIER LES INFORMATIONS PERSONNELLES</t>
  </si>
  <si>
    <t>Validé CD13</t>
  </si>
  <si>
    <t>MODIFIER LE MOT DE PASSE</t>
  </si>
  <si>
    <t>REINITIALISER LE MOT DE PASSE</t>
  </si>
  <si>
    <t>IGA</t>
  </si>
  <si>
    <t>CONSOLIDER LES INFORMATIONS DES MARCHES</t>
  </si>
  <si>
    <t>VERIFIER LES DONNEES A DOUBLE SAISIES CORIOLIS / EXCEL</t>
  </si>
  <si>
    <t>A valider CD13</t>
  </si>
  <si>
    <t>[JeromeADB] Lors d'un désistement : Ajout d'un message de confirmation</t>
  </si>
  <si>
    <t>KESSAS - Externe Laura &lt;NOVEA\LKESSASEXT&gt;</t>
  </si>
  <si>
    <t>INITIALISATION ET CONFIGURATION</t>
  </si>
  <si>
    <t>JeromeADB] Fiche collégien : Un référent ne doit pas pouvoir supprimer les choix d’un collégien affecté à un séjour</t>
  </si>
  <si>
    <t>Removed</t>
  </si>
  <si>
    <t>[JeromeADB] Gestion des dates de blocages pour les inscriptions (voeux)</t>
  </si>
  <si>
    <t>AFFICHAGE DES LISTES DES DEMANDES D'ACHATS</t>
  </si>
  <si>
    <t>INITIALISATION D'UNE DEMANDE D'ACHAT</t>
  </si>
  <si>
    <t>GESTION DES ARTICLES</t>
  </si>
  <si>
    <t>GESTION DU STATUT DES DEMANDES</t>
  </si>
  <si>
    <t>IXT</t>
  </si>
  <si>
    <t>/api/platform/{platform_id}/beneficiaire/{beneficiaire_id}/ : Ajouter un objet "plateforme" dans l'objet "beneficiaire"</t>
  </si>
  <si>
    <t>GIF FINO Nicolas &lt;NOVEA\NGIF&gt;</t>
  </si>
  <si>
    <t>/api/platform/{platform_id}/beneficiaire/{beneficiaire_id}/affectation/{affectation_id}/ : les champs vides dans la requète doivent vider les valeurs en base</t>
  </si>
  <si>
    <t>WS liste et détail affectation ne controle pas la plateforme</t>
  </si>
  <si>
    <t>GESTION DU REFERENTIEL DES MARCHES</t>
  </si>
  <si>
    <t>GESTION DU REFERENTIEL DES CODES ANALYTIQUES</t>
  </si>
  <si>
    <t>Modification du tri des référents sur /api/platform/{platform_id}/referent/</t>
  </si>
  <si>
    <t>REFONTE DES DEMANDES D'ACHATS</t>
  </si>
  <si>
    <t>IPU</t>
  </si>
  <si>
    <t>GESTION DES MODELES DE PUBLIPOSTAGE</t>
  </si>
  <si>
    <t>GENERATION D'UN FICHIER A PARTIR D'UN MODELE</t>
  </si>
  <si>
    <t>/api/platform/{platform_id}/beneficiaire/{beneficiaire_id}/affectation/ : ajouter le champ prescripteur et filtrer sur erreur</t>
  </si>
  <si>
    <t>/api/platform/{platform_id}/referent/ - GET : Ajouter champ text = Nom + Prénom</t>
  </si>
  <si>
    <t>/api/platform/{platform_id}/beneficiaire/{beneficiaire_id}/affectation/{affectation_id}/ - PUT : Spécifier/modifier le référent associé à une affectation</t>
  </si>
  <si>
    <t>/api/platform/{platform_id}/beneficiaire/ GET : ajouter le champ affectation</t>
  </si>
  <si>
    <t>[RSA] Ne mettre à jour des données de consultation des brsa que pour les externes.</t>
  </si>
  <si>
    <t>GESTION DES DOMAINES</t>
  </si>
  <si>
    <t>[JeromeADB] Fiche Collégien : Vérification à l'enregistrement de la disponibilité pour les voeux effectués</t>
  </si>
  <si>
    <t>[JeromeADB] Fiche Activités : ajout champ "Disponibilités"</t>
  </si>
  <si>
    <t>GFS</t>
  </si>
  <si>
    <t>GENERATION D'UNE FICHE SIGNALETIQUE POUR UN BUREAU</t>
  </si>
  <si>
    <t>[SXR] Vue beneficiaires x query</t>
  </si>
  <si>
    <t>[SXR] Compter et paginer les files actives dans SOA plutot qu'en SQL</t>
  </si>
  <si>
    <t>[SXR] Utiliser la table INDICATEUR pour accélérer les requètes</t>
  </si>
  <si>
    <t>[SXR] Ajouter à la liste des référents un champ qui indique le nombre de brsa qu'il suit</t>
  </si>
  <si>
    <t>[SXR] Optimisation des filtres sur les listings de bénéficiaires</t>
  </si>
  <si>
    <t>APM</t>
  </si>
  <si>
    <t>Refonte des menus d'Accueil</t>
  </si>
  <si>
    <t>Gestion par virement bancaire</t>
  </si>
  <si>
    <t>RAP</t>
  </si>
  <si>
    <t>MISE EN PLACE D'UN SERVICE API</t>
  </si>
  <si>
    <t>RPJ</t>
  </si>
  <si>
    <t>[SXR] Utiliser 1 requète par critère de recherche</t>
  </si>
  <si>
    <t>OAC</t>
  </si>
  <si>
    <t xml:space="preserve">Gestion de l’Erreur http 403 Accès interdit </t>
  </si>
  <si>
    <t>DE CACQUERAY - Externe Pascale &lt;NOVEA\PDECACQUERAYEXT&gt;</t>
  </si>
  <si>
    <t>XIN</t>
  </si>
  <si>
    <t>INITALISATION ET CONFIGURATION</t>
  </si>
  <si>
    <t>Ready</t>
  </si>
  <si>
    <t>MISE EN PLACE DU TABLEAU DES DEMANDES</t>
  </si>
  <si>
    <t>GESTION DES ELEVAGES</t>
  </si>
  <si>
    <t>GESTION D'UNE DEMANDE</t>
  </si>
  <si>
    <t>Macro-planif; Validé CD13</t>
  </si>
  <si>
    <t>MISE EN PLACE DU PLANNING DES DEMANDES</t>
  </si>
  <si>
    <t>Demande d'évolution concernant les convocations</t>
  </si>
  <si>
    <t>[Designer] (GEN86) Evolution modules SAE et SPT</t>
  </si>
  <si>
    <t>[DESIGNER] EVOLUTIONS SUR LA GESTION PAR VIREMENT BANCAIRE</t>
  </si>
  <si>
    <t>AAA</t>
  </si>
  <si>
    <t>Planification des prélèvements pour le laboratoire 13</t>
  </si>
  <si>
    <t>SGL</t>
  </si>
  <si>
    <t>INTERFACE MDPH</t>
  </si>
  <si>
    <t>RAMPON - Externe Corinne &lt;NOVEA\CRAMPONEXT&gt;</t>
  </si>
  <si>
    <t>Retour recette</t>
  </si>
  <si>
    <t>Imputation comptable</t>
  </si>
  <si>
    <t>SRR</t>
  </si>
  <si>
    <t>EDITION DES ATTESTATIONS</t>
  </si>
  <si>
    <t>[DESIGNER] : MODULE PARAMETRES</t>
  </si>
  <si>
    <t>[DESIGNER] : MENU SGC - BUDGET DES COLLEGES - SUBVENTIONS</t>
  </si>
  <si>
    <t>GEDFACTURES</t>
  </si>
  <si>
    <t>Délégation de tâches</t>
  </si>
  <si>
    <t>Page d'Accueil</t>
  </si>
  <si>
    <t>Workflow</t>
  </si>
  <si>
    <t>Macro-planif</t>
  </si>
  <si>
    <t>GEDMARCHES</t>
  </si>
  <si>
    <t>Gestion Dossier Marché</t>
  </si>
  <si>
    <t>Assistance Support</t>
  </si>
  <si>
    <t>Création nouvelle piece (banque des termes)</t>
  </si>
  <si>
    <t>Gestion des droits et habilitations</t>
  </si>
  <si>
    <t>GEDRH</t>
  </si>
  <si>
    <t>Dispositif jeunes</t>
  </si>
  <si>
    <t>Gestion des erreurs</t>
  </si>
  <si>
    <t>Echanges avec HR Access</t>
  </si>
  <si>
    <t>Délégation des taches</t>
  </si>
  <si>
    <t>Gestion des enveloppes de paie</t>
  </si>
  <si>
    <t>Dossier Individuel Agent (DIA)</t>
  </si>
  <si>
    <t>Fonctions de recherche</t>
  </si>
  <si>
    <t>Réception</t>
  </si>
  <si>
    <t>Contrôle administratif</t>
  </si>
  <si>
    <t>Contrôle technique</t>
  </si>
  <si>
    <t>Contrôle Comptable</t>
  </si>
  <si>
    <t>Validation hiérarchique</t>
  </si>
  <si>
    <t>Flux Suspension</t>
  </si>
  <si>
    <t>Echanges avec Coriolis</t>
  </si>
  <si>
    <t>Gestion des droits et des habilitations</t>
  </si>
  <si>
    <t>Feature Technique : administration DBA</t>
  </si>
  <si>
    <t>INSTRUCTION</t>
  </si>
  <si>
    <t>EDITION</t>
  </si>
  <si>
    <t>NINTEX Workflows : Ajout des logs</t>
  </si>
  <si>
    <t>NINTEX Workflow : Gestion des erreurs</t>
  </si>
  <si>
    <t>GENERATION D'UNE FICHE SIGNALETIQUE</t>
  </si>
  <si>
    <t>[DESIGNER] : ALLOCATAIRES</t>
  </si>
  <si>
    <t>Interface CD13.Interface.Kofax.exe</t>
  </si>
  <si>
    <t>HCV</t>
  </si>
  <si>
    <t>Rattachement collectif</t>
  </si>
  <si>
    <t>Alimentation des données ODF dans le système d’information décisionnel</t>
  </si>
  <si>
    <t>INTRANET</t>
  </si>
  <si>
    <t>Fonctionnalités du menu du ruban</t>
  </si>
  <si>
    <t>Tendances de popularité</t>
  </si>
  <si>
    <t>VAN AUWEGHEM Nicolas &lt;NOVEA\NVANAUWEGHEM&gt;</t>
  </si>
  <si>
    <t>Support</t>
  </si>
  <si>
    <t>Gestion des demandes</t>
  </si>
  <si>
    <t>Dossier Factures</t>
  </si>
  <si>
    <t>[DESIGNER] EVOLUTIONS HOPAYRA</t>
  </si>
  <si>
    <t>[DESIGNER] COLLECTIF/CONVENTION COLLECTIVE</t>
  </si>
  <si>
    <t xml:space="preserve">[API] RECHERCHER UNE ADRESSE POSTALE </t>
  </si>
  <si>
    <t>[API] Retourne information personne</t>
  </si>
  <si>
    <t>[APEX] [DESIGNER]: LA PROVENCE DANS MON ASSIETTE</t>
  </si>
  <si>
    <t>[APEX] [DESIGNER] : S211124_060 - MODULE SAE</t>
  </si>
  <si>
    <t>[DESIGNER] EVOLUTIONS NOMENCLATURES EVENEMENTS</t>
  </si>
  <si>
    <t>[DESIGNER] POURSUITE DE LA CENTRALISATION DES COMMUNICATIONS PAR SMS</t>
  </si>
  <si>
    <t>[DESIGNER] ÉVOLUTIONS À APPORTER À SRS DANS LE CADRE DE LA MISE EN ŒUVRE DE LA VERSION 1.2 DE L’EXTRANET RSA</t>
  </si>
  <si>
    <t>[DESIGNER] ACCÈS EN CONSULTATION AU PAIEMENT DES FAI POUR LA PLATEFORME TÉLÉPHONIQUE</t>
  </si>
  <si>
    <t>Gestion d'une commande</t>
  </si>
  <si>
    <t>[DESIGNER] : CONVOCATIONS</t>
  </si>
  <si>
    <t>Ajout de champs supplémentaires à l'export CSV des listes et recherches de bénéficiaires</t>
  </si>
  <si>
    <t>VPL</t>
  </si>
  <si>
    <t>Evolutions des fiches stations</t>
  </si>
  <si>
    <t>Export CSV de liste de facturation</t>
  </si>
  <si>
    <t>Script</t>
  </si>
  <si>
    <t>Installation livraison</t>
  </si>
  <si>
    <t>[API] GESTION DE PLUSIEURS VERSIONS EN MÊME TEMPS</t>
  </si>
  <si>
    <t>HTR</t>
  </si>
  <si>
    <t>Exporter le fichier TRSOLDE pour HR Access</t>
  </si>
  <si>
    <t>WIKI FAIT QUOI</t>
  </si>
  <si>
    <t>IntranetSearch</t>
  </si>
  <si>
    <t>Evolution MENU Niveau 2</t>
  </si>
  <si>
    <t>[DESIGNER] : MODULE TRAITEMENTS</t>
  </si>
  <si>
    <t>Gestion des adhérents</t>
  </si>
  <si>
    <t>Etats des adhérents</t>
  </si>
  <si>
    <t>Correctif ANO Fiche Station et Paramétrage Marchés</t>
  </si>
  <si>
    <t>NINTEX WORKFLOW</t>
  </si>
  <si>
    <t>TRAITEMENT ASG</t>
  </si>
  <si>
    <t>Qualification_CD13_v2.2.0.4</t>
  </si>
  <si>
    <t>ACT</t>
  </si>
  <si>
    <t>[DESIGNER] GESTION DES ACTES</t>
  </si>
  <si>
    <t>DAS</t>
  </si>
  <si>
    <t>[DESIGNER] EDITION DES COURRIERS</t>
  </si>
  <si>
    <t>PreProduction_CD13</t>
  </si>
  <si>
    <t>Ajout champ text à la liste des bénéficiaires</t>
  </si>
  <si>
    <t>[DESIGNER] EVOLUTIONS ASSIGNATION</t>
  </si>
  <si>
    <t>Installation \ Environnement Plateforme CD13</t>
  </si>
  <si>
    <t>[DESIGNER] S220321_003 EVOLUTIONS : GESTION EN PARALLELE DES CONTRATS</t>
  </si>
  <si>
    <t>KOFAX</t>
  </si>
  <si>
    <t>Interface</t>
  </si>
  <si>
    <t>Planning</t>
  </si>
  <si>
    <t>Gestion des besoins + diverses évolutions</t>
  </si>
  <si>
    <t>/api/platform/{platform_id}/beneficiaire/ pouvoir filtrer par id</t>
  </si>
  <si>
    <t>Feature XXX</t>
  </si>
  <si>
    <t>Feature YYY</t>
  </si>
  <si>
    <t>Mise en place Environnement Application</t>
  </si>
  <si>
    <t>Configuration</t>
  </si>
  <si>
    <t>PARAMETRES</t>
  </si>
  <si>
    <t>SEM</t>
  </si>
  <si>
    <t>[DESIGNER] ENTREPRISES</t>
  </si>
  <si>
    <t>GEDMDPH</t>
  </si>
  <si>
    <t>Demande d'évolution \ correctif v1.0</t>
  </si>
  <si>
    <t>EVOLUTION</t>
  </si>
  <si>
    <t>[WEB] MISE EN PLACE DE L'APPLICATION WEB</t>
  </si>
  <si>
    <t>[API] RÉCUPÉRER UNE DIRECTION</t>
  </si>
  <si>
    <t>[WEB] GÉRER LES DOMAINES</t>
  </si>
  <si>
    <t>[WEB] S'AUTHENTIFIER SUR L'APPLICATION</t>
  </si>
  <si>
    <t>[API] VÉRIFIER LA VALIDITÉ DE L'API</t>
  </si>
  <si>
    <t>[WEB] GÉRER LES SITES</t>
  </si>
  <si>
    <t>PORTE - Externe Damien &lt;NOVEA\DPORTEEXT&gt;</t>
  </si>
  <si>
    <t>PI2023.4</t>
  </si>
  <si>
    <t>[WEB] GÉRER LES RÔLES ET PERMISSIONS</t>
  </si>
  <si>
    <t>SCMCOLL - Dématérialisation Charte Restauration</t>
  </si>
  <si>
    <t>A valider CD13; PI2023.4</t>
  </si>
  <si>
    <t>Allocataires mandatés en APAET-Export CSV</t>
  </si>
  <si>
    <t>RGPD</t>
  </si>
  <si>
    <t>Référentiel site OAC</t>
  </si>
  <si>
    <t>Macro-planif; PI2023.3</t>
  </si>
  <si>
    <t>SCMCOLL - Paramètres</t>
  </si>
  <si>
    <t>A valider CD13; PI2023.3</t>
  </si>
  <si>
    <t>Gestion des bordereaux</t>
  </si>
  <si>
    <t>Traitement des rappels</t>
  </si>
  <si>
    <t>Gestion des états de frais</t>
  </si>
  <si>
    <t>UST</t>
  </si>
  <si>
    <t>Log des évènements</t>
  </si>
  <si>
    <t>Compatibilité EDGE Chromium</t>
  </si>
  <si>
    <t>Référent collège</t>
  </si>
  <si>
    <t>Job MISE A JOUR DES AGENTS</t>
  </si>
  <si>
    <t>Environnement - Architecture</t>
  </si>
  <si>
    <t>[DESIGNER] : EVOLUTIONS S220427_042</t>
  </si>
  <si>
    <t>[DESIGNER] : Module SPT &gt; Suivi des dépenses pour remplacement</t>
  </si>
  <si>
    <t>Demande d'évolution suite à la réorganisation RH</t>
  </si>
  <si>
    <t>PARDO - Externe Bernard &lt;NOVEA\BPARDOEXT&gt;</t>
  </si>
  <si>
    <t>Entretiens professionnels [S220217_131]</t>
  </si>
  <si>
    <t>[DESIGNER] S220506_008 : Adaptation pour RdV.Insertion</t>
  </si>
  <si>
    <t>[DESIGNER] EDITIONS</t>
  </si>
  <si>
    <t>[APEX][DESIGNER] S211124_060 - MODULE SAE - Transport PAME Evol Lot 4</t>
  </si>
  <si>
    <t>[APEX][DESIGNER] S211124_060 - MODULE SAE - Transport PAME Evol Lot 3</t>
  </si>
  <si>
    <t>[DESIGNER] Module SAE - S220510_168 - Evo notifications AE, PAME et Transports</t>
  </si>
  <si>
    <t>[DESIGNER] S220506_008 : Date signature pour le publipostage des contrats</t>
  </si>
  <si>
    <t>[APEX] 505</t>
  </si>
  <si>
    <t>[DESIGNER] I220523_131 : gestion des dates de virement : suppression d'un virement</t>
  </si>
  <si>
    <t>[DESIGNER] S220524_208 : ERGONOMIE</t>
  </si>
  <si>
    <t>[SXR] Endpoint pour lister les sous-actions non financières</t>
  </si>
  <si>
    <t>Gestion des messages applicatifs</t>
  </si>
  <si>
    <t>[DESIGNER] QUESTIONS</t>
  </si>
  <si>
    <t>[DESIGNER] I220603_115 Facturation</t>
  </si>
  <si>
    <t>[SXR] Permettre la visualisation des personnes sorties de la file active il y a déjà X mois</t>
  </si>
  <si>
    <t>[DESIGNER] I220614_082 ERREUR DE SAISIE</t>
  </si>
  <si>
    <t>[DESIGNER] I220615_002 : Ecran SRS 0050F- Validation des contrats d’insertion</t>
  </si>
  <si>
    <t>Environnement technique</t>
  </si>
  <si>
    <t>[DESIGNER] Edition de document via l'API d'IPU</t>
  </si>
  <si>
    <t>Stabilisation de la GED RH</t>
  </si>
  <si>
    <t>[DESIGNER] Diverses évolutions 17/06/2022</t>
  </si>
  <si>
    <t>EVOLUTION; PI2023.5</t>
  </si>
  <si>
    <t>[DESIGNER] Compléter l'export des allocataires mandatés pour les types différents de APAET</t>
  </si>
  <si>
    <t>Utilisation d'un élément du TermStore dans la GED</t>
  </si>
  <si>
    <t>[DESIGNER] I220627_088 EXTRACTION CESU</t>
  </si>
  <si>
    <t>[DESIGNER] I220630_001 : Message d'erreur sur l'écran SRS0010F</t>
  </si>
  <si>
    <t>GED_MARCHE_Evolutions_diverses_v1.0</t>
  </si>
  <si>
    <t>[DESIGNER] S220712_057 : DGC - Evolution module SAE-Synchronisation param AE</t>
  </si>
  <si>
    <t>PI2023.3</t>
  </si>
  <si>
    <t xml:space="preserve">I220721_126 : incident sur création d'une régul manuelle </t>
  </si>
  <si>
    <t>I220722_007 - Problème sur les flux de travail GED Factures</t>
  </si>
  <si>
    <t>I220726_152 - 66 bibliothèques de service manquantes  dans la GED Factures INTERMEDIAIRE</t>
  </si>
  <si>
    <t>[Designer] Analyse état des stocks</t>
  </si>
  <si>
    <t>[Designer] I220728_095 : Stocks</t>
  </si>
  <si>
    <t>I220728_123 : Résultats incomplets avec la recherche avancée de la GED Marchés</t>
  </si>
  <si>
    <t>Marchés en exécution</t>
  </si>
  <si>
    <t>S220930_042 Evo-Avis de situation des demandes 12/08/2022</t>
  </si>
  <si>
    <t>Suivi de passation</t>
  </si>
  <si>
    <t>PI2023.2</t>
  </si>
  <si>
    <t>SBA</t>
  </si>
  <si>
    <t>Evolution du back office</t>
  </si>
  <si>
    <t>HAINAUT - Externe Fabien &lt;NOVEA\FHAINANTEXT&gt;</t>
  </si>
  <si>
    <t>SRSQCN91V0M1 - Liste des contrats sous .NET</t>
  </si>
  <si>
    <t>DELEPINE - Externe Emie &lt;NOVEA\EDELEPINEEXT&gt;</t>
  </si>
  <si>
    <t>S220825_056 : Diverses évos - Ecrans Affectation Collégiens pour le CPE (référent collège)</t>
  </si>
  <si>
    <t>PI2022.13</t>
  </si>
  <si>
    <t>Mise à jour des templates</t>
  </si>
  <si>
    <t>SRSQCN92V0M1 - Création du contrat d'engagement réciproque sous .NET</t>
  </si>
  <si>
    <t>SRSQCN93V0M1 - Détail du contrat sous .NET</t>
  </si>
  <si>
    <t>I220825_124 : Pb récupération titulaire lors de la création d'un nouveau marché</t>
  </si>
  <si>
    <t>Problème ROC</t>
  </si>
  <si>
    <t>SCMCOLL - Gestion des Subventions</t>
  </si>
  <si>
    <t>PI2023.2; SPECS_ENCOURS</t>
  </si>
  <si>
    <t>I220913_052 : "Délégation" ouverte à tort à l'ensemble des personnes habilitées sur un service</t>
  </si>
  <si>
    <t>[I220915_067] Ano dans les résultats remontés avec la recherche  TOUT</t>
  </si>
  <si>
    <t>SGG</t>
  </si>
  <si>
    <t>[DESIGNER] S220916_104 - Gestion dynamique des signataires</t>
  </si>
  <si>
    <t>PI2022.12</t>
  </si>
  <si>
    <t>I220906_179 Effet de bord ROC</t>
  </si>
  <si>
    <t>[DESIGNER] Reports en Times New Roman</t>
  </si>
  <si>
    <t>S220913_143 - APM/ Univers BO</t>
  </si>
  <si>
    <t>[SXR] Ajouter dans l'export CSV des files actives le motif de convocation</t>
  </si>
  <si>
    <t>[SXR] Donner l'activité des enfants d'un bénéficiaire</t>
  </si>
  <si>
    <t>[SXR] Donner l'activité et le référent du conjoint du bénéficiaire</t>
  </si>
  <si>
    <t>[SXR] Convertir la plateforme du conjoint en objet</t>
  </si>
  <si>
    <t>GED Factures Nouveau profil utilisateur Référent v1.0</t>
  </si>
  <si>
    <t>Macro-planif; PI2023.4</t>
  </si>
  <si>
    <t>SAT</t>
  </si>
  <si>
    <t>Incident ROC</t>
  </si>
  <si>
    <t>I220927_192 : Possibilité de créer un marché avec le millésime sur deux caractères au lieu de 4</t>
  </si>
  <si>
    <t>[SXR] Modification requète activité</t>
  </si>
  <si>
    <t>[DESIGNER] S220930_130 EVOLUTION Extraction CESU + Extraction DOMIPHONE</t>
  </si>
  <si>
    <t>Macro-chiffrage; PI2023.7</t>
  </si>
  <si>
    <t>HRX</t>
  </si>
  <si>
    <t>CRÉER UNE DEMANDE</t>
  </si>
  <si>
    <t>FED 2.3.20.0 : pb fonction RECHERCHE en PREPROD</t>
  </si>
  <si>
    <t>SERVINO - Externe Adaya &lt;NOVEA\ASERVINOEXT&gt;</t>
  </si>
  <si>
    <t>IQR et PPR - Pb éléments remontés dans la Web Part "Factures non communiquées à Coriolis"</t>
  </si>
  <si>
    <t>[SXR] Accepter les valeurs "Oui" et "Non" en paramètre de l'endpoint actions</t>
  </si>
  <si>
    <t xml:space="preserve"> Fonctions transverses (GED Dll Common)</t>
  </si>
  <si>
    <t>Fonctions transverses (GED Dll Common)</t>
  </si>
  <si>
    <t>[DESIGNER] S221010_235 : DGC - Evolution module SPT</t>
  </si>
  <si>
    <t>[SXR] Hotfix : trier les queries par ID</t>
  </si>
  <si>
    <t>[DESIGNER] I221011_182 : Absence de contrôle lors de la création d’un contrat lorsqu’un autre contrat est déjà en cours (SRS0030F)</t>
  </si>
  <si>
    <t>S221012_XXX - Divers correctifs - Menus déroulants</t>
  </si>
  <si>
    <t>HAMZE - Externe Samah &lt;NOVEA\SHAMZEEXT&gt;</t>
  </si>
  <si>
    <t>Macro-chiffrage; Macro-planif; PI2023.7</t>
  </si>
  <si>
    <t>[DESIGNER] S221013_042 : DGC - Evolution Gestion droits et mails de Pers Fonct, module SAE</t>
  </si>
  <si>
    <t>PI2022.13 S49S51 v1.4.0</t>
  </si>
  <si>
    <t>[SPS] CI/CD - Etape 1 - Intégration Continue - Sonarqube</t>
  </si>
  <si>
    <t>[SPS] Mise à jour Sharepoint sur environnements</t>
  </si>
  <si>
    <t>NINTEX - Ajout des logs - WKFL Validation Dossier Marché</t>
  </si>
  <si>
    <t>ARCHITECTURE</t>
  </si>
  <si>
    <t>NINTEX -	Documentation Technique « gestion des Exceptions NINTEX »</t>
  </si>
  <si>
    <t>NINTEX - Documentation Maintenance « Exceptions NINTEX »</t>
  </si>
  <si>
    <t>I221018_102 Suppression d'inscrits loisir</t>
  </si>
  <si>
    <t>Authentification Keycloak</t>
  </si>
  <si>
    <t>Gestion des OMP</t>
  </si>
  <si>
    <t xml:space="preserve">[I221019_176] : Affichage d'un champ "Contrôlé" en trop sur les propriétés du document dans les 2 nouveaux DAS (PRD) </t>
  </si>
  <si>
    <t xml:space="preserve"> I221020_186 : Message d'erreur "L'identifiant de corrélation de l'erreur est ..."</t>
  </si>
  <si>
    <t>I221020_179 : Message "enregistré" s'affiche mais l'information concernant le binôme n'est en fait pas enregistré</t>
  </si>
  <si>
    <t>Evolution Copie de document</t>
  </si>
  <si>
    <t>[API] GÉRER LES RÔLES ET PERMISSIONS</t>
  </si>
  <si>
    <t>[SXR] Afficher le champ affectation.date_insertion</t>
  </si>
  <si>
    <t>Bibliothèques de services (DAS)</t>
  </si>
  <si>
    <t>[DESIGNER]  S221110_114 : DGC / Evol VIVIER : Suite à l'ajout du Matricule et demande DRH</t>
  </si>
  <si>
    <t>Macro-planif; PI2022.12 S47S48 v1.3.0</t>
  </si>
  <si>
    <t>I221114_041 : Aucun indicateur à jour</t>
  </si>
  <si>
    <t>VALIDER DES DEMANDES</t>
  </si>
  <si>
    <t>GÉRER DES RÔLES</t>
  </si>
  <si>
    <t>Téléchargement d'une PJ I221121_195</t>
  </si>
  <si>
    <t>Export des données</t>
  </si>
  <si>
    <t>Indiquer les infos Pole-emploi sous forme de pkObject</t>
  </si>
  <si>
    <t>[SXR] Sasie de contrats dans SRS</t>
  </si>
  <si>
    <t>[SXR] Ajouter la colonne c.COM_COUR à l'export CSV de la file active</t>
  </si>
  <si>
    <t>[I221103_165][I221124_186]Dégradation temps de réponse</t>
  </si>
  <si>
    <t>[I221201_001] : Problème sur les listes des OMP</t>
  </si>
  <si>
    <t>Evolution Marché à lot (numéro Marco)</t>
  </si>
  <si>
    <t>Evolution Ma page (Mon Espace)</t>
  </si>
  <si>
    <t>Autres demandes diverses d'évolution</t>
  </si>
  <si>
    <t>Modifier le script MajFacture_Blocage</t>
  </si>
  <si>
    <t>HAMROUNI - Externe Chayma &lt;NOVEA\CHAMROUNIEXT&gt;</t>
  </si>
  <si>
    <t>PI2023.8</t>
  </si>
  <si>
    <t>[SXR] Référentiel codes ROME</t>
  </si>
  <si>
    <t>Diverses évolutions - demandes du 05/12/2022</t>
  </si>
  <si>
    <t>PI2023.9</t>
  </si>
  <si>
    <t>[WEB] INTEROPÉRABILITÉ AVEC LES AUTRES APPLICATIONS</t>
  </si>
  <si>
    <t>I221209_029 : Problème Pb archivage documents du marché 889-2020</t>
  </si>
  <si>
    <t>[DESIGNER] EVOLUTIONS S221208_294 prise en compte fonctionnalités AS-TECH</t>
  </si>
  <si>
    <t>Retour de recette V3.3.0 (Stabilisation)</t>
  </si>
  <si>
    <t>Analyse des résultats lors de la recherche ALL*</t>
  </si>
  <si>
    <t>Modification du mode Maintenance</t>
  </si>
  <si>
    <t>Feature test : Itération indentée</t>
  </si>
  <si>
    <t>EVOL; Macro-chiffrage; PI2023.9; TMA</t>
  </si>
  <si>
    <t>[APEX] I221212_076 : Module SIC – Application côté Collège (APEX 501) – Missions ATI</t>
  </si>
  <si>
    <t>I221212_126 : impossible de choisir un vétérinaire et un élevage pour les agents labo_N1</t>
  </si>
  <si>
    <t>[DESIGNER] I221011_182 : Création/Renouvellement de contrat</t>
  </si>
  <si>
    <t>PI2023.1</t>
  </si>
  <si>
    <t>Analyse compte Utilisateur</t>
  </si>
  <si>
    <t>[Designer] Détail d'une demande</t>
  </si>
  <si>
    <t>Coordinateur DGA (Evolutions diverses v1.0)</t>
  </si>
  <si>
    <t>FABRE - Externe Mathis &lt;NOVEA\MFABREEXT&gt;</t>
  </si>
  <si>
    <t>Macro-chiffrage</t>
  </si>
  <si>
    <t>[DESIGNER] S230111_096 - Evol Module SPT - Demande remplacement : Ajout colonne dans Extraction Excel DRH</t>
  </si>
  <si>
    <t>EVOL; Macro-chiffrage; PI2023.1; TMA</t>
  </si>
  <si>
    <t>HAP</t>
  </si>
  <si>
    <t>Effet de bord ROC</t>
  </si>
  <si>
    <t>Architecture</t>
  </si>
  <si>
    <t>[APEX] S230117_149 : SIRACUSE (DGC) -Apex 501 : Cacher les points d’accès aux données Subventions LPDMA</t>
  </si>
  <si>
    <t>EVOL; Macro-chiffrage; PI2023.2; TMA</t>
  </si>
  <si>
    <t>HGS</t>
  </si>
  <si>
    <t>Stagiaire</t>
  </si>
  <si>
    <t>Nettoyage du référentiel existant "Direction émettrice" dans la banque des termes</t>
  </si>
  <si>
    <t>Evolution sur le logo de la page de la recherche avancée</t>
  </si>
  <si>
    <t>Evolution champ "Gestionnaire du dossier" du dossier marché en bibliothèque de réception</t>
  </si>
  <si>
    <t>Générer dynamiquement le popup de publipostage</t>
  </si>
  <si>
    <t>[Java]Saisie des déplacements</t>
  </si>
  <si>
    <t xml:space="preserve">Demande de transposition de la Bibliothèque initiale 034220A vers la Bibliothèque 034230D </t>
  </si>
  <si>
    <t>Demande de modification du lien sur le logo MDPH</t>
  </si>
  <si>
    <t>[Stabilisation] Supprimer le rafraichissement lors de l'affichage des pages dans l'enveloppe de paye</t>
  </si>
  <si>
    <t>Import RDB</t>
  </si>
  <si>
    <t>Modifier message utilisateur sur écran "Ajouter un collégien"</t>
  </si>
  <si>
    <t>[I230203_067] GED RH - Support relatif à des questions sur le fonctionnement technique</t>
  </si>
  <si>
    <t>[DESIGNER] S230206_195 : Evolution DGC : Extraction Vivier et Paramètre Annee_Theme</t>
  </si>
  <si>
    <t>EVOL; Macro-chiffrage; TMA</t>
  </si>
  <si>
    <t>[DESIGNER]  S230206_243 : DAS - Evolution courrier Rejet Paiement (Demande de pièce)</t>
  </si>
  <si>
    <t>I230208_096 : Le choix d’un collégien n’est pas pris en compte</t>
  </si>
  <si>
    <t>I230208_148 : Pb fonction "Déplacer un dossier marché" sur des marchés en PRD</t>
  </si>
  <si>
    <t>[DESIGNER] S230209_225 : Adaptation du courrier des sanctions aux radiations</t>
  </si>
  <si>
    <t>PI2023.6</t>
  </si>
  <si>
    <t>[DESIGNER] S230210_190 Aide sociale-Editions APA : évolution règlementaire</t>
  </si>
  <si>
    <t>S230210_204 Evo pour campagne des entretiens 2023</t>
  </si>
  <si>
    <t>Correctif divers irritants avant MEP</t>
  </si>
  <si>
    <t>I230221_098 : Pb de factures en double en PRD</t>
  </si>
  <si>
    <t>Publipostage</t>
  </si>
  <si>
    <t>SRSQCN91V0M1 - Architecture et environnement</t>
  </si>
  <si>
    <t>Montée de version du Framework</t>
  </si>
  <si>
    <t>[I230227_199] [Apex] Onglet AE</t>
  </si>
  <si>
    <t>Etude du référentiel de développement Designer</t>
  </si>
  <si>
    <t>[SXR] Integration continue</t>
  </si>
  <si>
    <t>[APEX][DESIGNER] S230306_243 - Module SAE : Paramétrage PAME et Amélioration dispositif PAME</t>
  </si>
  <si>
    <t>Macro-chiffrage; PI2023.3</t>
  </si>
  <si>
    <t>[DESIGNER] S230308_183 Module SPT - Demande remplacement : Modifier colonne COLLEGE dans Extraction Excel DRH</t>
  </si>
  <si>
    <t>[Designer] Modification BDD SAP (procédure pré-affichage)</t>
  </si>
  <si>
    <t>[Nouveau Profil Référent] - Délégation pour une période donnée (2)</t>
  </si>
  <si>
    <t>[I230313_042]Accès au dossier de Mourad BENAMAR matricule 1740010</t>
  </si>
  <si>
    <t>[DESIGNER] S220930_130 EVOLUTION Ecran Gérer PCH/TSPH (SGL2340F)</t>
  </si>
  <si>
    <t>Macro-chiffrage; PI2023.8</t>
  </si>
  <si>
    <t>Evolution WikiFaitQui (1)</t>
  </si>
  <si>
    <t>Evolution GED Intermédiaire</t>
  </si>
  <si>
    <t>ROBERT - Externe Isabelle &lt;NOVEA\IROBERTEXT&gt;</t>
  </si>
  <si>
    <t>MDPH</t>
  </si>
  <si>
    <t>[S230327_202] Evolution Site internet MDPH (SPH)</t>
  </si>
  <si>
    <t>Packager la GED MARCHES depuis la dernière MEP (Evolution hors coordinateur DGA))</t>
  </si>
  <si>
    <t>GTE_NEWTEAM</t>
  </si>
  <si>
    <t>Evolution New Teams V2</t>
  </si>
  <si>
    <t>Authentification Agents et Collège</t>
  </si>
  <si>
    <t>Rôle ADHERENT</t>
  </si>
  <si>
    <t>Formulaire de demande ticket culture</t>
  </si>
  <si>
    <t>Carte escapade</t>
  </si>
  <si>
    <t>[I230331_079] Documents bloqués en bibliothèque de remise</t>
  </si>
  <si>
    <t>[Nouveau Profil Référent] - Circuits en retard (3)</t>
  </si>
  <si>
    <t>I230407_024  Analyse requête APM - Appelée trop souvent</t>
  </si>
  <si>
    <t>S230407_018 - Diverses évolutions-N°UF et libellé Stratégique et suppression message</t>
  </si>
  <si>
    <t>[DESIGNER] Modification liée à refonte SRS .NET</t>
  </si>
  <si>
    <t>[APEX] 501 contrôle Priorité quand forcée CD13</t>
  </si>
  <si>
    <t>[DESIGNER]Nom signataire pour l'aide APAD</t>
  </si>
  <si>
    <t>S230407_018 - Intégrer N°UF dans import RDB</t>
  </si>
  <si>
    <t>PI2023.10</t>
  </si>
  <si>
    <t>I230413_070 : Authentification IQR keycloak</t>
  </si>
  <si>
    <t>Demande d'afficher un message spécifique si l'agent n'a pas d'autorisation sur la GED MARCHES</t>
  </si>
  <si>
    <t>[I230420_096] GED RH PROD - Documents bloqués en bibliothèque de remise</t>
  </si>
  <si>
    <t>S230109_256 : Lot 2 - Gestion des adhérents qui n'existent plus dans HR access</t>
  </si>
  <si>
    <t>[DESIGNER] I230424_146 : Edition fiche de liaison</t>
  </si>
  <si>
    <t>Demande de Transposition 1515 -&gt; 2550 (DFEN)</t>
  </si>
  <si>
    <t>GED_MARCHE_Evolutions_diverses_v1.0 - Suite</t>
  </si>
  <si>
    <t>Evolution de l'ensemble de Menu de l'application</t>
  </si>
  <si>
    <t>PI2023.12</t>
  </si>
  <si>
    <t>[DESIGNER] Gestion des adresses - SDF</t>
  </si>
  <si>
    <t>Décocher la case "Envoyer une invitation électronique" lors de l'ajout des agents à un groupe d'autorisation</t>
  </si>
  <si>
    <t>SRSQCN105V0M1 - Liste des contrats à répartir</t>
  </si>
  <si>
    <t>SRSQCN106V0M1 - Liste des contrats à instruire</t>
  </si>
  <si>
    <t>[DESIGNER] Evolution pour la refonte des contrats .NET</t>
  </si>
  <si>
    <t xml:space="preserve">[SPS] CI/CD - Nommage des releases </t>
  </si>
  <si>
    <t>Evolution WikiFaitQuoi (2)</t>
  </si>
  <si>
    <t>Evolution MENU Niveau 3</t>
  </si>
  <si>
    <t>[Planning] Modifier le traitement d'alimentation de la liste "Période de paye" lors de l'ajout d'un élément</t>
  </si>
  <si>
    <t>[Timer Job "Envoi à Coriolis"] Sécuriser le code du Timer Job</t>
  </si>
  <si>
    <t>[I230531_107] [I230605_046] problème remontée véhicule dans WEB FD</t>
  </si>
  <si>
    <t>Packager une version GED MARCHES AED-2.6.0.x Annulation Millesime</t>
  </si>
  <si>
    <t>[Designer] Référentiel source</t>
  </si>
  <si>
    <t>[.NET] S230607_180 - SCMCOLL - Grille auto-labellisation Lot 1</t>
  </si>
  <si>
    <t>[.NET] S230607_180 - SCMCOLL - Mailing suivi situation Lot 2</t>
  </si>
  <si>
    <t>[.NET] S230607_180 - SCMCOLL - Subvention LPDMA Lot3</t>
  </si>
  <si>
    <t>Empêcher la création d'un conteneur dossier marché vide</t>
  </si>
  <si>
    <t>Pb Environnement PPD  déploiement script GED Intermédiaire</t>
  </si>
  <si>
    <t>EVOLUTION DU PROFIL UTILISATEUR LABO_1</t>
  </si>
  <si>
    <t>[DESIGNER][I230615_167] Erreur lors de la création d'une facturation</t>
  </si>
  <si>
    <t>S230615_168 - tableau de programmation : Code couleur</t>
  </si>
  <si>
    <t>[Designer] TS</t>
  </si>
  <si>
    <t>[Designer] S230616_199 - Evolution d'une édition Designer pour tenir compte du changement de nom d'un service</t>
  </si>
  <si>
    <t>[Designer] [S230616_200] Evolution d'une édition pour tenir compte du changement de nom d'un service</t>
  </si>
  <si>
    <t>[I230606_154]Problème de pagination lors de la recherche "gestion des demandes"</t>
  </si>
  <si>
    <t>Mise à jour Page Accueil GED FACTURES, GED MARCHES, GED RH (env SSG)</t>
  </si>
  <si>
    <t>Déménagement sur le site PIXELIA</t>
  </si>
  <si>
    <t>[DESIGNER] [Priorité haute] Diverses évolutions N°2 du 16/06/2023</t>
  </si>
  <si>
    <t>[Apex] S230616_171 - Evo 2024 - LOT 1 - Paramétrage ANNEE_FICHE et Inscription AE (APEX 505)</t>
  </si>
  <si>
    <t>[Apex] S230616_171 - Evo 2024 - LOT 2 - Gestion AE, Gestion PAME (APEX 501)</t>
  </si>
  <si>
    <t>[Designer] S230616_171 - Evo 2024 - LOT 3 - Gestion AE</t>
  </si>
  <si>
    <t>SIR</t>
  </si>
  <si>
    <t>[DESIGNER] I230619_303 : Edition des bordereaux</t>
  </si>
  <si>
    <t>Optimisation de la gestion de document bouclant en biblio de remise</t>
  </si>
  <si>
    <t>Evolution Webparts</t>
  </si>
  <si>
    <t>Evolution Accueil de niveau 3</t>
  </si>
  <si>
    <t>Page d'Accueil du portail</t>
  </si>
  <si>
    <t>Evolution Design du site : Front-Office</t>
  </si>
  <si>
    <t>[DESIGNER] S230626_199 - FIC - Notification Présidente : Changement table source pour les subventions LPDMA</t>
  </si>
  <si>
    <t>[DESIGNER] S230627_137 - SAE - Modification édition Notification et Convention pour Association</t>
  </si>
  <si>
    <t>[DESIGNER] I230627_191 Corriger recherche sur matricule inconnu dans écran de suivi des actions</t>
  </si>
  <si>
    <t>[DESIGNER] S230627_180 - DAS - Evolution courrier Notification et Bordereau mandatement : Ajout Logo TRIMAN</t>
  </si>
  <si>
    <t>[DESIGNER] S230630_135 - Adaptation des courriers au déménagement de la DINSE sur Pixelia</t>
  </si>
  <si>
    <t>[DESIGNER] S230630_136 - Adaptation des éditions au déménagement de la DINSE sur le site de Pixelia</t>
  </si>
  <si>
    <t>Evolution fonction "Archivage Manuel"</t>
  </si>
  <si>
    <t>[Planning] Griser les jours qui ne sont pas du mois courant</t>
  </si>
  <si>
    <t>Evolution Droit de Rejet Direct</t>
  </si>
  <si>
    <t>[I230630_201] Problème d'accès aux fiches du WikiFaitQuoi sur Intranet</t>
  </si>
  <si>
    <t>[DESIGNER] S230705_106 - SAE-AE - Gestion dynamique du n° de rapport CP sur Report Convention AE pour Association</t>
  </si>
  <si>
    <t>[I230717_247] Bordereaux d'exonération (total, partielles et rejets)  incomplet à la réédition</t>
  </si>
  <si>
    <t>Incident</t>
  </si>
  <si>
    <t>SRSQCN109V0M2 - Edition des courriers contrat sous .NET</t>
  </si>
  <si>
    <t>[DESIGNER] [Priorité moyenne] Diverses évolutions N°2 du 16/06/2023</t>
  </si>
  <si>
    <t>SRSQCN110V0M1 - Administration des pôles d'insertion</t>
  </si>
  <si>
    <t>[DESIGNER] S230719_163 Modification du nom du service sur la décision de rétablissement produite par patch</t>
  </si>
  <si>
    <t>[I230720_058]  Erreur génération automatique du bulletin de situation de l’agent</t>
  </si>
  <si>
    <t>BONNARD - Externe Adrien &lt;NOVEA\ABONNARDEXT&gt;</t>
  </si>
  <si>
    <t>[DESIGNER] Assistance migration SGL vers IODAS</t>
  </si>
  <si>
    <t>Maveniser HFD et intégrer dans PIC CD13 déploiement</t>
  </si>
  <si>
    <t>Problème sur les listes des 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</si>
</sst>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_-;\-* #,##0.0_-;_-* &quot;-&quot;??_-;_-@_-"/>
    <numFmt numFmtId="166" formatCode="_-* #,##0\ _€_-;\-* #,##0\ _€_-;_-* &quot;-&quot;?\ _€_-;_-@_-"/>
    <numFmt numFmtId="167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808080"/>
      <name val="Calibri"/>
      <family val="2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Segoe UI"/>
      <family val="2"/>
    </font>
    <font>
      <sz val="11"/>
      <color rgb="FF808080"/>
      <name val="Calibri"/>
      <family val="2"/>
    </font>
    <font>
      <b/>
      <strike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F8FD"/>
        <bgColor indexed="64"/>
      </patternFill>
    </fill>
    <fill>
      <patternFill patternType="solid">
        <fgColor rgb="FF00D66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EC3CF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41719C"/>
      </left>
      <right style="thin">
        <color rgb="FF41719C"/>
      </right>
      <top style="thin">
        <color rgb="FF41719C"/>
      </top>
      <bottom style="thin">
        <color rgb="FF41719C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0" fontId="2" fillId="0" borderId="3" xfId="0" applyFont="1" applyBorder="1"/>
    <xf numFmtId="0" fontId="0" fillId="6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5" fontId="0" fillId="0" borderId="0" xfId="0" applyNumberFormat="1"/>
    <xf numFmtId="0" fontId="2" fillId="7" borderId="5" xfId="0" applyFont="1" applyFill="1" applyBorder="1"/>
    <xf numFmtId="0" fontId="0" fillId="8" borderId="6" xfId="0" applyFill="1" applyBorder="1"/>
    <xf numFmtId="0" fontId="0" fillId="0" borderId="11" xfId="0" applyBorder="1"/>
    <xf numFmtId="16" fontId="0" fillId="0" borderId="0" xfId="0" applyNumberFormat="1"/>
    <xf numFmtId="0" fontId="2" fillId="0" borderId="0" xfId="0" applyFont="1"/>
    <xf numFmtId="2" fontId="0" fillId="0" borderId="13" xfId="0" applyNumberFormat="1" applyBorder="1"/>
    <xf numFmtId="2" fontId="0" fillId="0" borderId="15" xfId="0" applyNumberFormat="1" applyBorder="1"/>
    <xf numFmtId="0" fontId="0" fillId="0" borderId="13" xfId="0" applyBorder="1"/>
    <xf numFmtId="0" fontId="3" fillId="0" borderId="0" xfId="0" applyFont="1"/>
    <xf numFmtId="164" fontId="3" fillId="0" borderId="0" xfId="0" applyNumberFormat="1" applyFont="1"/>
    <xf numFmtId="0" fontId="0" fillId="2" borderId="14" xfId="0" applyFill="1" applyBorder="1"/>
    <xf numFmtId="2" fontId="0" fillId="2" borderId="15" xfId="0" applyNumberFormat="1" applyFill="1" applyBorder="1"/>
    <xf numFmtId="0" fontId="0" fillId="2" borderId="11" xfId="0" applyFill="1" applyBorder="1"/>
    <xf numFmtId="2" fontId="0" fillId="2" borderId="13" xfId="0" applyNumberFormat="1" applyFill="1" applyBorder="1"/>
    <xf numFmtId="0" fontId="0" fillId="0" borderId="16" xfId="0" applyBorder="1"/>
    <xf numFmtId="0" fontId="0" fillId="0" borderId="1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" fontId="0" fillId="6" borderId="0" xfId="0" applyNumberFormat="1" applyFill="1"/>
    <xf numFmtId="0" fontId="6" fillId="0" borderId="0" xfId="0" applyFont="1" applyAlignment="1">
      <alignment vertical="center"/>
    </xf>
    <xf numFmtId="0" fontId="0" fillId="9" borderId="0" xfId="0" applyFill="1"/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166" fontId="0" fillId="0" borderId="0" xfId="0" applyNumberFormat="1" applyAlignment="1">
      <alignment horizontal="right"/>
    </xf>
    <xf numFmtId="0" fontId="0" fillId="12" borderId="0" xfId="0" applyFill="1"/>
    <xf numFmtId="0" fontId="7" fillId="0" borderId="0" xfId="0" applyFont="1"/>
    <xf numFmtId="2" fontId="0" fillId="0" borderId="11" xfId="0" applyNumberFormat="1" applyBorder="1"/>
    <xf numFmtId="0" fontId="2" fillId="7" borderId="3" xfId="0" applyFont="1" applyFill="1" applyBorder="1"/>
    <xf numFmtId="0" fontId="8" fillId="0" borderId="0" xfId="0" applyFont="1"/>
    <xf numFmtId="167" fontId="0" fillId="0" borderId="0" xfId="0" applyNumberFormat="1"/>
    <xf numFmtId="0" fontId="0" fillId="14" borderId="0" xfId="0" applyFill="1"/>
    <xf numFmtId="0" fontId="0" fillId="15" borderId="0" xfId="0" applyFill="1"/>
    <xf numFmtId="0" fontId="2" fillId="13" borderId="3" xfId="0" applyFont="1" applyFill="1" applyBorder="1"/>
    <xf numFmtId="0" fontId="2" fillId="13" borderId="22" xfId="0" applyFont="1" applyFill="1" applyBorder="1"/>
    <xf numFmtId="0" fontId="7" fillId="0" borderId="0" xfId="0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vertical="center"/>
    </xf>
    <xf numFmtId="0" fontId="0" fillId="0" borderId="24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9" fontId="0" fillId="0" borderId="0" xfId="2" applyFont="1"/>
    <xf numFmtId="2" fontId="3" fillId="0" borderId="0" xfId="0" applyNumberFormat="1" applyFont="1"/>
    <xf numFmtId="0" fontId="3" fillId="18" borderId="8" xfId="0" applyFont="1" applyFill="1" applyBorder="1" applyAlignment="1">
      <alignment horizontal="left"/>
    </xf>
    <xf numFmtId="0" fontId="3" fillId="18" borderId="28" xfId="0" applyFont="1" applyFill="1" applyBorder="1" applyAlignment="1">
      <alignment horizontal="left"/>
    </xf>
    <xf numFmtId="0" fontId="3" fillId="18" borderId="27" xfId="0" applyFont="1" applyFill="1" applyBorder="1" applyAlignment="1">
      <alignment horizontal="left"/>
    </xf>
    <xf numFmtId="0" fontId="3" fillId="17" borderId="33" xfId="0" applyFont="1" applyFill="1" applyBorder="1" applyAlignment="1">
      <alignment horizontal="left"/>
    </xf>
    <xf numFmtId="0" fontId="3" fillId="17" borderId="28" xfId="0" applyFont="1" applyFill="1" applyBorder="1" applyAlignment="1">
      <alignment horizontal="left"/>
    </xf>
    <xf numFmtId="0" fontId="3" fillId="17" borderId="27" xfId="0" applyFont="1" applyFill="1" applyBorder="1" applyAlignment="1">
      <alignment horizontal="left"/>
    </xf>
    <xf numFmtId="1" fontId="3" fillId="16" borderId="27" xfId="0" applyNumberFormat="1" applyFont="1" applyFill="1" applyBorder="1" applyAlignment="1">
      <alignment horizontal="left"/>
    </xf>
    <xf numFmtId="0" fontId="3" fillId="16" borderId="8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/>
    <xf numFmtId="165" fontId="9" fillId="0" borderId="0" xfId="0" applyNumberFormat="1" applyFont="1"/>
    <xf numFmtId="166" fontId="9" fillId="0" borderId="0" xfId="0" applyNumberFormat="1" applyFont="1" applyAlignment="1">
      <alignment horizontal="right"/>
    </xf>
    <xf numFmtId="0" fontId="0" fillId="4" borderId="1" xfId="0" applyFill="1" applyBorder="1"/>
    <xf numFmtId="0" fontId="0" fillId="0" borderId="35" xfId="0" applyBorder="1"/>
    <xf numFmtId="2" fontId="0" fillId="0" borderId="0" xfId="0" applyNumberFormat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7" xfId="0" applyBorder="1"/>
    <xf numFmtId="0" fontId="3" fillId="17" borderId="31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31" xfId="0" applyFont="1" applyFill="1" applyBorder="1" applyAlignment="1">
      <alignment horizontal="center"/>
    </xf>
    <xf numFmtId="0" fontId="3" fillId="18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0" fillId="0" borderId="0" xfId="1" applyNumberFormat="1" applyFont="1" applyAlignment="1">
      <alignment horizontal="center"/>
    </xf>
    <xf numFmtId="0" fontId="0" fillId="0" borderId="19" xfId="0" applyBorder="1"/>
    <xf numFmtId="0" fontId="0" fillId="0" borderId="44" xfId="0" applyBorder="1"/>
    <xf numFmtId="0" fontId="0" fillId="0" borderId="54" xfId="0" applyBorder="1"/>
    <xf numFmtId="0" fontId="0" fillId="0" borderId="55" xfId="0" applyBorder="1"/>
    <xf numFmtId="0" fontId="3" fillId="0" borderId="50" xfId="0" applyFont="1" applyBorder="1"/>
    <xf numFmtId="0" fontId="0" fillId="0" borderId="27" xfId="0" applyBorder="1"/>
    <xf numFmtId="0" fontId="3" fillId="19" borderId="0" xfId="0" applyFont="1" applyFill="1"/>
    <xf numFmtId="9" fontId="3" fillId="0" borderId="0" xfId="0" applyNumberFormat="1" applyFont="1"/>
    <xf numFmtId="0" fontId="0" fillId="0" borderId="0" xfId="0" applyAlignment="1">
      <alignment vertical="top" wrapText="1"/>
    </xf>
    <xf numFmtId="1" fontId="3" fillId="0" borderId="0" xfId="0" applyNumberFormat="1" applyFont="1" applyAlignment="1">
      <alignment horizontal="left"/>
    </xf>
    <xf numFmtId="167" fontId="3" fillId="0" borderId="0" xfId="0" applyNumberFormat="1" applyFont="1"/>
    <xf numFmtId="0" fontId="0" fillId="0" borderId="16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20" borderId="57" xfId="0" applyFill="1" applyBorder="1"/>
    <xf numFmtId="0" fontId="0" fillId="21" borderId="57" xfId="0" applyFill="1" applyBorder="1"/>
    <xf numFmtId="0" fontId="0" fillId="22" borderId="57" xfId="0" applyFill="1" applyBorder="1"/>
    <xf numFmtId="0" fontId="0" fillId="24" borderId="57" xfId="0" applyFill="1" applyBorder="1"/>
    <xf numFmtId="0" fontId="0" fillId="14" borderId="57" xfId="0" applyFill="1" applyBorder="1"/>
    <xf numFmtId="0" fontId="0" fillId="4" borderId="57" xfId="0" applyFill="1" applyBorder="1"/>
    <xf numFmtId="0" fontId="3" fillId="0" borderId="58" xfId="0" applyFont="1" applyBorder="1"/>
    <xf numFmtId="0" fontId="3" fillId="0" borderId="2" xfId="0" applyFont="1" applyBorder="1"/>
    <xf numFmtId="0" fontId="3" fillId="0" borderId="36" xfId="0" applyFont="1" applyBorder="1"/>
    <xf numFmtId="16" fontId="3" fillId="0" borderId="56" xfId="0" applyNumberFormat="1" applyFont="1" applyBorder="1"/>
    <xf numFmtId="16" fontId="3" fillId="0" borderId="2" xfId="0" applyNumberFormat="1" applyFont="1" applyBorder="1"/>
    <xf numFmtId="16" fontId="3" fillId="0" borderId="36" xfId="0" applyNumberFormat="1" applyFont="1" applyBorder="1"/>
    <xf numFmtId="0" fontId="0" fillId="0" borderId="63" xfId="0" applyBorder="1"/>
    <xf numFmtId="0" fontId="4" fillId="0" borderId="0" xfId="0" applyFont="1"/>
    <xf numFmtId="167" fontId="0" fillId="0" borderId="51" xfId="0" applyNumberFormat="1" applyBorder="1"/>
    <xf numFmtId="167" fontId="0" fillId="0" borderId="47" xfId="0" applyNumberFormat="1" applyBorder="1"/>
    <xf numFmtId="167" fontId="0" fillId="0" borderId="62" xfId="0" applyNumberFormat="1" applyBorder="1"/>
    <xf numFmtId="167" fontId="3" fillId="16" borderId="27" xfId="0" applyNumberFormat="1" applyFont="1" applyFill="1" applyBorder="1" applyAlignment="1">
      <alignment horizontal="left"/>
    </xf>
    <xf numFmtId="14" fontId="12" fillId="0" borderId="0" xfId="0" applyNumberFormat="1" applyFont="1"/>
    <xf numFmtId="14" fontId="0" fillId="0" borderId="1" xfId="0" applyNumberFormat="1" applyBorder="1"/>
    <xf numFmtId="0" fontId="0" fillId="0" borderId="25" xfId="0" applyBorder="1"/>
    <xf numFmtId="0" fontId="3" fillId="0" borderId="0" xfId="0" applyFont="1" applyAlignment="1">
      <alignment wrapText="1"/>
    </xf>
    <xf numFmtId="167" fontId="0" fillId="25" borderId="0" xfId="0" applyNumberFormat="1" applyFill="1"/>
    <xf numFmtId="167" fontId="0" fillId="25" borderId="0" xfId="0" applyNumberFormat="1" applyFill="1" applyAlignment="1">
      <alignment vertical="center"/>
    </xf>
    <xf numFmtId="0" fontId="0" fillId="0" borderId="25" xfId="0" applyBorder="1" applyAlignment="1">
      <alignment vertical="center"/>
    </xf>
    <xf numFmtId="0" fontId="3" fillId="19" borderId="25" xfId="0" applyFont="1" applyFill="1" applyBorder="1"/>
    <xf numFmtId="0" fontId="0" fillId="6" borderId="25" xfId="0" applyFill="1" applyBorder="1"/>
    <xf numFmtId="0" fontId="0" fillId="0" borderId="71" xfId="0" applyBorder="1"/>
    <xf numFmtId="0" fontId="0" fillId="0" borderId="72" xfId="0" applyBorder="1"/>
    <xf numFmtId="167" fontId="0" fillId="0" borderId="74" xfId="0" applyNumberFormat="1" applyBorder="1"/>
    <xf numFmtId="0" fontId="0" fillId="0" borderId="75" xfId="0" applyBorder="1"/>
    <xf numFmtId="0" fontId="0" fillId="0" borderId="76" xfId="0" applyBorder="1"/>
    <xf numFmtId="0" fontId="6" fillId="0" borderId="0" xfId="0" applyFont="1"/>
    <xf numFmtId="0" fontId="13" fillId="19" borderId="0" xfId="0" applyFont="1" applyFill="1"/>
    <xf numFmtId="0" fontId="14" fillId="0" borderId="0" xfId="0" applyFont="1" applyAlignment="1">
      <alignment vertical="center"/>
    </xf>
    <xf numFmtId="0" fontId="0" fillId="0" borderId="77" xfId="0" applyBorder="1"/>
    <xf numFmtId="0" fontId="0" fillId="0" borderId="9" xfId="0" applyBorder="1"/>
    <xf numFmtId="0" fontId="0" fillId="26" borderId="0" xfId="0" applyFill="1"/>
    <xf numFmtId="0" fontId="15" fillId="11" borderId="78" xfId="0" applyFont="1" applyFill="1" applyBorder="1"/>
    <xf numFmtId="0" fontId="0" fillId="16" borderId="0" xfId="0" applyFill="1"/>
    <xf numFmtId="0" fontId="0" fillId="23" borderId="78" xfId="0" applyFill="1" applyBorder="1"/>
    <xf numFmtId="9" fontId="0" fillId="0" borderId="79" xfId="0" applyNumberFormat="1" applyBorder="1"/>
    <xf numFmtId="9" fontId="0" fillId="0" borderId="68" xfId="0" applyNumberFormat="1" applyBorder="1"/>
    <xf numFmtId="0" fontId="0" fillId="0" borderId="80" xfId="0" applyBorder="1"/>
    <xf numFmtId="9" fontId="0" fillId="0" borderId="81" xfId="0" applyNumberFormat="1" applyBorder="1"/>
    <xf numFmtId="0" fontId="0" fillId="0" borderId="82" xfId="0" applyBorder="1"/>
    <xf numFmtId="0" fontId="0" fillId="0" borderId="83" xfId="0" applyBorder="1"/>
    <xf numFmtId="0" fontId="0" fillId="0" borderId="17" xfId="0" applyBorder="1"/>
    <xf numFmtId="0" fontId="0" fillId="0" borderId="84" xfId="0" applyBorder="1"/>
    <xf numFmtId="0" fontId="0" fillId="0" borderId="12" xfId="0" applyBorder="1"/>
    <xf numFmtId="0" fontId="0" fillId="0" borderId="9" xfId="0" applyBorder="1" applyAlignment="1">
      <alignment vertical="center"/>
    </xf>
    <xf numFmtId="0" fontId="0" fillId="0" borderId="85" xfId="0" applyBorder="1"/>
    <xf numFmtId="0" fontId="0" fillId="0" borderId="86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87" xfId="0" applyBorder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top" wrapText="1"/>
    </xf>
    <xf numFmtId="2" fontId="0" fillId="3" borderId="0" xfId="0" applyNumberFormat="1" applyFill="1" applyAlignment="1">
      <alignment vertical="top" wrapText="1"/>
    </xf>
    <xf numFmtId="1" fontId="0" fillId="3" borderId="0" xfId="0" applyNumberFormat="1" applyFill="1" applyAlignment="1">
      <alignment vertical="top" wrapText="1"/>
    </xf>
    <xf numFmtId="0" fontId="6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57" xfId="0" applyFill="1" applyBorder="1"/>
    <xf numFmtId="0" fontId="2" fillId="13" borderId="0" xfId="0" applyFont="1" applyFill="1"/>
    <xf numFmtId="0" fontId="11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2" fontId="16" fillId="0" borderId="0" xfId="0" applyNumberFormat="1" applyFont="1"/>
    <xf numFmtId="1" fontId="16" fillId="0" borderId="0" xfId="0" applyNumberFormat="1" applyFont="1"/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25" xfId="0" applyFont="1" applyBorder="1"/>
    <xf numFmtId="0" fontId="16" fillId="26" borderId="25" xfId="0" applyFont="1" applyFill="1" applyBorder="1"/>
    <xf numFmtId="0" fontId="16" fillId="0" borderId="25" xfId="0" applyFont="1" applyBorder="1" applyAlignment="1">
      <alignment wrapText="1"/>
    </xf>
    <xf numFmtId="2" fontId="16" fillId="0" borderId="25" xfId="0" applyNumberFormat="1" applyFont="1" applyBorder="1"/>
    <xf numFmtId="1" fontId="16" fillId="0" borderId="25" xfId="0" applyNumberFormat="1" applyFont="1" applyBorder="1"/>
    <xf numFmtId="0" fontId="17" fillId="0" borderId="25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27" borderId="0" xfId="0" applyFill="1"/>
    <xf numFmtId="0" fontId="0" fillId="28" borderId="0" xfId="0" applyFill="1"/>
    <xf numFmtId="0" fontId="15" fillId="0" borderId="0" xfId="0" applyFont="1"/>
    <xf numFmtId="0" fontId="15" fillId="26" borderId="0" xfId="0" applyFont="1" applyFill="1"/>
    <xf numFmtId="0" fontId="15" fillId="0" borderId="0" xfId="0" applyFont="1" applyAlignment="1">
      <alignment wrapText="1"/>
    </xf>
    <xf numFmtId="2" fontId="15" fillId="0" borderId="0" xfId="0" applyNumberFormat="1" applyFont="1"/>
    <xf numFmtId="1" fontId="15" fillId="0" borderId="0" xfId="0" applyNumberFormat="1" applyFont="1"/>
    <xf numFmtId="0" fontId="19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28" borderId="0" xfId="0" applyFont="1" applyFill="1"/>
    <xf numFmtId="0" fontId="0" fillId="20" borderId="0" xfId="0" applyFill="1"/>
    <xf numFmtId="0" fontId="15" fillId="28" borderId="78" xfId="0" applyFont="1" applyFill="1" applyBorder="1"/>
    <xf numFmtId="0" fontId="0" fillId="29" borderId="0" xfId="0" applyFill="1"/>
    <xf numFmtId="0" fontId="15" fillId="11" borderId="88" xfId="0" applyFont="1" applyFill="1" applyBorder="1"/>
    <xf numFmtId="0" fontId="0" fillId="21" borderId="0" xfId="0" applyFill="1"/>
    <xf numFmtId="0" fontId="0" fillId="17" borderId="0" xfId="0" applyFill="1"/>
    <xf numFmtId="0" fontId="15" fillId="14" borderId="0" xfId="0" applyFont="1" applyFill="1"/>
    <xf numFmtId="0" fontId="15" fillId="21" borderId="0" xfId="0" applyFont="1" applyFill="1"/>
    <xf numFmtId="0" fontId="15" fillId="14" borderId="0" xfId="0" applyFont="1" applyFill="1" applyAlignment="1">
      <alignment wrapText="1"/>
    </xf>
    <xf numFmtId="2" fontId="15" fillId="14" borderId="0" xfId="0" applyNumberFormat="1" applyFont="1" applyFill="1"/>
    <xf numFmtId="1" fontId="15" fillId="14" borderId="0" xfId="0" applyNumberFormat="1" applyFont="1" applyFill="1"/>
    <xf numFmtId="0" fontId="19" fillId="14" borderId="0" xfId="0" applyFont="1" applyFill="1" applyAlignment="1">
      <alignment vertical="center"/>
    </xf>
    <xf numFmtId="0" fontId="15" fillId="14" borderId="0" xfId="0" applyFont="1" applyFill="1" applyAlignment="1">
      <alignment vertical="center"/>
    </xf>
    <xf numFmtId="0" fontId="20" fillId="14" borderId="0" xfId="0" applyFont="1" applyFill="1"/>
    <xf numFmtId="0" fontId="0" fillId="14" borderId="0" xfId="0" applyFill="1" applyAlignment="1">
      <alignment vertical="center"/>
    </xf>
    <xf numFmtId="0" fontId="0" fillId="14" borderId="0" xfId="0" applyFill="1" applyAlignment="1">
      <alignment wrapText="1"/>
    </xf>
    <xf numFmtId="2" fontId="0" fillId="14" borderId="0" xfId="0" applyNumberFormat="1" applyFill="1"/>
    <xf numFmtId="1" fontId="0" fillId="14" borderId="0" xfId="0" applyNumberFormat="1" applyFill="1"/>
    <xf numFmtId="0" fontId="7" fillId="14" borderId="0" xfId="0" applyFont="1" applyFill="1" applyAlignment="1">
      <alignment vertical="center"/>
    </xf>
    <xf numFmtId="0" fontId="16" fillId="4" borderId="0" xfId="0" applyFont="1" applyFill="1"/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wrapText="1"/>
    </xf>
    <xf numFmtId="2" fontId="16" fillId="4" borderId="0" xfId="0" applyNumberFormat="1" applyFont="1" applyFill="1"/>
    <xf numFmtId="1" fontId="16" fillId="4" borderId="0" xfId="0" applyNumberFormat="1" applyFont="1" applyFill="1"/>
    <xf numFmtId="0" fontId="17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8" fillId="14" borderId="0" xfId="0" applyFont="1" applyFill="1" applyAlignment="1">
      <alignment vertical="center"/>
    </xf>
    <xf numFmtId="0" fontId="0" fillId="24" borderId="0" xfId="0" applyFill="1"/>
    <xf numFmtId="0" fontId="0" fillId="24" borderId="3" xfId="0" applyFill="1" applyBorder="1"/>
    <xf numFmtId="0" fontId="0" fillId="28" borderId="25" xfId="0" applyFill="1" applyBorder="1"/>
    <xf numFmtId="0" fontId="0" fillId="30" borderId="0" xfId="0" applyFill="1"/>
    <xf numFmtId="0" fontId="6" fillId="0" borderId="25" xfId="0" applyFont="1" applyBorder="1" applyAlignment="1">
      <alignment vertical="center"/>
    </xf>
    <xf numFmtId="167" fontId="0" fillId="0" borderId="25" xfId="0" applyNumberFormat="1" applyBorder="1"/>
    <xf numFmtId="0" fontId="15" fillId="31" borderId="0" xfId="0" applyFon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2" fontId="0" fillId="4" borderId="0" xfId="0" applyNumberFormat="1" applyFill="1"/>
    <xf numFmtId="1" fontId="0" fillId="4" borderId="0" xfId="0" applyNumberFormat="1" applyFill="1"/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14" borderId="0" xfId="0" applyFont="1" applyFill="1" applyAlignment="1">
      <alignment vertical="center"/>
    </xf>
    <xf numFmtId="0" fontId="0" fillId="21" borderId="25" xfId="0" applyFill="1" applyBorder="1"/>
    <xf numFmtId="0" fontId="0" fillId="17" borderId="25" xfId="0" applyFill="1" applyBorder="1"/>
    <xf numFmtId="0" fontId="0" fillId="22" borderId="0" xfId="0" applyFill="1"/>
    <xf numFmtId="0" fontId="0" fillId="31" borderId="0" xfId="0" applyFill="1"/>
    <xf numFmtId="0" fontId="0" fillId="24" borderId="25" xfId="0" applyFill="1" applyBorder="1"/>
    <xf numFmtId="0" fontId="0" fillId="27" borderId="0" xfId="0" applyFill="1" applyAlignment="1">
      <alignment wrapText="1"/>
    </xf>
    <xf numFmtId="0" fontId="15" fillId="27" borderId="0" xfId="0" applyFont="1" applyFill="1"/>
    <xf numFmtId="0" fontId="15" fillId="27" borderId="0" xfId="0" applyFont="1" applyFill="1" applyAlignment="1">
      <alignment wrapText="1"/>
    </xf>
    <xf numFmtId="0" fontId="20" fillId="27" borderId="0" xfId="0" applyFont="1" applyFill="1"/>
    <xf numFmtId="0" fontId="0" fillId="32" borderId="0" xfId="0" applyFill="1"/>
    <xf numFmtId="0" fontId="0" fillId="33" borderId="0" xfId="0" applyFill="1"/>
    <xf numFmtId="0" fontId="1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2" fillId="19" borderId="0" xfId="0" applyFont="1" applyFill="1"/>
    <xf numFmtId="0" fontId="23" fillId="19" borderId="0" xfId="0" applyFont="1" applyFill="1"/>
    <xf numFmtId="0" fontId="3" fillId="16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17" borderId="32" xfId="0" applyFont="1" applyFill="1" applyBorder="1" applyAlignment="1">
      <alignment horizontal="center"/>
    </xf>
    <xf numFmtId="0" fontId="3" fillId="17" borderId="31" xfId="0" applyFont="1" applyFill="1" applyBorder="1" applyAlignment="1">
      <alignment horizontal="center"/>
    </xf>
    <xf numFmtId="0" fontId="3" fillId="17" borderId="26" xfId="0" applyFont="1" applyFill="1" applyBorder="1" applyAlignment="1">
      <alignment horizontal="center"/>
    </xf>
    <xf numFmtId="0" fontId="3" fillId="16" borderId="26" xfId="0" applyFont="1" applyFill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21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7" fontId="3" fillId="6" borderId="34" xfId="0" applyNumberFormat="1" applyFont="1" applyFill="1" applyBorder="1" applyAlignment="1">
      <alignment horizontal="center"/>
    </xf>
    <xf numFmtId="0" fontId="3" fillId="6" borderId="34" xfId="0" applyFont="1" applyFill="1" applyBorder="1" applyAlignment="1">
      <alignment horizontal="center"/>
    </xf>
    <xf numFmtId="0" fontId="3" fillId="18" borderId="7" xfId="0" applyFont="1" applyFill="1" applyBorder="1" applyAlignment="1">
      <alignment horizontal="center"/>
    </xf>
    <xf numFmtId="0" fontId="3" fillId="18" borderId="31" xfId="0" applyFont="1" applyFill="1" applyBorder="1" applyAlignment="1">
      <alignment horizontal="center"/>
    </xf>
    <xf numFmtId="0" fontId="3" fillId="18" borderId="26" xfId="0" applyFont="1" applyFill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0" fillId="0" borderId="21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9" fontId="0" fillId="0" borderId="0" xfId="2" applyFont="1" applyAlignment="1">
      <alignment horizontal="center"/>
    </xf>
    <xf numFmtId="9" fontId="3" fillId="16" borderId="0" xfId="0" applyNumberFormat="1" applyFont="1" applyFill="1" applyAlignment="1">
      <alignment horizontal="center"/>
    </xf>
    <xf numFmtId="9" fontId="3" fillId="0" borderId="0" xfId="0" applyNumberFormat="1" applyFont="1" applyAlignment="1">
      <alignment horizontal="center"/>
    </xf>
    <xf numFmtId="167" fontId="0" fillId="0" borderId="4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9" fontId="0" fillId="4" borderId="30" xfId="2" applyFont="1" applyFill="1" applyBorder="1" applyAlignment="1">
      <alignment horizontal="center" vertical="center"/>
    </xf>
    <xf numFmtId="9" fontId="0" fillId="4" borderId="52" xfId="2" applyFont="1" applyFill="1" applyBorder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0" fillId="0" borderId="66" xfId="0" applyBorder="1" applyAlignment="1">
      <alignment horizontal="center"/>
    </xf>
    <xf numFmtId="2" fontId="3" fillId="0" borderId="43" xfId="0" applyNumberFormat="1" applyFont="1" applyBorder="1" applyAlignment="1">
      <alignment horizontal="center"/>
    </xf>
    <xf numFmtId="2" fontId="3" fillId="0" borderId="44" xfId="0" applyNumberFormat="1" applyFont="1" applyBorder="1" applyAlignment="1">
      <alignment horizontal="center"/>
    </xf>
    <xf numFmtId="2" fontId="3" fillId="0" borderId="4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0" fillId="0" borderId="49" xfId="1" applyNumberFormat="1" applyFont="1" applyBorder="1" applyAlignment="1">
      <alignment horizontal="center"/>
    </xf>
    <xf numFmtId="2" fontId="0" fillId="0" borderId="52" xfId="1" applyNumberFormat="1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67" xfId="0" applyBorder="1" applyAlignment="1">
      <alignment horizontal="center"/>
    </xf>
    <xf numFmtId="2" fontId="3" fillId="0" borderId="46" xfId="0" applyNumberFormat="1" applyFont="1" applyBorder="1" applyAlignment="1">
      <alignment horizontal="center"/>
    </xf>
    <xf numFmtId="2" fontId="3" fillId="0" borderId="42" xfId="0" applyNumberFormat="1" applyFont="1" applyBorder="1" applyAlignment="1">
      <alignment horizontal="center"/>
    </xf>
    <xf numFmtId="2" fontId="0" fillId="0" borderId="48" xfId="1" applyNumberFormat="1" applyFont="1" applyBorder="1" applyAlignment="1">
      <alignment horizontal="center"/>
    </xf>
    <xf numFmtId="2" fontId="0" fillId="0" borderId="27" xfId="1" applyNumberFormat="1" applyFont="1" applyBorder="1" applyAlignment="1">
      <alignment horizontal="center"/>
    </xf>
    <xf numFmtId="2" fontId="0" fillId="0" borderId="9" xfId="1" applyNumberFormat="1" applyFont="1" applyBorder="1" applyAlignment="1">
      <alignment horizontal="center"/>
    </xf>
    <xf numFmtId="2" fontId="0" fillId="0" borderId="47" xfId="1" applyNumberFormat="1" applyFont="1" applyBorder="1" applyAlignment="1">
      <alignment horizontal="center"/>
    </xf>
    <xf numFmtId="2" fontId="3" fillId="0" borderId="40" xfId="0" applyNumberFormat="1" applyFont="1" applyBorder="1" applyAlignment="1">
      <alignment horizontal="center"/>
    </xf>
    <xf numFmtId="2" fontId="3" fillId="0" borderId="39" xfId="0" applyNumberFormat="1" applyFont="1" applyBorder="1" applyAlignment="1">
      <alignment horizontal="center"/>
    </xf>
    <xf numFmtId="2" fontId="0" fillId="0" borderId="24" xfId="1" applyNumberFormat="1" applyFont="1" applyBorder="1" applyAlignment="1">
      <alignment horizontal="center"/>
    </xf>
    <xf numFmtId="2" fontId="0" fillId="0" borderId="68" xfId="1" applyNumberFormat="1" applyFont="1" applyBorder="1" applyAlignment="1">
      <alignment horizontal="center"/>
    </xf>
    <xf numFmtId="0" fontId="3" fillId="0" borderId="67" xfId="0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67" xfId="0" applyNumberFormat="1" applyFont="1" applyBorder="1" applyAlignment="1">
      <alignment horizontal="center"/>
    </xf>
    <xf numFmtId="2" fontId="0" fillId="0" borderId="73" xfId="1" applyNumberFormat="1" applyFont="1" applyBorder="1" applyAlignment="1">
      <alignment horizontal="center"/>
    </xf>
    <xf numFmtId="2" fontId="0" fillId="0" borderId="74" xfId="1" applyNumberFormat="1" applyFont="1" applyBorder="1" applyAlignment="1">
      <alignment horizontal="center"/>
    </xf>
    <xf numFmtId="2" fontId="3" fillId="0" borderId="38" xfId="0" applyNumberFormat="1" applyFont="1" applyBorder="1" applyAlignment="1">
      <alignment horizontal="center"/>
    </xf>
    <xf numFmtId="2" fontId="0" fillId="0" borderId="23" xfId="1" applyNumberFormat="1" applyFont="1" applyBorder="1" applyAlignment="1">
      <alignment horizontal="center"/>
    </xf>
    <xf numFmtId="167" fontId="0" fillId="25" borderId="0" xfId="0" applyNumberFormat="1" applyFill="1"/>
    <xf numFmtId="0" fontId="0" fillId="0" borderId="0" xfId="0"/>
    <xf numFmtId="0" fontId="0" fillId="25" borderId="0" xfId="0" applyFill="1"/>
    <xf numFmtId="0" fontId="3" fillId="0" borderId="69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16" fontId="3" fillId="0" borderId="60" xfId="0" applyNumberFormat="1" applyFont="1" applyBorder="1" applyAlignment="1">
      <alignment horizontal="center"/>
    </xf>
    <xf numFmtId="16" fontId="3" fillId="0" borderId="61" xfId="0" applyNumberFormat="1" applyFont="1" applyBorder="1" applyAlignment="1">
      <alignment horizontal="center"/>
    </xf>
    <xf numFmtId="16" fontId="3" fillId="0" borderId="59" xfId="0" applyNumberFormat="1" applyFont="1" applyBorder="1" applyAlignment="1">
      <alignment horizontal="center"/>
    </xf>
    <xf numFmtId="167" fontId="0" fillId="25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3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Milliers 2" xfId="1" xr:uid="{00000000-0005-0000-0000-000000000000}"/>
    <cellStyle name="Normal" xfId="0" builtinId="0"/>
    <cellStyle name="Pourcentage 2" xfId="2" xr:uid="{00000000-0005-0000-0000-000002000000}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2" formatCode="0.00"/>
    </dxf>
    <dxf>
      <numFmt numFmtId="2" formatCode="0.0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548235"/>
      </font>
    </dxf>
    <dxf>
      <font>
        <b/>
        <i val="0"/>
        <color rgb="FFFF000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b/>
        <i val="0"/>
        <color rgb="FFFF0000"/>
      </font>
      <fill>
        <patternFill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d\-mmm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2" formatCode="0.0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167" formatCode="0.0"/>
    </dxf>
    <dxf>
      <numFmt numFmtId="167" formatCode="0.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border outline="0">
        <left style="thin">
          <color theme="4" tint="0.39997558519241921"/>
        </left>
        <right style="thin">
          <color theme="9" tint="0.39997558519241921"/>
        </right>
        <top style="thin">
          <color theme="4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2" formatCode="0.00"/>
    </dxf>
    <dxf>
      <numFmt numFmtId="2" formatCode="0.0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color rgb="FF808080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numFmt numFmtId="1" formatCode="0"/>
    </dxf>
    <dxf>
      <numFmt numFmtId="2" formatCode="0.0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FF0000"/>
      </font>
    </dxf>
    <dxf>
      <font>
        <color rgb="FF548235"/>
      </font>
    </dxf>
    <dxf>
      <font>
        <b/>
        <i val="0"/>
        <color rgb="FFFF000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D661"/>
      <color rgb="FFFEC3CF"/>
      <color rgb="FFFF66CC"/>
      <color rgb="FF8497B0"/>
      <color rgb="FFD3F8FD"/>
      <color rgb="FF00B0F0"/>
      <color rgb="FFFFC7CE"/>
      <color rgb="FFFF4B60"/>
      <color rgb="FFF56C51"/>
      <color rgb="FF5482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Autre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Sprint'!$AT$63:$BD$63</c:f>
              <c:numCache>
                <c:formatCode>0</c:formatCode>
                <c:ptCount val="11"/>
                <c:pt idx="0">
                  <c:v>176</c:v>
                </c:pt>
                <c:pt idx="1">
                  <c:v>171.22480620155039</c:v>
                </c:pt>
                <c:pt idx="2">
                  <c:v>161.67441860465118</c:v>
                </c:pt>
                <c:pt idx="3">
                  <c:v>148.03100775193801</c:v>
                </c:pt>
                <c:pt idx="4">
                  <c:v>133.02325581395351</c:v>
                </c:pt>
                <c:pt idx="5">
                  <c:v>114.60465116279072</c:v>
                </c:pt>
                <c:pt idx="6">
                  <c:v>94.139534883720955</c:v>
                </c:pt>
                <c:pt idx="7">
                  <c:v>70.945736434108554</c:v>
                </c:pt>
                <c:pt idx="8">
                  <c:v>45.705426356589172</c:v>
                </c:pt>
                <c:pt idx="9">
                  <c:v>12.961240310077542</c:v>
                </c:pt>
                <c:pt idx="10">
                  <c:v>2.3092638912203256E-14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26-4F4E-855F-D32A38F576A1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Sprint'!$AT$66:$BD$66</c:f>
              <c:numCache>
                <c:formatCode>0</c:formatCode>
                <c:ptCount val="11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26-4F4E-855F-D32A38F576A1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Sprint'!$AT$57:$BD$57</c:f>
              <c:numCache>
                <c:formatCode>0</c:formatCode>
                <c:ptCount val="11"/>
                <c:pt idx="0">
                  <c:v>193.5</c:v>
                </c:pt>
                <c:pt idx="1">
                  <c:v>188.25</c:v>
                </c:pt>
                <c:pt idx="2">
                  <c:v>177.75</c:v>
                </c:pt>
                <c:pt idx="3">
                  <c:v>162.75</c:v>
                </c:pt>
                <c:pt idx="4">
                  <c:v>146.25</c:v>
                </c:pt>
                <c:pt idx="5">
                  <c:v>126</c:v>
                </c:pt>
                <c:pt idx="6">
                  <c:v>103.5</c:v>
                </c:pt>
                <c:pt idx="7">
                  <c:v>78</c:v>
                </c:pt>
                <c:pt idx="8">
                  <c:v>50.25</c:v>
                </c:pt>
                <c:pt idx="9">
                  <c:v>14.25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26-4F4E-855F-D32A38F57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Sprint'!$AT$62:$BD$62</c:f>
              <c:numCache>
                <c:formatCode>0</c:formatCode>
                <c:ptCount val="11"/>
                <c:pt idx="0">
                  <c:v>406</c:v>
                </c:pt>
                <c:pt idx="1">
                  <c:v>395.7514563106796</c:v>
                </c:pt>
                <c:pt idx="2">
                  <c:v>370.52427184466018</c:v>
                </c:pt>
                <c:pt idx="3">
                  <c:v>338.99029126213588</c:v>
                </c:pt>
                <c:pt idx="4">
                  <c:v>296.4194174757281</c:v>
                </c:pt>
                <c:pt idx="5">
                  <c:v>252.27184466019412</c:v>
                </c:pt>
                <c:pt idx="6">
                  <c:v>203.39417475728149</c:v>
                </c:pt>
                <c:pt idx="7">
                  <c:v>148.20970873786402</c:v>
                </c:pt>
                <c:pt idx="8">
                  <c:v>92.23689320388344</c:v>
                </c:pt>
                <c:pt idx="9">
                  <c:v>29.168932038834896</c:v>
                </c:pt>
                <c:pt idx="10">
                  <c:v>-5.6843418860808015E-14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D-479F-B45C-7925158C3A66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Sprint'!$AT$65:$BD$65</c:f>
              <c:numCache>
                <c:formatCode>0</c:formatCode>
                <c:ptCount val="11"/>
                <c:pt idx="0">
                  <c:v>406</c:v>
                </c:pt>
                <c:pt idx="1">
                  <c:v>406</c:v>
                </c:pt>
                <c:pt idx="2">
                  <c:v>406</c:v>
                </c:pt>
                <c:pt idx="3">
                  <c:v>406</c:v>
                </c:pt>
                <c:pt idx="4">
                  <c:v>406</c:v>
                </c:pt>
                <c:pt idx="5">
                  <c:v>406</c:v>
                </c:pt>
                <c:pt idx="6">
                  <c:v>406</c:v>
                </c:pt>
                <c:pt idx="7">
                  <c:v>406</c:v>
                </c:pt>
                <c:pt idx="8">
                  <c:v>371</c:v>
                </c:pt>
                <c:pt idx="9">
                  <c:v>371</c:v>
                </c:pt>
                <c:pt idx="10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D-479F-B45C-7925158C3A66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Sprint'!$AT$56:$BD$56</c:f>
              <c:numCache>
                <c:formatCode>0</c:formatCode>
                <c:ptCount val="11"/>
                <c:pt idx="0">
                  <c:v>386.25</c:v>
                </c:pt>
                <c:pt idx="1">
                  <c:v>376.5</c:v>
                </c:pt>
                <c:pt idx="2">
                  <c:v>352.5</c:v>
                </c:pt>
                <c:pt idx="3">
                  <c:v>322.5</c:v>
                </c:pt>
                <c:pt idx="4">
                  <c:v>282</c:v>
                </c:pt>
                <c:pt idx="5">
                  <c:v>240</c:v>
                </c:pt>
                <c:pt idx="6">
                  <c:v>193.5</c:v>
                </c:pt>
                <c:pt idx="7">
                  <c:v>141</c:v>
                </c:pt>
                <c:pt idx="8">
                  <c:v>87.75</c:v>
                </c:pt>
                <c:pt idx="9">
                  <c:v>27.75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D-479F-B45C-7925158C3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.NET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Sprint'!$AT$64:$BD$64</c:f>
              <c:numCache>
                <c:formatCode>0</c:formatCode>
                <c:ptCount val="11"/>
                <c:pt idx="0">
                  <c:v>230</c:v>
                </c:pt>
                <c:pt idx="1">
                  <c:v>224.63035019455253</c:v>
                </c:pt>
                <c:pt idx="2">
                  <c:v>208.52140077821014</c:v>
                </c:pt>
                <c:pt idx="3">
                  <c:v>190.62256809338524</c:v>
                </c:pt>
                <c:pt idx="4">
                  <c:v>161.98443579766538</c:v>
                </c:pt>
                <c:pt idx="5">
                  <c:v>136.03112840466929</c:v>
                </c:pt>
                <c:pt idx="6">
                  <c:v>107.39299610894945</c:v>
                </c:pt>
                <c:pt idx="7">
                  <c:v>75.175097276264623</c:v>
                </c:pt>
                <c:pt idx="8">
                  <c:v>44.74708171206229</c:v>
                </c:pt>
                <c:pt idx="9">
                  <c:v>16.108949416342444</c:v>
                </c:pt>
                <c:pt idx="10">
                  <c:v>3.1974423109204508E-14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A-4B7C-BE84-B6086D4A08A4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Sprint'!$AT$67:$BD$67</c:f>
              <c:numCache>
                <c:formatCode>0</c:formatCode>
                <c:ptCount val="11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A-4B7C-BE84-B6086D4A08A4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Sprint'!$AT$58:$BD$58</c:f>
              <c:numCache>
                <c:formatCode>0</c:formatCode>
                <c:ptCount val="11"/>
                <c:pt idx="0">
                  <c:v>192.75</c:v>
                </c:pt>
                <c:pt idx="1">
                  <c:v>188.25</c:v>
                </c:pt>
                <c:pt idx="2">
                  <c:v>174.75</c:v>
                </c:pt>
                <c:pt idx="3">
                  <c:v>159.75</c:v>
                </c:pt>
                <c:pt idx="4">
                  <c:v>135.75</c:v>
                </c:pt>
                <c:pt idx="5">
                  <c:v>114</c:v>
                </c:pt>
                <c:pt idx="6">
                  <c:v>90</c:v>
                </c:pt>
                <c:pt idx="7">
                  <c:v>63</c:v>
                </c:pt>
                <c:pt idx="8">
                  <c:v>37.5</c:v>
                </c:pt>
                <c:pt idx="9">
                  <c:v>13.5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A-4B7C-BE84-B6086D4A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Autre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Sprint-Init'!$AT$63:$BD$63</c:f>
              <c:numCache>
                <c:formatCode>0</c:formatCode>
                <c:ptCount val="11"/>
                <c:pt idx="0">
                  <c:v>176</c:v>
                </c:pt>
                <c:pt idx="1">
                  <c:v>171.22480620155039</c:v>
                </c:pt>
                <c:pt idx="2">
                  <c:v>161.67441860465118</c:v>
                </c:pt>
                <c:pt idx="3">
                  <c:v>148.03100775193801</c:v>
                </c:pt>
                <c:pt idx="4">
                  <c:v>133.02325581395351</c:v>
                </c:pt>
                <c:pt idx="5">
                  <c:v>114.60465116279072</c:v>
                </c:pt>
                <c:pt idx="6">
                  <c:v>94.139534883720955</c:v>
                </c:pt>
                <c:pt idx="7">
                  <c:v>70.945736434108554</c:v>
                </c:pt>
                <c:pt idx="8">
                  <c:v>45.705426356589172</c:v>
                </c:pt>
                <c:pt idx="9">
                  <c:v>12.961240310077542</c:v>
                </c:pt>
                <c:pt idx="10">
                  <c:v>2.3092638912203256E-14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9-46A2-839F-C121F98060BB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Sprint-Init'!$AT$66:$BD$66</c:f>
              <c:numCache>
                <c:formatCode>0</c:formatCode>
                <c:ptCount val="11"/>
                <c:pt idx="0">
                  <c:v>176</c:v>
                </c:pt>
                <c:pt idx="1">
                  <c:v>176</c:v>
                </c:pt>
                <c:pt idx="2">
                  <c:v>176</c:v>
                </c:pt>
                <c:pt idx="3">
                  <c:v>176</c:v>
                </c:pt>
                <c:pt idx="4">
                  <c:v>176</c:v>
                </c:pt>
                <c:pt idx="5">
                  <c:v>176</c:v>
                </c:pt>
                <c:pt idx="6">
                  <c:v>176</c:v>
                </c:pt>
                <c:pt idx="7">
                  <c:v>176</c:v>
                </c:pt>
                <c:pt idx="8">
                  <c:v>176</c:v>
                </c:pt>
                <c:pt idx="9">
                  <c:v>176</c:v>
                </c:pt>
                <c:pt idx="10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9-46A2-839F-C121F98060BB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Sprint-Init'!$AT$57:$BD$57</c:f>
              <c:numCache>
                <c:formatCode>0</c:formatCode>
                <c:ptCount val="11"/>
                <c:pt idx="0">
                  <c:v>193.5</c:v>
                </c:pt>
                <c:pt idx="1">
                  <c:v>188.25</c:v>
                </c:pt>
                <c:pt idx="2">
                  <c:v>177.75</c:v>
                </c:pt>
                <c:pt idx="3">
                  <c:v>162.75</c:v>
                </c:pt>
                <c:pt idx="4">
                  <c:v>146.25</c:v>
                </c:pt>
                <c:pt idx="5">
                  <c:v>126</c:v>
                </c:pt>
                <c:pt idx="6">
                  <c:v>103.5</c:v>
                </c:pt>
                <c:pt idx="7">
                  <c:v>78</c:v>
                </c:pt>
                <c:pt idx="8">
                  <c:v>50.25</c:v>
                </c:pt>
                <c:pt idx="9">
                  <c:v>14.25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9-46A2-839F-C121F980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Sprint-Init'!$AT$62:$BD$62</c:f>
              <c:numCache>
                <c:formatCode>0</c:formatCode>
                <c:ptCount val="11"/>
                <c:pt idx="0">
                  <c:v>406</c:v>
                </c:pt>
                <c:pt idx="1">
                  <c:v>395.7514563106796</c:v>
                </c:pt>
                <c:pt idx="2">
                  <c:v>370.52427184466018</c:v>
                </c:pt>
                <c:pt idx="3">
                  <c:v>338.99029126213588</c:v>
                </c:pt>
                <c:pt idx="4">
                  <c:v>296.4194174757281</c:v>
                </c:pt>
                <c:pt idx="5">
                  <c:v>252.27184466019412</c:v>
                </c:pt>
                <c:pt idx="6">
                  <c:v>203.39417475728149</c:v>
                </c:pt>
                <c:pt idx="7">
                  <c:v>148.20970873786402</c:v>
                </c:pt>
                <c:pt idx="8">
                  <c:v>92.23689320388344</c:v>
                </c:pt>
                <c:pt idx="9">
                  <c:v>29.168932038834896</c:v>
                </c:pt>
                <c:pt idx="10">
                  <c:v>-5.6843418860808015E-14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0-4C2C-8B14-B9FC5526A56A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Sprint-Init'!$AT$65:$BD$65</c:f>
              <c:numCache>
                <c:formatCode>0</c:formatCode>
                <c:ptCount val="11"/>
                <c:pt idx="0">
                  <c:v>406</c:v>
                </c:pt>
                <c:pt idx="1">
                  <c:v>406</c:v>
                </c:pt>
                <c:pt idx="2">
                  <c:v>406</c:v>
                </c:pt>
                <c:pt idx="3">
                  <c:v>406</c:v>
                </c:pt>
                <c:pt idx="4">
                  <c:v>406</c:v>
                </c:pt>
                <c:pt idx="5">
                  <c:v>406</c:v>
                </c:pt>
                <c:pt idx="6">
                  <c:v>406</c:v>
                </c:pt>
                <c:pt idx="7">
                  <c:v>406</c:v>
                </c:pt>
                <c:pt idx="8">
                  <c:v>371</c:v>
                </c:pt>
                <c:pt idx="9">
                  <c:v>371</c:v>
                </c:pt>
                <c:pt idx="10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20-4C2C-8B14-B9FC5526A56A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Sprint-Init'!$AT$56:$BD$56</c:f>
              <c:numCache>
                <c:formatCode>0</c:formatCode>
                <c:ptCount val="11"/>
                <c:pt idx="0">
                  <c:v>386.25</c:v>
                </c:pt>
                <c:pt idx="1">
                  <c:v>376.5</c:v>
                </c:pt>
                <c:pt idx="2">
                  <c:v>352.5</c:v>
                </c:pt>
                <c:pt idx="3">
                  <c:v>322.5</c:v>
                </c:pt>
                <c:pt idx="4">
                  <c:v>282</c:v>
                </c:pt>
                <c:pt idx="5">
                  <c:v>240</c:v>
                </c:pt>
                <c:pt idx="6">
                  <c:v>193.5</c:v>
                </c:pt>
                <c:pt idx="7">
                  <c:v>141</c:v>
                </c:pt>
                <c:pt idx="8">
                  <c:v>87.75</c:v>
                </c:pt>
                <c:pt idx="9">
                  <c:v>27.75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20-4C2C-8B14-B9FC5526A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800"/>
              <a:t>BurnDown .NET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8970854326063867E-2"/>
          <c:y val="6.9216195934191552E-2"/>
          <c:w val="0.95834340823974384"/>
          <c:h val="0.84480309495991923"/>
        </c:manualLayout>
      </c:layout>
      <c:lineChart>
        <c:grouping val="standard"/>
        <c:varyColors val="0"/>
        <c:ser>
          <c:idx val="0"/>
          <c:order val="0"/>
          <c:tx>
            <c:v>RaF Prévisionnel = Engagement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Sprint-Init'!$AT$64:$BD$64</c:f>
              <c:numCache>
                <c:formatCode>0</c:formatCode>
                <c:ptCount val="11"/>
                <c:pt idx="0">
                  <c:v>230</c:v>
                </c:pt>
                <c:pt idx="1">
                  <c:v>224.63035019455253</c:v>
                </c:pt>
                <c:pt idx="2">
                  <c:v>208.52140077821014</c:v>
                </c:pt>
                <c:pt idx="3">
                  <c:v>190.62256809338524</c:v>
                </c:pt>
                <c:pt idx="4">
                  <c:v>161.98443579766538</c:v>
                </c:pt>
                <c:pt idx="5">
                  <c:v>136.03112840466929</c:v>
                </c:pt>
                <c:pt idx="6">
                  <c:v>107.39299610894945</c:v>
                </c:pt>
                <c:pt idx="7">
                  <c:v>75.175097276264623</c:v>
                </c:pt>
                <c:pt idx="8">
                  <c:v>44.74708171206229</c:v>
                </c:pt>
                <c:pt idx="9">
                  <c:v>16.108949416342444</c:v>
                </c:pt>
                <c:pt idx="10">
                  <c:v>3.1974423109204508E-14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4-47DE-9F2D-B6DA22293644}"/>
            </c:ext>
          </c:extLst>
        </c:ser>
        <c:ser>
          <c:idx val="1"/>
          <c:order val="1"/>
          <c:tx>
            <c:v>RaF Réèl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Sprint-Init'!$AT$67:$BD$67</c:f>
              <c:numCache>
                <c:formatCode>0</c:formatCode>
                <c:ptCount val="11"/>
                <c:pt idx="0">
                  <c:v>230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230</c:v>
                </c:pt>
                <c:pt idx="5">
                  <c:v>230</c:v>
                </c:pt>
                <c:pt idx="6">
                  <c:v>230</c:v>
                </c:pt>
                <c:pt idx="7">
                  <c:v>230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4-47DE-9F2D-B6DA22293644}"/>
            </c:ext>
          </c:extLst>
        </c:ser>
        <c:ser>
          <c:idx val="2"/>
          <c:order val="2"/>
          <c:tx>
            <c:v>Présence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'PI2023.08-1 Suivi Sprint-Init'!$AT$4:$BD$4</c:f>
              <c:strCache>
                <c:ptCount val="11"/>
                <c:pt idx="0">
                  <c:v>Init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  <c:pt idx="5">
                  <c:v>J5</c:v>
                </c:pt>
                <c:pt idx="6">
                  <c:v>J6</c:v>
                </c:pt>
                <c:pt idx="7">
                  <c:v>J7</c:v>
                </c:pt>
                <c:pt idx="8">
                  <c:v>J8</c:v>
                </c:pt>
                <c:pt idx="9">
                  <c:v>J9</c:v>
                </c:pt>
                <c:pt idx="10">
                  <c:v>J10</c:v>
                </c:pt>
              </c:strCache>
            </c:strRef>
          </c:cat>
          <c:val>
            <c:numRef>
              <c:f>'PI2023.08-1 Suivi Sprint-Init'!$AT$58:$BD$58</c:f>
              <c:numCache>
                <c:formatCode>0</c:formatCode>
                <c:ptCount val="11"/>
                <c:pt idx="0">
                  <c:v>192.75</c:v>
                </c:pt>
                <c:pt idx="1">
                  <c:v>188.25</c:v>
                </c:pt>
                <c:pt idx="2">
                  <c:v>174.75</c:v>
                </c:pt>
                <c:pt idx="3">
                  <c:v>159.75</c:v>
                </c:pt>
                <c:pt idx="4">
                  <c:v>135.75</c:v>
                </c:pt>
                <c:pt idx="5">
                  <c:v>114</c:v>
                </c:pt>
                <c:pt idx="6">
                  <c:v>90</c:v>
                </c:pt>
                <c:pt idx="7">
                  <c:v>63</c:v>
                </c:pt>
                <c:pt idx="8">
                  <c:v>37.5</c:v>
                </c:pt>
                <c:pt idx="9">
                  <c:v>13.5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34-47DE-9F2D-B6DA22293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741627960"/>
        <c:axId val="741627304"/>
      </c:lineChart>
      <c:catAx>
        <c:axId val="74162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304"/>
        <c:crosses val="autoZero"/>
        <c:auto val="1"/>
        <c:lblAlgn val="ctr"/>
        <c:lblOffset val="100"/>
        <c:noMultiLvlLbl val="0"/>
      </c:catAx>
      <c:valAx>
        <c:axId val="741627304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16279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86967335271018"/>
          <c:y val="3.2745449209187032E-2"/>
          <c:w val="0.20329487914137434"/>
          <c:h val="0.13507107466607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4D626DF5-C254-4264-8FA1-89FE999250A0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DE4AC9E0-5344-4322-BA92-C50FADA569A4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3C24E5A4-3952-4592-93FD-DE60EE48E137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4A40F066-0E13-4F69-871A-D6BE16396ABF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0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FEF3153D-EB1C-4486-BEBB-D8433D929901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32</xdr:col>
      <xdr:colOff>0</xdr:colOff>
      <xdr:row>99</xdr:row>
      <xdr:rowOff>0</xdr:rowOff>
    </xdr:from>
    <xdr:to>
      <xdr:col>54</xdr:col>
      <xdr:colOff>257898</xdr:colOff>
      <xdr:row>128</xdr:row>
      <xdr:rowOff>185298</xdr:rowOff>
    </xdr:to>
    <xdr:graphicFrame macro="">
      <xdr:nvGraphicFramePr>
        <xdr:cNvPr id="7" name="Graphique 17">
          <a:extLst>
            <a:ext uri="{FF2B5EF4-FFF2-40B4-BE49-F238E27FC236}">
              <a16:creationId xmlns:a16="http://schemas.microsoft.com/office/drawing/2014/main" id="{B41FE276-856F-4DB6-A368-87013CD9D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68</xdr:row>
      <xdr:rowOff>0</xdr:rowOff>
    </xdr:from>
    <xdr:to>
      <xdr:col>54</xdr:col>
      <xdr:colOff>257898</xdr:colOff>
      <xdr:row>97</xdr:row>
      <xdr:rowOff>185298</xdr:rowOff>
    </xdr:to>
    <xdr:graphicFrame macro="">
      <xdr:nvGraphicFramePr>
        <xdr:cNvPr id="8" name="Graphique 18">
          <a:extLst>
            <a:ext uri="{FF2B5EF4-FFF2-40B4-BE49-F238E27FC236}">
              <a16:creationId xmlns:a16="http://schemas.microsoft.com/office/drawing/2014/main" id="{71C5B184-7289-4A12-A98C-C5DA6A41A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130</xdr:row>
      <xdr:rowOff>0</xdr:rowOff>
    </xdr:from>
    <xdr:to>
      <xdr:col>54</xdr:col>
      <xdr:colOff>257898</xdr:colOff>
      <xdr:row>159</xdr:row>
      <xdr:rowOff>185298</xdr:rowOff>
    </xdr:to>
    <xdr:graphicFrame macro="">
      <xdr:nvGraphicFramePr>
        <xdr:cNvPr id="9" name="Graphique 19">
          <a:extLst>
            <a:ext uri="{FF2B5EF4-FFF2-40B4-BE49-F238E27FC236}">
              <a16:creationId xmlns:a16="http://schemas.microsoft.com/office/drawing/2014/main" id="{AD3BD86A-751B-48DB-8159-5B7047D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52C0A35E-53AF-4638-9FF9-2D5EAFA74208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927FA8CA-A837-41CA-842B-9FAB5320D89E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2A2D4135-1275-4CCD-B877-06D9C440C584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422AD482-181C-4D65-B316-46D87997A101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A61DBA65-4C2B-4823-A31D-11FEC1CC0941}"/>
            </a:ext>
          </a:extLst>
        </xdr:cNvPr>
        <xdr:cNvSpPr>
          <a:spLocks noChangeAspect="1" noChangeArrowheads="1"/>
        </xdr:cNvSpPr>
      </xdr:nvSpPr>
      <xdr:spPr bwMode="auto">
        <a:xfrm>
          <a:off x="27412950" y="19164300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B21AD54C-A125-431D-A98F-EF2609D85BF6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FABBA228-40F4-4795-AE79-556E473645C0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4" name="avatar">
          <a:extLst>
            <a:ext uri="{FF2B5EF4-FFF2-40B4-BE49-F238E27FC236}">
              <a16:creationId xmlns:a16="http://schemas.microsoft.com/office/drawing/2014/main" id="{D5435E26-CDAB-4458-AEB9-56362CFB6156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41</xdr:col>
      <xdr:colOff>0</xdr:colOff>
      <xdr:row>44</xdr:row>
      <xdr:rowOff>0</xdr:rowOff>
    </xdr:from>
    <xdr:to>
      <xdr:col>41</xdr:col>
      <xdr:colOff>381000</xdr:colOff>
      <xdr:row>45</xdr:row>
      <xdr:rowOff>133350</xdr:rowOff>
    </xdr:to>
    <xdr:sp macro="" textlink="">
      <xdr:nvSpPr>
        <xdr:cNvPr id="5" name="avatar">
          <a:extLst>
            <a:ext uri="{FF2B5EF4-FFF2-40B4-BE49-F238E27FC236}">
              <a16:creationId xmlns:a16="http://schemas.microsoft.com/office/drawing/2014/main" id="{11C410C3-C244-4E08-B743-288D28988848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82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6" name="avatar">
          <a:extLst>
            <a:ext uri="{FF2B5EF4-FFF2-40B4-BE49-F238E27FC236}">
              <a16:creationId xmlns:a16="http://schemas.microsoft.com/office/drawing/2014/main" id="{C912C719-2163-4AD8-87AF-A21293344363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32</xdr:col>
      <xdr:colOff>0</xdr:colOff>
      <xdr:row>99</xdr:row>
      <xdr:rowOff>0</xdr:rowOff>
    </xdr:from>
    <xdr:to>
      <xdr:col>54</xdr:col>
      <xdr:colOff>257898</xdr:colOff>
      <xdr:row>128</xdr:row>
      <xdr:rowOff>185298</xdr:rowOff>
    </xdr:to>
    <xdr:graphicFrame macro="">
      <xdr:nvGraphicFramePr>
        <xdr:cNvPr id="20" name="Graphique 17">
          <a:extLst>
            <a:ext uri="{FF2B5EF4-FFF2-40B4-BE49-F238E27FC236}">
              <a16:creationId xmlns:a16="http://schemas.microsoft.com/office/drawing/2014/main" id="{44BB3324-949C-4E86-B087-1D210FF594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0</xdr:colOff>
      <xdr:row>68</xdr:row>
      <xdr:rowOff>0</xdr:rowOff>
    </xdr:from>
    <xdr:to>
      <xdr:col>54</xdr:col>
      <xdr:colOff>257898</xdr:colOff>
      <xdr:row>97</xdr:row>
      <xdr:rowOff>185298</xdr:rowOff>
    </xdr:to>
    <xdr:graphicFrame macro="">
      <xdr:nvGraphicFramePr>
        <xdr:cNvPr id="26" name="Graphique 18">
          <a:extLst>
            <a:ext uri="{FF2B5EF4-FFF2-40B4-BE49-F238E27FC236}">
              <a16:creationId xmlns:a16="http://schemas.microsoft.com/office/drawing/2014/main" id="{2274B258-1023-4D89-A44F-84AC6371F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0</xdr:colOff>
      <xdr:row>130</xdr:row>
      <xdr:rowOff>0</xdr:rowOff>
    </xdr:from>
    <xdr:to>
      <xdr:col>54</xdr:col>
      <xdr:colOff>257898</xdr:colOff>
      <xdr:row>159</xdr:row>
      <xdr:rowOff>185298</xdr:rowOff>
    </xdr:to>
    <xdr:graphicFrame macro="">
      <xdr:nvGraphicFramePr>
        <xdr:cNvPr id="32" name="Graphique 19">
          <a:extLst>
            <a:ext uri="{FF2B5EF4-FFF2-40B4-BE49-F238E27FC236}">
              <a16:creationId xmlns:a16="http://schemas.microsoft.com/office/drawing/2014/main" id="{527AF23A-6C51-436D-98DF-A6EDADD1AC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0" name="avatar">
          <a:extLst>
            <a:ext uri="{FF2B5EF4-FFF2-40B4-BE49-F238E27FC236}">
              <a16:creationId xmlns:a16="http://schemas.microsoft.com/office/drawing/2014/main" id="{D049B373-C883-4057-855F-08646B96C804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1" name="avatar">
          <a:extLst>
            <a:ext uri="{FF2B5EF4-FFF2-40B4-BE49-F238E27FC236}">
              <a16:creationId xmlns:a16="http://schemas.microsoft.com/office/drawing/2014/main" id="{75A1429C-9498-4490-94ED-8EEBCB894AAB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2" name="avatar">
          <a:extLst>
            <a:ext uri="{FF2B5EF4-FFF2-40B4-BE49-F238E27FC236}">
              <a16:creationId xmlns:a16="http://schemas.microsoft.com/office/drawing/2014/main" id="{F3CB4450-35A0-45A0-B07B-ABEA5FA8F25A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26283"/>
    <xdr:sp macro="" textlink="">
      <xdr:nvSpPr>
        <xdr:cNvPr id="13" name="avatar">
          <a:extLst>
            <a:ext uri="{FF2B5EF4-FFF2-40B4-BE49-F238E27FC236}">
              <a16:creationId xmlns:a16="http://schemas.microsoft.com/office/drawing/2014/main" id="{01038501-C750-41E6-9AE9-B9E6008AD112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26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44</xdr:row>
      <xdr:rowOff>0</xdr:rowOff>
    </xdr:from>
    <xdr:ext cx="381841" cy="333407"/>
    <xdr:sp macro="" textlink="">
      <xdr:nvSpPr>
        <xdr:cNvPr id="14" name="avatar">
          <a:extLst>
            <a:ext uri="{FF2B5EF4-FFF2-40B4-BE49-F238E27FC236}">
              <a16:creationId xmlns:a16="http://schemas.microsoft.com/office/drawing/2014/main" id="{1859162B-0046-4B1D-AEAD-B26D5E5615DF}"/>
            </a:ext>
          </a:extLst>
        </xdr:cNvPr>
        <xdr:cNvSpPr>
          <a:spLocks noChangeAspect="1" noChangeArrowheads="1"/>
        </xdr:cNvSpPr>
      </xdr:nvSpPr>
      <xdr:spPr bwMode="auto">
        <a:xfrm>
          <a:off x="27070050" y="11134725"/>
          <a:ext cx="381841" cy="333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ria.sharepoint.com/sites/CD13-POLE.NET/Shared%20Documents/General/Suivi%20Pr&#233;sence-Conges%20CD13%202023.xlsx" TargetMode="External"/><Relationship Id="rId1" Type="http://schemas.openxmlformats.org/officeDocument/2006/relationships/externalLinkPath" Target="https://steria.sharepoint.com/sites/CD13-POLE.NET/Shared%20Documents/General/Suivi%20Pr&#233;sence-Conges%20CD13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ria.sharepoint.com/sites/CD13-POLE.NET/Shared%20Documents/General/Suivi%20des%20Sprints/2023/Suivi%20V&#233;locit&#233;-2023.xlsx" TargetMode="External"/><Relationship Id="rId1" Type="http://schemas.openxmlformats.org/officeDocument/2006/relationships/externalLinkPath" Target="https://steria.sharepoint.com/sites/CD13-POLE.NET/Shared%20Documents/General/Suivi%20des%20Sprints/2023/Suivi%20V&#233;locit&#233;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N9Da-Ke360KL3Xhucy1RrSMMGef9IYFHqv4NvOpzaSgNy-4JoyUcQpak2SSdBbLP" itemId="01GCA4ZXEV5LDHJIZXF5EY7DN726AK4RN5">
      <xxl21:absoluteUrl r:id="rId2"/>
    </xxl21:alternateUrls>
    <sheetNames>
      <sheetName val="Demandes"/>
      <sheetName val="Planning"/>
      <sheetName val="Récap"/>
      <sheetName val="jours_feries"/>
      <sheetName val="Param_Annee"/>
      <sheetName val="Paramètres"/>
    </sheetNames>
    <sheetDataSet>
      <sheetData sheetId="0"/>
      <sheetData sheetId="1">
        <row r="9">
          <cell r="PZ9">
            <v>10</v>
          </cell>
        </row>
        <row r="11">
          <cell r="PZ11">
            <v>8</v>
          </cell>
        </row>
        <row r="12">
          <cell r="PZ12">
            <v>1</v>
          </cell>
        </row>
        <row r="13">
          <cell r="PZ13">
            <v>10</v>
          </cell>
        </row>
        <row r="14">
          <cell r="PZ14">
            <v>10</v>
          </cell>
        </row>
        <row r="15">
          <cell r="PZ15">
            <v>10</v>
          </cell>
        </row>
        <row r="16">
          <cell r="PZ16">
            <v>10</v>
          </cell>
        </row>
        <row r="19">
          <cell r="PZ19">
            <v>10</v>
          </cell>
        </row>
        <row r="21">
          <cell r="PZ21">
            <v>10</v>
          </cell>
        </row>
        <row r="22">
          <cell r="PZ22">
            <v>10</v>
          </cell>
        </row>
        <row r="23">
          <cell r="PZ23">
            <v>10</v>
          </cell>
        </row>
        <row r="25">
          <cell r="PZ25">
            <v>8</v>
          </cell>
        </row>
        <row r="33">
          <cell r="PZ33">
            <v>127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N9Da-Ke360KL3Xhucy1RrSMMGef9IYFHqv4NvOpzaSgNy-4JoyUcQpak2SSdBbLP" itemId="01GCA4ZXHFKDEP4Z5CHBE336VXHCXL4HEP">
      <xxl21:absoluteUrl r:id="rId2"/>
    </xxl21:alternateUrls>
    <sheetNames>
      <sheetName val="suivi .NET"/>
      <sheetName val="suivi Autre"/>
      <sheetName val="suivi Sharepoint"/>
      <sheetName val="suivi .SRS"/>
      <sheetName val="Indicateur"/>
      <sheetName val="suivi"/>
      <sheetName val="Indicateur (2)"/>
      <sheetName val="CàF à l'année"/>
      <sheetName val="CAF TMA"/>
      <sheetName val="Feuil2"/>
    </sheetNames>
    <sheetDataSet>
      <sheetData sheetId="0">
        <row r="2">
          <cell r="B2" t="str">
            <v xml:space="preserve"> </v>
          </cell>
          <cell r="C2" t="str">
            <v>2022</v>
          </cell>
          <cell r="D2" t="str">
            <v>S01-02</v>
          </cell>
          <cell r="E2" t="str">
            <v>S03-04</v>
          </cell>
          <cell r="F2" t="str">
            <v>S05-06</v>
          </cell>
          <cell r="G2" t="str">
            <v>S07-08</v>
          </cell>
          <cell r="H2" t="str">
            <v>S09-10</v>
          </cell>
          <cell r="I2" t="str">
            <v>S11-12</v>
          </cell>
          <cell r="J2" t="str">
            <v>S13-14</v>
          </cell>
          <cell r="K2" t="str">
            <v>S15-16</v>
          </cell>
          <cell r="L2" t="str">
            <v>S17-18</v>
          </cell>
          <cell r="M2" t="str">
            <v>S19-20</v>
          </cell>
          <cell r="N2" t="str">
            <v>S21-22</v>
          </cell>
          <cell r="O2" t="str">
            <v>S23-24</v>
          </cell>
          <cell r="P2" t="str">
            <v>S25-26</v>
          </cell>
          <cell r="Q2" t="str">
            <v>S27-28</v>
          </cell>
          <cell r="R2" t="str">
            <v>S29-30</v>
          </cell>
          <cell r="S2" t="str">
            <v>S31-32</v>
          </cell>
          <cell r="T2" t="str">
            <v>S33-34</v>
          </cell>
          <cell r="U2" t="str">
            <v>S35-36</v>
          </cell>
          <cell r="V2" t="str">
            <v>S37-38</v>
          </cell>
          <cell r="W2" t="str">
            <v>S39-40</v>
          </cell>
          <cell r="X2" t="str">
            <v>S41-42</v>
          </cell>
          <cell r="Y2" t="str">
            <v>S43-44</v>
          </cell>
          <cell r="Z2" t="str">
            <v>S45-46</v>
          </cell>
          <cell r="AA2" t="str">
            <v>S47-48</v>
          </cell>
          <cell r="AB2" t="str">
            <v>S49-51</v>
          </cell>
        </row>
        <row r="3">
          <cell r="B3"/>
          <cell r="C3"/>
          <cell r="D3" t="str">
            <v>PI1</v>
          </cell>
          <cell r="E3" t="str">
            <v>PI1</v>
          </cell>
          <cell r="F3" t="str">
            <v>PI2</v>
          </cell>
          <cell r="G3" t="str">
            <v>PI2</v>
          </cell>
          <cell r="H3" t="str">
            <v>PI3</v>
          </cell>
          <cell r="I3" t="str">
            <v>PI3</v>
          </cell>
          <cell r="J3" t="str">
            <v>PI4</v>
          </cell>
          <cell r="K3" t="str">
            <v>PI4</v>
          </cell>
          <cell r="L3" t="str">
            <v>PI5</v>
          </cell>
          <cell r="M3" t="str">
            <v>PI5</v>
          </cell>
          <cell r="N3" t="str">
            <v>PI6</v>
          </cell>
          <cell r="O3" t="str">
            <v>PI6</v>
          </cell>
          <cell r="P3" t="str">
            <v>PI7</v>
          </cell>
          <cell r="Q3" t="str">
            <v>PI7</v>
          </cell>
          <cell r="R3" t="str">
            <v>PI8</v>
          </cell>
          <cell r="S3" t="str">
            <v>PI8</v>
          </cell>
          <cell r="T3" t="str">
            <v>PI9</v>
          </cell>
          <cell r="U3" t="str">
            <v>PI9</v>
          </cell>
          <cell r="V3" t="str">
            <v>P10</v>
          </cell>
          <cell r="W3" t="str">
            <v>P10</v>
          </cell>
          <cell r="X3" t="str">
            <v>PI11</v>
          </cell>
          <cell r="Y3" t="str">
            <v>PI11</v>
          </cell>
          <cell r="Z3" t="str">
            <v>PI12</v>
          </cell>
          <cell r="AA3" t="str">
            <v>PI12</v>
          </cell>
          <cell r="AB3" t="str">
            <v>PI13</v>
          </cell>
        </row>
        <row r="4">
          <cell r="B4" t="str">
            <v>Nb Jours de Présence Equipe Prévus</v>
          </cell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>
            <v>24.25</v>
          </cell>
          <cell r="Z4">
            <v>9.8000000000000007</v>
          </cell>
          <cell r="AA4">
            <v>29.6</v>
          </cell>
          <cell r="AB4">
            <v>51</v>
          </cell>
        </row>
        <row r="5">
          <cell r="B5" t="str">
            <v>Nb Jours de Dev Prévus</v>
          </cell>
          <cell r="C5"/>
          <cell r="D5">
            <v>20.25</v>
          </cell>
          <cell r="E5">
            <v>20</v>
          </cell>
          <cell r="F5">
            <v>24.5</v>
          </cell>
          <cell r="G5">
            <v>23.8</v>
          </cell>
          <cell r="H5">
            <v>21.3</v>
          </cell>
          <cell r="I5">
            <v>11.875</v>
          </cell>
          <cell r="J5">
            <v>22.125</v>
          </cell>
          <cell r="K5">
            <v>19.5</v>
          </cell>
          <cell r="L5">
            <v>18.5</v>
          </cell>
          <cell r="M5">
            <v>14.75</v>
          </cell>
          <cell r="N5">
            <v>24</v>
          </cell>
          <cell r="O5">
            <v>25.25</v>
          </cell>
          <cell r="P5">
            <v>20.5</v>
          </cell>
          <cell r="Q5">
            <v>25.625</v>
          </cell>
          <cell r="R5">
            <v>23</v>
          </cell>
          <cell r="S5">
            <v>25.25</v>
          </cell>
          <cell r="T5">
            <v>20.5</v>
          </cell>
          <cell r="U5">
            <v>26.875</v>
          </cell>
          <cell r="V5">
            <v>23.875</v>
          </cell>
          <cell r="W5">
            <v>24.375</v>
          </cell>
          <cell r="X5">
            <v>30</v>
          </cell>
          <cell r="Y5">
            <v>26.5</v>
          </cell>
          <cell r="Z5"/>
          <cell r="AA5"/>
          <cell r="AB5"/>
        </row>
        <row r="6">
          <cell r="B6" t="str">
            <v>CaF Initiale Calculée à 100%</v>
          </cell>
          <cell r="C6"/>
          <cell r="D6">
            <v>12.018519429414658</v>
          </cell>
          <cell r="E6">
            <v>11.870142646335465</v>
          </cell>
          <cell r="F6">
            <v>14.540924741760943</v>
          </cell>
          <cell r="G6">
            <v>14.009372188163596</v>
          </cell>
          <cell r="H6">
            <v>13.747678685535133</v>
          </cell>
          <cell r="I6">
            <v>7.8624870474345467</v>
          </cell>
          <cell r="J6">
            <v>15.289964837239443</v>
          </cell>
          <cell r="K6">
            <v>13.35897739377441</v>
          </cell>
          <cell r="L6">
            <v>12.126050420168067</v>
          </cell>
          <cell r="M6">
            <v>8.7546369899311056</v>
          </cell>
          <cell r="N6">
            <v>14.76091476091476</v>
          </cell>
          <cell r="O6">
            <v>15.610641891891893</v>
          </cell>
          <cell r="P6">
            <v>14.211322241213546</v>
          </cell>
          <cell r="Q6">
            <v>18.084362648221344</v>
          </cell>
          <cell r="R6">
            <v>15.747584276499939</v>
          </cell>
          <cell r="S6">
            <v>16.789096967580466</v>
          </cell>
          <cell r="T6">
            <v>13.271127990221757</v>
          </cell>
          <cell r="U6">
            <v>17.398125109132181</v>
          </cell>
          <cell r="V6">
            <v>15.456008817880216</v>
          </cell>
          <cell r="W6">
            <v>15.779694866422211</v>
          </cell>
          <cell r="X6">
            <v>19.421162912519645</v>
          </cell>
          <cell r="Y6">
            <v>17.155360572725684</v>
          </cell>
          <cell r="Z6">
            <v>0</v>
          </cell>
          <cell r="AA6">
            <v>0</v>
          </cell>
          <cell r="AB6">
            <v>0</v>
          </cell>
        </row>
        <row r="7">
          <cell r="B7" t="str">
            <v>CaF Initiale Calculée à 80%</v>
          </cell>
          <cell r="C7"/>
          <cell r="D7">
            <v>9.6148155435317264</v>
          </cell>
          <cell r="E7">
            <v>9.4961141170683714</v>
          </cell>
          <cell r="F7">
            <v>11.632739793408755</v>
          </cell>
          <cell r="G7">
            <v>11.207497750530877</v>
          </cell>
          <cell r="H7">
            <v>10.998142948428107</v>
          </cell>
          <cell r="I7">
            <v>6.2899896379476381</v>
          </cell>
          <cell r="J7">
            <v>12.231971869791556</v>
          </cell>
          <cell r="K7">
            <v>10.687181915019529</v>
          </cell>
          <cell r="L7">
            <v>9.7008403361344548</v>
          </cell>
          <cell r="M7">
            <v>7.0037095919448848</v>
          </cell>
          <cell r="N7">
            <v>11.808731808731808</v>
          </cell>
          <cell r="O7">
            <v>12.488513513513515</v>
          </cell>
          <cell r="P7">
            <v>11.369057792970837</v>
          </cell>
          <cell r="Q7">
            <v>14.467490118577075</v>
          </cell>
          <cell r="R7">
            <v>12.598067421199952</v>
          </cell>
          <cell r="S7">
            <v>13.431277574064374</v>
          </cell>
          <cell r="T7">
            <v>10.616902392177407</v>
          </cell>
          <cell r="U7">
            <v>13.918500087305745</v>
          </cell>
          <cell r="V7">
            <v>12.364807054304173</v>
          </cell>
          <cell r="W7">
            <v>12.623755893137769</v>
          </cell>
          <cell r="X7">
            <v>15.536930330015716</v>
          </cell>
          <cell r="Y7">
            <v>13.724288458180547</v>
          </cell>
          <cell r="Z7">
            <v>0</v>
          </cell>
          <cell r="AA7">
            <v>0</v>
          </cell>
          <cell r="AB7">
            <v>0</v>
          </cell>
        </row>
        <row r="8"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</row>
        <row r="9">
          <cell r="B9" t="str">
            <v>Nb Jours Dev Réèls</v>
          </cell>
          <cell r="C9"/>
          <cell r="D9">
            <v>19</v>
          </cell>
          <cell r="E9">
            <v>21.4</v>
          </cell>
          <cell r="F9">
            <v>20.5</v>
          </cell>
          <cell r="G9">
            <v>24.4</v>
          </cell>
          <cell r="H9">
            <v>21.3</v>
          </cell>
          <cell r="I9">
            <v>11.9</v>
          </cell>
          <cell r="J9">
            <v>22.1</v>
          </cell>
          <cell r="K9">
            <v>19.5</v>
          </cell>
          <cell r="L9">
            <v>18.5</v>
          </cell>
          <cell r="M9">
            <v>14.8</v>
          </cell>
          <cell r="N9">
            <v>24</v>
          </cell>
          <cell r="O9">
            <v>25.3</v>
          </cell>
          <cell r="P9">
            <v>20</v>
          </cell>
          <cell r="Q9">
            <v>24.9</v>
          </cell>
          <cell r="R9">
            <v>23</v>
          </cell>
          <cell r="S9"/>
          <cell r="T9"/>
          <cell r="U9"/>
          <cell r="V9"/>
          <cell r="W9"/>
          <cell r="X9"/>
          <cell r="Y9"/>
          <cell r="Z9"/>
          <cell r="AA9"/>
          <cell r="AB9"/>
        </row>
        <row r="10">
          <cell r="B10" t="str">
            <v>Nb SP Engagement</v>
          </cell>
          <cell r="C10"/>
          <cell r="D10">
            <v>12</v>
          </cell>
          <cell r="E10">
            <v>16</v>
          </cell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</row>
        <row r="11">
          <cell r="B11" t="str">
            <v>Vélocité (Nb SP Livré)</v>
          </cell>
          <cell r="C11"/>
          <cell r="D11">
            <v>10</v>
          </cell>
          <cell r="E11">
            <v>14</v>
          </cell>
          <cell r="F11">
            <v>12</v>
          </cell>
          <cell r="G11">
            <v>17</v>
          </cell>
          <cell r="H11">
            <v>15</v>
          </cell>
          <cell r="I11">
            <v>8</v>
          </cell>
          <cell r="J11">
            <v>15</v>
          </cell>
          <cell r="K11">
            <v>12</v>
          </cell>
          <cell r="L11">
            <v>9</v>
          </cell>
          <cell r="M11">
            <v>11</v>
          </cell>
          <cell r="N11">
            <v>15</v>
          </cell>
          <cell r="O11">
            <v>18</v>
          </cell>
          <cell r="P11">
            <v>14</v>
          </cell>
          <cell r="Q11">
            <v>16</v>
          </cell>
          <cell r="R11">
            <v>15</v>
          </cell>
          <cell r="S11"/>
          <cell r="T11"/>
          <cell r="U11"/>
          <cell r="V11"/>
          <cell r="W11"/>
          <cell r="X11"/>
          <cell r="Y11"/>
          <cell r="Z11"/>
          <cell r="AA11"/>
          <cell r="AB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 t="str">
            <v/>
          </cell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</row>
        <row r="13">
          <cell r="B13" t="str">
            <v>sp/j dev</v>
          </cell>
          <cell r="C13">
            <v>0.6</v>
          </cell>
          <cell r="D13">
            <v>0.52631578947368418</v>
          </cell>
          <cell r="E13">
            <v>0.65420560747663559</v>
          </cell>
          <cell r="F13">
            <v>0.58536585365853655</v>
          </cell>
          <cell r="G13">
            <v>0.69672131147540983</v>
          </cell>
          <cell r="H13">
            <v>0.70422535211267601</v>
          </cell>
          <cell r="I13">
            <v>0.67226890756302515</v>
          </cell>
          <cell r="J13">
            <v>0.67873303167420806</v>
          </cell>
          <cell r="K13">
            <v>0.61538461538461542</v>
          </cell>
          <cell r="L13">
            <v>0.48648648648648651</v>
          </cell>
          <cell r="M13">
            <v>0.7432432432432432</v>
          </cell>
          <cell r="N13">
            <v>0.625</v>
          </cell>
          <cell r="O13">
            <v>0.71146245059288538</v>
          </cell>
          <cell r="P13">
            <v>0.7</v>
          </cell>
          <cell r="Q13">
            <v>0.64257028112449799</v>
          </cell>
          <cell r="R13">
            <v>0.65217391304347827</v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</row>
        <row r="14">
          <cell r="B14" t="str">
            <v>lissage 3 derniers sprints</v>
          </cell>
          <cell r="C14">
            <v>0.6</v>
          </cell>
          <cell r="D14">
            <v>0.59350713231677321</v>
          </cell>
          <cell r="E14">
            <v>0.59350713231677321</v>
          </cell>
          <cell r="F14">
            <v>0.58862908353628551</v>
          </cell>
          <cell r="G14">
            <v>0.64543092420352732</v>
          </cell>
          <cell r="H14">
            <v>0.66210417241554076</v>
          </cell>
          <cell r="I14">
            <v>0.69107185705037033</v>
          </cell>
          <cell r="J14">
            <v>0.68507576378330304</v>
          </cell>
          <cell r="K14">
            <v>0.65546218487394958</v>
          </cell>
          <cell r="L14">
            <v>0.59353471118176993</v>
          </cell>
          <cell r="M14">
            <v>0.61503811503811501</v>
          </cell>
          <cell r="N14">
            <v>0.61824324324324331</v>
          </cell>
          <cell r="O14">
            <v>0.69323523127870956</v>
          </cell>
          <cell r="P14">
            <v>0.70573122529644272</v>
          </cell>
          <cell r="Q14">
            <v>0.68467757723912781</v>
          </cell>
          <cell r="R14">
            <v>0.66491473138932544</v>
          </cell>
          <cell r="S14">
            <v>0.64737209708398813</v>
          </cell>
          <cell r="T14">
            <v>0.64737209708398813</v>
          </cell>
          <cell r="U14">
            <v>0.64737209708398813</v>
          </cell>
          <cell r="V14">
            <v>0.64737209708398813</v>
          </cell>
          <cell r="W14">
            <v>0.64737209708398813</v>
          </cell>
          <cell r="X14">
            <v>0.64737209708398813</v>
          </cell>
          <cell r="Y14">
            <v>0.64737209708398813</v>
          </cell>
          <cell r="Z14">
            <v>0.64737209708398813</v>
          </cell>
          <cell r="AA14">
            <v>0.64737209708398813</v>
          </cell>
          <cell r="AB14">
            <v>0.64737209708398813</v>
          </cell>
        </row>
        <row r="15">
          <cell r="B15" t="str">
            <v>Vélocité du PI</v>
          </cell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 t="e">
            <v>#DIV/0!</v>
          </cell>
          <cell r="W15" t="e">
            <v>#DIV/0!</v>
          </cell>
          <cell r="X15" t="e">
            <v>#DIV/0!</v>
          </cell>
          <cell r="Y15" t="e">
            <v>#DIV/0!</v>
          </cell>
          <cell r="Z15" t="e">
            <v>#DIV/0!</v>
          </cell>
          <cell r="AA15" t="e">
            <v>#DIV/0!</v>
          </cell>
          <cell r="AB15" t="e">
            <v>#DIV/0!</v>
          </cell>
        </row>
        <row r="16">
          <cell r="B16" t="str">
            <v>Evolution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</row>
        <row r="17">
          <cell r="B17" t="str">
            <v>Velocité 3 derniers PI</v>
          </cell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 t="e">
            <v>#DIV/0!</v>
          </cell>
          <cell r="W17" t="e">
            <v>#DIV/0!</v>
          </cell>
          <cell r="X17" t="e">
            <v>#DIV/0!</v>
          </cell>
          <cell r="Y17"/>
          <cell r="Z17"/>
          <cell r="AA17" t="e">
            <v>#DIV/0!</v>
          </cell>
          <cell r="AB17"/>
        </row>
        <row r="18">
          <cell r="B18" t="str">
            <v>Ratio Dev</v>
          </cell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</row>
        <row r="20">
          <cell r="B20" t="str">
            <v>Predictibilité</v>
          </cell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</row>
        <row r="22">
          <cell r="B22" t="str">
            <v>Commentaire</v>
          </cell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 t="e">
            <v>#DIV/0!</v>
          </cell>
          <cell r="X22"/>
        </row>
      </sheetData>
      <sheetData sheetId="1">
        <row r="2">
          <cell r="B2" t="str">
            <v xml:space="preserve"> </v>
          </cell>
          <cell r="C2" t="str">
            <v>2022</v>
          </cell>
          <cell r="D2" t="str">
            <v>S01-02</v>
          </cell>
          <cell r="E2" t="str">
            <v>S03-04</v>
          </cell>
          <cell r="F2" t="str">
            <v>S05-06</v>
          </cell>
          <cell r="G2" t="str">
            <v>S07-08</v>
          </cell>
          <cell r="H2" t="str">
            <v>S09-10</v>
          </cell>
          <cell r="I2" t="str">
            <v>S11-12</v>
          </cell>
          <cell r="J2" t="str">
            <v>S13-14</v>
          </cell>
          <cell r="K2" t="str">
            <v>S15-16</v>
          </cell>
          <cell r="L2" t="str">
            <v>S17-18</v>
          </cell>
          <cell r="M2" t="str">
            <v>S19-20</v>
          </cell>
          <cell r="N2" t="str">
            <v>S21-22</v>
          </cell>
          <cell r="O2" t="str">
            <v>S23-24</v>
          </cell>
          <cell r="P2" t="str">
            <v>S25-26</v>
          </cell>
          <cell r="Q2" t="str">
            <v>S27-28</v>
          </cell>
          <cell r="R2" t="str">
            <v>S29-30</v>
          </cell>
          <cell r="S2" t="str">
            <v>S31-32</v>
          </cell>
          <cell r="T2" t="str">
            <v>S33-34</v>
          </cell>
          <cell r="U2" t="str">
            <v>S35-36</v>
          </cell>
          <cell r="V2" t="str">
            <v>S37-38</v>
          </cell>
          <cell r="W2" t="str">
            <v>S39-40</v>
          </cell>
          <cell r="X2" t="str">
            <v>S41-42</v>
          </cell>
          <cell r="Y2" t="str">
            <v>S43-44</v>
          </cell>
          <cell r="Z2" t="str">
            <v>S45-46</v>
          </cell>
          <cell r="AA2" t="str">
            <v>S47-48</v>
          </cell>
          <cell r="AB2" t="str">
            <v>S49-51</v>
          </cell>
        </row>
        <row r="3">
          <cell r="B3"/>
          <cell r="C3"/>
          <cell r="D3" t="str">
            <v>PI1</v>
          </cell>
          <cell r="E3" t="str">
            <v>PI1</v>
          </cell>
          <cell r="F3" t="str">
            <v>PI2</v>
          </cell>
          <cell r="G3" t="str">
            <v>PI2</v>
          </cell>
          <cell r="H3" t="str">
            <v>PI3</v>
          </cell>
          <cell r="I3" t="str">
            <v>PI3</v>
          </cell>
          <cell r="J3" t="str">
            <v>PI4</v>
          </cell>
          <cell r="K3" t="str">
            <v>PI4</v>
          </cell>
          <cell r="L3" t="str">
            <v>PI5</v>
          </cell>
          <cell r="M3" t="str">
            <v>PI5</v>
          </cell>
          <cell r="N3" t="str">
            <v>PI6</v>
          </cell>
          <cell r="O3" t="str">
            <v>PI6</v>
          </cell>
          <cell r="P3" t="str">
            <v>PI7</v>
          </cell>
          <cell r="Q3" t="str">
            <v>PI7</v>
          </cell>
          <cell r="R3" t="str">
            <v>PI8</v>
          </cell>
          <cell r="S3" t="str">
            <v>PI8</v>
          </cell>
          <cell r="T3" t="str">
            <v>PI9</v>
          </cell>
          <cell r="U3" t="str">
            <v>PI9</v>
          </cell>
          <cell r="V3" t="str">
            <v>P10</v>
          </cell>
          <cell r="W3" t="str">
            <v>P10</v>
          </cell>
          <cell r="X3" t="str">
            <v>PI11</v>
          </cell>
          <cell r="Y3" t="str">
            <v>PI11</v>
          </cell>
          <cell r="Z3" t="str">
            <v>PI12</v>
          </cell>
          <cell r="AA3" t="str">
            <v>PI12</v>
          </cell>
          <cell r="AB3" t="str">
            <v>PI13</v>
          </cell>
        </row>
        <row r="4">
          <cell r="B4" t="str">
            <v>Nb Jours de Présence Equipe Prévus</v>
          </cell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>
            <v>24.25</v>
          </cell>
          <cell r="Z4">
            <v>9.8000000000000007</v>
          </cell>
          <cell r="AA4">
            <v>29.6</v>
          </cell>
          <cell r="AB4">
            <v>51</v>
          </cell>
        </row>
        <row r="5">
          <cell r="B5" t="str">
            <v>Nb Jours de Dev Prévus</v>
          </cell>
          <cell r="C5"/>
          <cell r="D5">
            <v>18.8</v>
          </cell>
          <cell r="E5">
            <v>10.119999999999999</v>
          </cell>
          <cell r="F5">
            <v>11.3</v>
          </cell>
          <cell r="G5">
            <v>6</v>
          </cell>
          <cell r="H5">
            <v>8.6</v>
          </cell>
          <cell r="I5">
            <v>12.75</v>
          </cell>
          <cell r="J5">
            <v>11.75</v>
          </cell>
          <cell r="K5">
            <v>7</v>
          </cell>
          <cell r="L5">
            <v>16</v>
          </cell>
          <cell r="M5">
            <v>10.125</v>
          </cell>
          <cell r="N5">
            <v>19.5</v>
          </cell>
          <cell r="O5">
            <v>22.125</v>
          </cell>
          <cell r="P5">
            <v>20.625</v>
          </cell>
          <cell r="Q5">
            <v>10.875</v>
          </cell>
          <cell r="R5">
            <v>23.125</v>
          </cell>
          <cell r="S5">
            <v>17.875</v>
          </cell>
          <cell r="T5">
            <v>11.375</v>
          </cell>
          <cell r="U5">
            <v>10.875</v>
          </cell>
          <cell r="V5">
            <v>14.25</v>
          </cell>
          <cell r="W5">
            <v>14.25</v>
          </cell>
          <cell r="X5">
            <v>15.75</v>
          </cell>
          <cell r="Y5">
            <v>14</v>
          </cell>
          <cell r="Z5"/>
          <cell r="AA5"/>
          <cell r="AB5"/>
        </row>
        <row r="6">
          <cell r="B6" t="str">
            <v>CaF Initiale Calculée à 100%</v>
          </cell>
          <cell r="C6"/>
          <cell r="D6">
            <v>20.005425079766418</v>
          </cell>
          <cell r="E6">
            <v>10.76887775570405</v>
          </cell>
          <cell r="F6">
            <v>12.024537414965986</v>
          </cell>
          <cell r="G6">
            <v>5.9389036802274431</v>
          </cell>
          <cell r="H6">
            <v>9.2622984677742064</v>
          </cell>
          <cell r="I6">
            <v>12.854463615903976</v>
          </cell>
          <cell r="J6">
            <v>13.30878281545176</v>
          </cell>
          <cell r="K6">
            <v>7.4110227457163402</v>
          </cell>
          <cell r="L6">
            <v>18.693633385557611</v>
          </cell>
          <cell r="M6">
            <v>11.583175696125908</v>
          </cell>
          <cell r="N6">
            <v>22.870093705799146</v>
          </cell>
          <cell r="O6">
            <v>24.337500000000002</v>
          </cell>
          <cell r="P6">
            <v>23.432268566223136</v>
          </cell>
          <cell r="Q6">
            <v>11.944293497413343</v>
          </cell>
          <cell r="R6">
            <v>24.793143213465022</v>
          </cell>
          <cell r="S6">
            <v>18.895988909439566</v>
          </cell>
          <cell r="T6">
            <v>12.024720215097904</v>
          </cell>
          <cell r="U6">
            <v>11.496161084763932</v>
          </cell>
          <cell r="V6">
            <v>15.063935214518255</v>
          </cell>
          <cell r="W6">
            <v>15.063935214518255</v>
          </cell>
          <cell r="X6">
            <v>16.649612605520176</v>
          </cell>
          <cell r="Y6">
            <v>14.799655649351267</v>
          </cell>
          <cell r="Z6">
            <v>0</v>
          </cell>
          <cell r="AA6">
            <v>0</v>
          </cell>
          <cell r="AB6">
            <v>0</v>
          </cell>
        </row>
        <row r="7">
          <cell r="B7" t="str">
            <v>CaF Initiale Calculée à 80%</v>
          </cell>
          <cell r="C7"/>
          <cell r="D7">
            <v>16.004340063813135</v>
          </cell>
          <cell r="E7">
            <v>8.6151022045632413</v>
          </cell>
          <cell r="F7">
            <v>9.6196299319727885</v>
          </cell>
          <cell r="G7">
            <v>4.7511229441819545</v>
          </cell>
          <cell r="H7">
            <v>7.4098387742193657</v>
          </cell>
          <cell r="I7">
            <v>10.283570892723182</v>
          </cell>
          <cell r="J7">
            <v>10.647026252361409</v>
          </cell>
          <cell r="K7">
            <v>5.9288181965730722</v>
          </cell>
          <cell r="L7">
            <v>14.954906708446089</v>
          </cell>
          <cell r="M7">
            <v>9.2665405569007273</v>
          </cell>
          <cell r="N7">
            <v>18.296074964639317</v>
          </cell>
          <cell r="O7">
            <v>19.470000000000002</v>
          </cell>
          <cell r="P7">
            <v>18.745814852978508</v>
          </cell>
          <cell r="Q7">
            <v>9.5554347979306744</v>
          </cell>
          <cell r="R7">
            <v>19.834514570772019</v>
          </cell>
          <cell r="S7">
            <v>15.116791127551654</v>
          </cell>
          <cell r="T7">
            <v>9.6197761720783248</v>
          </cell>
          <cell r="U7">
            <v>9.1969288678111454</v>
          </cell>
          <cell r="V7">
            <v>12.051148171614605</v>
          </cell>
          <cell r="W7">
            <v>12.051148171614605</v>
          </cell>
          <cell r="X7">
            <v>13.319690084416141</v>
          </cell>
          <cell r="Y7">
            <v>11.839724519481015</v>
          </cell>
          <cell r="Z7">
            <v>0</v>
          </cell>
          <cell r="AA7">
            <v>0</v>
          </cell>
          <cell r="AB7">
            <v>0</v>
          </cell>
        </row>
        <row r="8"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  <cell r="S8"/>
          <cell r="T8"/>
          <cell r="U8"/>
          <cell r="V8"/>
          <cell r="W8"/>
          <cell r="X8"/>
          <cell r="Y8"/>
          <cell r="Z8"/>
          <cell r="AA8"/>
          <cell r="AB8"/>
        </row>
        <row r="9">
          <cell r="B9" t="str">
            <v>Nb Jours Dev Réèls</v>
          </cell>
          <cell r="C9"/>
          <cell r="D9">
            <v>11.3</v>
          </cell>
          <cell r="E9">
            <v>9.8000000000000007</v>
          </cell>
          <cell r="F9">
            <v>12.4</v>
          </cell>
          <cell r="G9">
            <v>6.8</v>
          </cell>
          <cell r="H9">
            <v>8.6</v>
          </cell>
          <cell r="I9">
            <v>11.9</v>
          </cell>
          <cell r="J9">
            <v>11.8</v>
          </cell>
          <cell r="K9">
            <v>7</v>
          </cell>
          <cell r="L9">
            <v>16</v>
          </cell>
          <cell r="M9">
            <v>10.1</v>
          </cell>
          <cell r="N9">
            <v>19.5</v>
          </cell>
          <cell r="O9">
            <v>22.1</v>
          </cell>
          <cell r="P9">
            <v>21.4</v>
          </cell>
          <cell r="Q9">
            <v>10.9</v>
          </cell>
          <cell r="R9">
            <v>23.1</v>
          </cell>
          <cell r="S9"/>
          <cell r="T9"/>
          <cell r="U9"/>
          <cell r="V9"/>
          <cell r="W9"/>
          <cell r="X9"/>
          <cell r="Y9"/>
          <cell r="Z9"/>
          <cell r="AA9"/>
          <cell r="AB9"/>
        </row>
        <row r="10">
          <cell r="B10" t="str">
            <v>Nb SP Engagement</v>
          </cell>
          <cell r="C10"/>
          <cell r="D10">
            <v>12</v>
          </cell>
          <cell r="E10"/>
          <cell r="F10"/>
          <cell r="G10"/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  <cell r="S10"/>
          <cell r="T10"/>
          <cell r="U10"/>
          <cell r="V10"/>
          <cell r="W10"/>
          <cell r="X10"/>
          <cell r="Y10"/>
          <cell r="Z10"/>
          <cell r="AA10"/>
          <cell r="AB10"/>
        </row>
        <row r="11">
          <cell r="B11" t="str">
            <v>Vélocité (Nb SP Livré)</v>
          </cell>
          <cell r="C11"/>
          <cell r="D11">
            <v>12</v>
          </cell>
          <cell r="E11">
            <v>10</v>
          </cell>
          <cell r="F11">
            <v>11</v>
          </cell>
          <cell r="G11">
            <v>9</v>
          </cell>
          <cell r="H11">
            <v>7</v>
          </cell>
          <cell r="I11">
            <v>15</v>
          </cell>
          <cell r="J11">
            <v>13</v>
          </cell>
          <cell r="K11">
            <v>8</v>
          </cell>
          <cell r="L11">
            <v>19</v>
          </cell>
          <cell r="M11">
            <v>12</v>
          </cell>
          <cell r="N11">
            <v>23</v>
          </cell>
          <cell r="O11">
            <v>23</v>
          </cell>
          <cell r="P11">
            <v>23</v>
          </cell>
          <cell r="Q11">
            <v>12</v>
          </cell>
          <cell r="R11">
            <v>23</v>
          </cell>
          <cell r="S11"/>
          <cell r="T11"/>
          <cell r="U11"/>
          <cell r="V11"/>
          <cell r="W11"/>
          <cell r="X11"/>
          <cell r="Y11"/>
          <cell r="Z11"/>
          <cell r="AA11"/>
          <cell r="AB11"/>
        </row>
        <row r="12"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N12" t="str">
            <v/>
          </cell>
          <cell r="O12"/>
          <cell r="P12"/>
          <cell r="Q12"/>
          <cell r="R12"/>
          <cell r="S12"/>
          <cell r="T12"/>
          <cell r="U12"/>
          <cell r="V12"/>
          <cell r="W12"/>
          <cell r="X12"/>
          <cell r="Y12"/>
          <cell r="Z12"/>
          <cell r="AA12"/>
          <cell r="AB12"/>
        </row>
        <row r="13">
          <cell r="B13" t="str">
            <v>sp/j dev</v>
          </cell>
          <cell r="C13">
            <v>1.1100000000000001</v>
          </cell>
          <cell r="D13">
            <v>1.0619469026548671</v>
          </cell>
          <cell r="E13">
            <v>1.0204081632653061</v>
          </cell>
          <cell r="F13">
            <v>0.88709677419354838</v>
          </cell>
          <cell r="G13">
            <v>1.3235294117647058</v>
          </cell>
          <cell r="H13">
            <v>0.81395348837209303</v>
          </cell>
          <cell r="I13">
            <v>1.2605042016806722</v>
          </cell>
          <cell r="J13">
            <v>1.1016949152542372</v>
          </cell>
          <cell r="K13">
            <v>1.1428571428571428</v>
          </cell>
          <cell r="L13">
            <v>1.1875</v>
          </cell>
          <cell r="M13">
            <v>1.1881188118811881</v>
          </cell>
          <cell r="N13">
            <v>1.1794871794871795</v>
          </cell>
          <cell r="O13">
            <v>1.0407239819004523</v>
          </cell>
          <cell r="P13">
            <v>1.0747663551401869</v>
          </cell>
          <cell r="Q13">
            <v>1.1009174311926606</v>
          </cell>
          <cell r="R13">
            <v>0.9956709956709956</v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</row>
        <row r="14">
          <cell r="B14" t="str">
            <v>lissage 3 derniers sprints</v>
          </cell>
          <cell r="C14">
            <v>1.1100000000000001</v>
          </cell>
          <cell r="D14">
            <v>1.0641183553067244</v>
          </cell>
          <cell r="E14">
            <v>1.0641183553067244</v>
          </cell>
          <cell r="F14">
            <v>0.98981728003790714</v>
          </cell>
          <cell r="G14">
            <v>1.0770114497411869</v>
          </cell>
          <cell r="H14">
            <v>1.0081932247767824</v>
          </cell>
          <cell r="I14">
            <v>1.1326623672724903</v>
          </cell>
          <cell r="J14">
            <v>1.0587175351023344</v>
          </cell>
          <cell r="K14">
            <v>1.1683520865973507</v>
          </cell>
          <cell r="L14">
            <v>1.1440173527037933</v>
          </cell>
          <cell r="M14">
            <v>1.1728253182461101</v>
          </cell>
          <cell r="N14">
            <v>1.1000000000000001</v>
          </cell>
          <cell r="O14">
            <v>1.1361099910896066</v>
          </cell>
          <cell r="P14">
            <v>1.0983258388426063</v>
          </cell>
          <cell r="Q14">
            <v>1.0721359227444334</v>
          </cell>
          <cell r="R14">
            <v>1.0571182606679477</v>
          </cell>
          <cell r="S14">
            <v>1.0571182606679477</v>
          </cell>
          <cell r="T14">
            <v>1.0571182606679477</v>
          </cell>
          <cell r="U14">
            <v>1.0571182606679477</v>
          </cell>
          <cell r="V14">
            <v>1.0571182606679477</v>
          </cell>
          <cell r="W14">
            <v>1.0571182606679477</v>
          </cell>
          <cell r="X14">
            <v>1.0571182606679477</v>
          </cell>
          <cell r="Y14">
            <v>1.0571182606679477</v>
          </cell>
          <cell r="Z14">
            <v>1.0571182606679477</v>
          </cell>
          <cell r="AA14">
            <v>1.0571182606679477</v>
          </cell>
          <cell r="AB14">
            <v>1.0571182606679477</v>
          </cell>
        </row>
        <row r="15">
          <cell r="B15" t="str">
            <v>Vélocité du PI</v>
          </cell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  <cell r="S15"/>
          <cell r="T15"/>
          <cell r="U15"/>
          <cell r="V15" t="e">
            <v>#DIV/0!</v>
          </cell>
          <cell r="W15" t="e">
            <v>#DIV/0!</v>
          </cell>
          <cell r="X15" t="e">
            <v>#DIV/0!</v>
          </cell>
          <cell r="Y15" t="e">
            <v>#DIV/0!</v>
          </cell>
          <cell r="Z15" t="e">
            <v>#DIV/0!</v>
          </cell>
          <cell r="AA15" t="e">
            <v>#DIV/0!</v>
          </cell>
          <cell r="AB15" t="e">
            <v>#DIV/0!</v>
          </cell>
        </row>
        <row r="16">
          <cell r="B16" t="str">
            <v>Evolution</v>
          </cell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  <cell r="Z16"/>
          <cell r="AA16"/>
          <cell r="AB16"/>
        </row>
        <row r="17">
          <cell r="B17" t="str">
            <v>Velocité 3 derniers PI</v>
          </cell>
          <cell r="C17"/>
          <cell r="D17"/>
          <cell r="E17"/>
          <cell r="F17"/>
          <cell r="G17"/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  <cell r="S17"/>
          <cell r="T17"/>
          <cell r="U17"/>
          <cell r="V17" t="e">
            <v>#DIV/0!</v>
          </cell>
          <cell r="W17" t="e">
            <v>#DIV/0!</v>
          </cell>
          <cell r="X17" t="e">
            <v>#DIV/0!</v>
          </cell>
          <cell r="Y17"/>
          <cell r="Z17"/>
          <cell r="AA17" t="e">
            <v>#DIV/0!</v>
          </cell>
          <cell r="AB17"/>
        </row>
        <row r="18">
          <cell r="B18" t="str">
            <v>Ratio Dev</v>
          </cell>
          <cell r="C18"/>
          <cell r="D18"/>
          <cell r="E18"/>
          <cell r="F18"/>
          <cell r="G18"/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/>
          <cell r="U18"/>
          <cell r="V18"/>
          <cell r="W18"/>
          <cell r="X18"/>
          <cell r="Y18"/>
          <cell r="Z18"/>
          <cell r="AA18"/>
          <cell r="AB18"/>
        </row>
        <row r="19"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</row>
        <row r="20">
          <cell r="B20" t="str">
            <v>Predictibilité</v>
          </cell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</row>
        <row r="21"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</row>
        <row r="22">
          <cell r="B22" t="str">
            <v>Commentaire</v>
          </cell>
          <cell r="C22"/>
          <cell r="D22"/>
          <cell r="E22"/>
          <cell r="F22"/>
          <cell r="G22"/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 t="e">
            <v>#DIV/0!</v>
          </cell>
          <cell r="X2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0AAD666-0C59-49EE-943F-18F9B76867B5}" autoFormatId="16" applyNumberFormats="0" applyBorderFormats="0" applyFontFormats="0" applyPatternFormats="0" applyAlignmentFormats="0" applyWidthHeightFormats="0">
  <queryTableRefresh nextId="9">
    <queryTableFields count="8">
      <queryTableField id="1" name="Area Path" tableColumnId="1"/>
      <queryTableField id="2" name="ID" tableColumnId="2"/>
      <queryTableField id="3" name="Work Item Type" tableColumnId="3"/>
      <queryTableField id="4" name="Title 1" tableColumnId="4"/>
      <queryTableField id="5" name="Title 2" tableColumnId="5"/>
      <queryTableField id="6" name="Assigned To" tableColumnId="6"/>
      <queryTableField id="7" name="State" tableColumnId="7"/>
      <queryTableField id="8" name="Tags" tableColumnId="8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ED48F1-C1E3-43AD-BC55-1316DA215F37}" name="TableauSuiviSprint" displayName="TableauSuiviSprint" ref="AE4:BD45" totalsRowCount="1">
  <autoFilter ref="AE4:BD44" xr:uid="{00000000-0009-0000-0100-000002000000}"/>
  <sortState xmlns:xlrd2="http://schemas.microsoft.com/office/spreadsheetml/2017/richdata2" ref="AE5:BD44">
    <sortCondition ref="AL4:AL44"/>
  </sortState>
  <tableColumns count="26">
    <tableColumn id="6" xr3:uid="{2E5F4D45-60C0-4124-B562-43081298F5A4}" name="Affect" dataDxfId="26"/>
    <tableColumn id="24" xr3:uid="{0D2F184F-EE63-4373-B446-3BA6E3B0416A}" name="Techno" dataDxfId="25"/>
    <tableColumn id="20" xr3:uid="{FFBE05B6-07A2-4BAC-93EE-FD850A210ED8}" name="Appli." dataDxfId="24"/>
    <tableColumn id="1" xr3:uid="{AD147360-E249-41E7-AF1A-AC81C54D5879}" name="Code" totalsRowLabel="Total"/>
    <tableColumn id="23" xr3:uid="{BC98B93D-18C3-4ACC-8C69-529E8751D22C}" name="N° feature"/>
    <tableColumn id="22" xr3:uid="{4333B299-ED62-45E7-904A-3B5090B90D1E}" name="Nom feature" dataDxfId="23">
      <calculatedColumnFormula>IF(TableauSuiviSprint[[#This Row],[N° feature]]&lt;&gt;"",VLOOKUP(TableauSuiviSprint[[#This Row],[N° feature]],SSG_Features[[#All],[ID]:[Tags]],3,FALSE),"")</calculatedColumnFormula>
    </tableColumn>
    <tableColumn id="18" xr3:uid="{39C8039C-021E-434F-BACA-A0CCCF49B184}" name="Version" dataDxfId="22"/>
    <tableColumn id="19" xr3:uid="{44F1B579-2F66-4651-83F1-5A5C6E4F0145}" name="Prioritaire" dataDxfId="21"/>
    <tableColumn id="3" xr3:uid="{4FE8B39E-A51C-4F05-92AB-C0D2CDF820B0}" name="Détail" dataDxfId="20"/>
    <tableColumn id="2" xr3:uid="{0F7347B1-0C39-4FC7-A5BD-3F4B2B92C7B3}" name="SP" totalsRowFunction="sum" dataDxfId="19"/>
    <tableColumn id="28" xr3:uid="{9617AB33-AE33-4B15-8390-DF13DB5CAB99}" name="Dev" dataDxfId="18"/>
    <tableColumn id="27" xr3:uid="{EFC611F0-0F30-49E3-8685-B7A427DA2B81}" name="TC / MR" dataDxfId="17"/>
    <tableColumn id="4" xr3:uid="{ADE1DD4B-661B-4D7A-891E-B773DA99370C}" name="H. Dev" totalsRowFunction="sum" totalsRowDxfId="16"/>
    <tableColumn id="21" xr3:uid="{F7804BD5-A9ED-4D04-AC49-F0EF0AFCBC75}" name="Heure tot DEV_x000a_ Consommé" totalsRowFunction="sum" totalsRowDxfId="15"/>
    <tableColumn id="5" xr3:uid="{512B34EB-AF2C-4231-8CC9-9CD87AC47A1B}" name="H. Qualif" totalsRowFunction="sum"/>
    <tableColumn id="17" xr3:uid="{46FD2B60-3FF7-425A-B58A-2344EFFB8D90}" name="Init" totalsRowFunction="sum" dataDxfId="14">
      <calculatedColumnFormula>TableauSuiviSprint[[#This Row],[H. Dev]]+TableauSuiviSprint[[#This Row],[H. Qualif]]</calculatedColumnFormula>
    </tableColumn>
    <tableColumn id="7" xr3:uid="{E661FED9-5076-4E05-96F7-8B3B8A19196A}" name="J1" totalsRowFunction="sum" dataDxfId="13">
      <calculatedColumnFormula>TableauSuiviSprint[[#This Row],[Init]]</calculatedColumnFormula>
    </tableColumn>
    <tableColumn id="8" xr3:uid="{508797F1-5A28-4C6B-8F46-BA3191D0A048}" name="J2" totalsRowFunction="sum" dataDxfId="12">
      <calculatedColumnFormula>TableauSuiviSprint[[#This Row],[Init]]</calculatedColumnFormula>
    </tableColumn>
    <tableColumn id="9" xr3:uid="{067C091B-FD15-4DE9-8ABC-1E62FFFD08FB}" name="J3" totalsRowFunction="sum" dataDxfId="11">
      <calculatedColumnFormula>TableauSuiviSprint[[#This Row],[J2]]</calculatedColumnFormula>
    </tableColumn>
    <tableColumn id="10" xr3:uid="{7EED598A-FEF7-407B-B83F-9CFF584F6A85}" name="J4" totalsRowFunction="sum" dataDxfId="10">
      <calculatedColumnFormula>TableauSuiviSprint[[#This Row],[J3]]</calculatedColumnFormula>
    </tableColumn>
    <tableColumn id="11" xr3:uid="{9602BEC3-11B3-4BDF-B9B0-0E96A3437C7E}" name="J5" totalsRowFunction="sum" dataDxfId="9">
      <calculatedColumnFormula>TableauSuiviSprint[[#This Row],[J4]]</calculatedColumnFormula>
    </tableColumn>
    <tableColumn id="12" xr3:uid="{CFA4605B-73EE-4C85-A614-1919E1558454}" name="J6" totalsRowFunction="sum" dataDxfId="8">
      <calculatedColumnFormula>TableauSuiviSprint[[#This Row],[J5]]</calculatedColumnFormula>
    </tableColumn>
    <tableColumn id="13" xr3:uid="{D858FC5E-2ABF-4C1D-9956-D6C618B90EAC}" name="J7" totalsRowFunction="sum" dataDxfId="7">
      <calculatedColumnFormula>TableauSuiviSprint[[#This Row],[J6]]</calculatedColumnFormula>
    </tableColumn>
    <tableColumn id="14" xr3:uid="{0B4A49A8-9298-4686-942A-487B04D28060}" name="J8" totalsRowFunction="custom" dataDxfId="6">
      <calculatedColumnFormula>TableauSuiviSprint[[#This Row],[J7]]</calculatedColumnFormula>
      <totalsRowFormula>SUBTOTAL(109,TableauSuiviSprint[J8])-BB23</totalsRowFormula>
    </tableColumn>
    <tableColumn id="15" xr3:uid="{F9EB1904-9BB0-437A-B71B-4F6CB243E638}" name="J9" totalsRowFunction="custom" dataDxfId="5">
      <calculatedColumnFormula>TableauSuiviSprint[[#This Row],[J8]]</calculatedColumnFormula>
      <totalsRowFormula>SUBTOTAL(109,TableauSuiviSprint[J9])-BC23</totalsRowFormula>
    </tableColumn>
    <tableColumn id="16" xr3:uid="{349883DE-ADE3-4230-8144-8119644562E4}" name="J10" totalsRowFunction="custom" dataDxfId="4">
      <calculatedColumnFormula>TableauSuiviSprint[[#This Row],[J9]]</calculatedColumnFormula>
      <totalsRowFormula>SUBTOTAL(109,TableauSuiviSprint[J10])-BD23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1EAA45-BAC7-4D44-82D4-A466C70A69D2}" name="tabPlanning10" displayName="tabPlanning10" ref="B42:C42" headerRowCount="0" totalsRowShown="0">
  <tableColumns count="2">
    <tableColumn id="1" xr3:uid="{4322ADF5-67D8-43E1-B1C6-957B8FFE6C6B}" name="Colonne1" headerRowDxfId="3" dataDxfId="2"/>
    <tableColumn id="2" xr3:uid="{FCA280D6-2636-4729-8A73-43D50BBF4144}" name="Colonne2" headerRowDxfId="1" dataDxfId="0">
      <calculatedColumnFormula>IF(Total_jour_presence=J43,"OK","KO")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38F3D3-1CF9-4A5C-BB66-B4645B7092E5}" name="TableauSuiviSprint_Init" displayName="TableauSuiviSprint_Init" ref="AE4:BD45" totalsRowCount="1">
  <autoFilter ref="AE4:BD44" xr:uid="{00000000-0009-0000-0100-000002000000}"/>
  <sortState xmlns:xlrd2="http://schemas.microsoft.com/office/spreadsheetml/2017/richdata2" ref="AE5:BD44">
    <sortCondition ref="AL4:AL44"/>
  </sortState>
  <tableColumns count="26">
    <tableColumn id="6" xr3:uid="{0CDEF405-ED66-4550-AAFE-5763FE9A6DF8}" name="Affect" dataDxfId="263"/>
    <tableColumn id="24" xr3:uid="{F7A3F23E-36C7-49DF-B2F0-0316DEE3A741}" name="Techno" dataDxfId="262"/>
    <tableColumn id="20" xr3:uid="{CCDB2627-7C1D-4F24-89B5-90F703591125}" name="Appli." dataDxfId="261"/>
    <tableColumn id="1" xr3:uid="{B458CA08-3DCE-4E79-8636-5409F24DB023}" name="Code" totalsRowLabel="Total"/>
    <tableColumn id="23" xr3:uid="{FCD0D5DA-D0A7-4758-A552-F183368B04E6}" name="N° feature"/>
    <tableColumn id="22" xr3:uid="{3071B7CB-22CC-483E-82F0-818974A0B92E}" name="Nom feature" dataDxfId="260">
      <calculatedColumnFormula>IF(TableauSuiviSprint_Init[[#This Row],[N° feature]]&lt;&gt;"",VLOOKUP(TableauSuiviSprint_Init[[#This Row],[N° feature]],SSG_Features[[#All],[ID]:[Tags]],3,FALSE),"")</calculatedColumnFormula>
    </tableColumn>
    <tableColumn id="18" xr3:uid="{42CEBD5C-71C3-40D7-8ACC-296C06752C56}" name="Version" dataDxfId="259"/>
    <tableColumn id="19" xr3:uid="{957C6287-BDC6-4E18-B4D3-1AF9C0D2611A}" name="Prioritaire" dataDxfId="258"/>
    <tableColumn id="3" xr3:uid="{139039C2-89AF-4716-977B-EF36711009B8}" name="Détail" dataDxfId="257"/>
    <tableColumn id="2" xr3:uid="{40577912-4906-4242-BFB9-CF2F6B01DFC3}" name="SP" totalsRowFunction="sum" dataDxfId="256"/>
    <tableColumn id="28" xr3:uid="{C8719634-1274-4091-B3DA-1E9FDAA4AA63}" name="Dev" dataDxfId="255"/>
    <tableColumn id="27" xr3:uid="{B40BCDBA-52D3-47A8-87B4-1BCE56E88EA3}" name="TC / MR" dataDxfId="254"/>
    <tableColumn id="4" xr3:uid="{E68F2931-5088-43EA-ADE8-71EBD366D828}" name="H. Dev" totalsRowFunction="sum" totalsRowDxfId="253"/>
    <tableColumn id="21" xr3:uid="{88054BA7-472C-44DA-B223-F67922F675BD}" name="Heure tot DEV_x000a_ Consommé" totalsRowFunction="sum" totalsRowDxfId="252"/>
    <tableColumn id="5" xr3:uid="{6DF5ADCD-24DA-437E-8DE6-F9AFA4FC4D17}" name="H. Qualif" totalsRowFunction="sum"/>
    <tableColumn id="17" xr3:uid="{D9716627-04FC-4375-A9AC-1449B83E147E}" name="Init" totalsRowFunction="sum" dataDxfId="251">
      <calculatedColumnFormula>TableauSuiviSprint_Init[[#This Row],[H. Dev]]+TableauSuiviSprint_Init[[#This Row],[H. Qualif]]</calculatedColumnFormula>
    </tableColumn>
    <tableColumn id="7" xr3:uid="{15EA3410-447F-4AE9-9F8F-F1A84F6226BF}" name="J1" totalsRowFunction="sum" dataDxfId="250">
      <calculatedColumnFormula>TableauSuiviSprint_Init[[#This Row],[Init]]</calculatedColumnFormula>
    </tableColumn>
    <tableColumn id="8" xr3:uid="{0380DC1A-4ECE-453A-A9D7-CEBB54DD1C24}" name="J2" totalsRowFunction="sum" dataDxfId="249">
      <calculatedColumnFormula>TableauSuiviSprint_Init[[#This Row],[Init]]</calculatedColumnFormula>
    </tableColumn>
    <tableColumn id="9" xr3:uid="{78763929-A68F-437F-8194-9FC1DEE2E086}" name="J3" totalsRowFunction="sum" dataDxfId="248">
      <calculatedColumnFormula>TableauSuiviSprint_Init[[#This Row],[J2]]</calculatedColumnFormula>
    </tableColumn>
    <tableColumn id="10" xr3:uid="{18CD15C3-CF01-4A28-AD62-297118FD6C7E}" name="J4" totalsRowFunction="sum" dataDxfId="247">
      <calculatedColumnFormula>TableauSuiviSprint_Init[[#This Row],[J3]]</calculatedColumnFormula>
    </tableColumn>
    <tableColumn id="11" xr3:uid="{5B106D69-6C46-4809-9BB8-9553D02AC744}" name="J5" totalsRowFunction="sum" dataDxfId="246">
      <calculatedColumnFormula>TableauSuiviSprint_Init[[#This Row],[J4]]</calculatedColumnFormula>
    </tableColumn>
    <tableColumn id="12" xr3:uid="{770E2EC4-27D0-4C12-B315-81464CB1331F}" name="J6" totalsRowFunction="sum" dataDxfId="245">
      <calculatedColumnFormula>TableauSuiviSprint_Init[[#This Row],[J5]]</calculatedColumnFormula>
    </tableColumn>
    <tableColumn id="13" xr3:uid="{03545B1C-1DBA-45C5-A869-BE074DD40CC8}" name="J7" totalsRowFunction="sum" dataDxfId="244">
      <calculatedColumnFormula>TableauSuiviSprint_Init[[#This Row],[J6]]</calculatedColumnFormula>
    </tableColumn>
    <tableColumn id="14" xr3:uid="{510E2C68-A97E-4C1A-B9BF-6215C9FEB673}" name="J8" totalsRowFunction="custom" dataDxfId="243">
      <calculatedColumnFormula>TableauSuiviSprint_Init[[#This Row],[J7]]</calculatedColumnFormula>
      <totalsRowFormula>SUBTOTAL(109,TableauSuiviSprint_Init[J8])-BB23</totalsRowFormula>
    </tableColumn>
    <tableColumn id="15" xr3:uid="{B2B5890E-C640-4276-B7C6-5159262C8339}" name="J9" totalsRowFunction="custom" dataDxfId="242">
      <calculatedColumnFormula>TableauSuiviSprint_Init[[#This Row],[J8]]</calculatedColumnFormula>
      <totalsRowFormula>SUBTOTAL(109,TableauSuiviSprint_Init[J9])-BC23</totalsRowFormula>
    </tableColumn>
    <tableColumn id="16" xr3:uid="{96C400CE-B2B0-4592-A1B9-286E924CB392}" name="J10" totalsRowFunction="custom" dataDxfId="241">
      <calculatedColumnFormula>TableauSuiviSprint_Init[[#This Row],[J9]]</calculatedColumnFormula>
      <totalsRowFormula>SUBTOTAL(109,TableauSuiviSprint_Init[J10])-BD23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8BF9A-56D4-4BFE-A83E-CBDF60261E6D}" name="tabPlanning" displayName="tabPlanning" ref="B42:C42" headerRowCount="0" totalsRowShown="0">
  <tableColumns count="2">
    <tableColumn id="1" xr3:uid="{640C10B0-4091-4F9F-B261-FC9AAFDCDD20}" name="Colonne1" headerRowDxfId="240" dataDxfId="239"/>
    <tableColumn id="2" xr3:uid="{3B1F1D8D-59FE-4989-93E7-1997C4ED8216}" name="Colonne2" headerRowDxfId="238" dataDxfId="237">
      <calculatedColumnFormula>IF(Total_jour_presence=J43,"OK","KO")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6" displayName="Tableau6" ref="B3:J24" totalsRowCount="1" headerRowDxfId="236">
  <autoFilter ref="B3:J23" xr:uid="{00000000-0009-0000-0100-000008000000}"/>
  <sortState xmlns:xlrd2="http://schemas.microsoft.com/office/spreadsheetml/2017/richdata2" ref="B4:J23">
    <sortCondition ref="H3:H23"/>
  </sortState>
  <tableColumns count="9">
    <tableColumn id="1" xr3:uid="{00000000-0010-0000-0100-000001000000}" name="Techno" totalsRowLabel="Total" dataDxfId="235"/>
    <tableColumn id="6" xr3:uid="{00000000-0010-0000-0100-000006000000}" name="Appli" dataDxfId="234"/>
    <tableColumn id="2" xr3:uid="{00000000-0010-0000-0100-000002000000}" name="US" dataDxfId="233"/>
    <tableColumn id="7" xr3:uid="{06BB46E2-06CE-4CAC-84CE-EB4F4A35B2F6}" name="Feature"/>
    <tableColumn id="8" xr3:uid="{5062E86E-2E1D-423D-B700-CF729D9D8C39}" name="Nom feature" dataDxfId="232"/>
    <tableColumn id="9" xr3:uid="{704D70D2-F3E9-4F29-9420-F1EB3BB2CE74}" name="Version" dataDxfId="231"/>
    <tableColumn id="3" xr3:uid="{00000000-0010-0000-0100-000003000000}" name="Priorité" dataDxfId="230"/>
    <tableColumn id="4" xr3:uid="{00000000-0010-0000-0100-000004000000}" name="Détail" dataDxfId="229" totalsRowDxfId="228"/>
    <tableColumn id="5" xr3:uid="{00000000-0010-0000-0100-000005000000}" name="SP" totalsRowFunction="sum" dataDxfId="227" totalsRowDxfId="22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B50A01-4095-43D1-95A3-D434C4B17DC2}" name="TableauFinSprint" displayName="TableauFinSprint" ref="M3:AC28" totalsRowCount="1" headerRowDxfId="225" dataDxfId="223" headerRowBorderDxfId="224" tableBorderDxfId="222">
  <autoFilter ref="M3:AC27" xr:uid="{D9B50A01-4095-43D1-95A3-D434C4B17DC2}"/>
  <sortState xmlns:xlrd2="http://schemas.microsoft.com/office/spreadsheetml/2017/richdata2" ref="M4:AC22">
    <sortCondition descending="1" ref="M3:M22"/>
    <sortCondition ref="N3:N22"/>
    <sortCondition ref="R3:R22"/>
    <sortCondition ref="AA3:AA22"/>
  </sortState>
  <tableColumns count="17">
    <tableColumn id="2" xr3:uid="{F9D79DA9-C5ED-4C88-88CD-70F3FA6601C8}" name="Techno" totalsRowLabel="Total"/>
    <tableColumn id="4" xr3:uid="{3DE09C6D-3CDE-49BF-9C00-C5CFDB3B9D2C}" name="Appli"/>
    <tableColumn id="5" xr3:uid="{8EAF713D-244C-4266-9CB1-831E99516E4C}" name="US"/>
    <tableColumn id="19" xr3:uid="{474CE7E9-0A42-4DF3-8A9A-EB70344AAC3F}" name="N° feature"/>
    <tableColumn id="11" xr3:uid="{3CAC992A-84EB-43B6-98A7-F4D5B65F68F2}" name="Nom feature" dataDxfId="221">
      <calculatedColumnFormula>IF(TableauSuiviSprint_Init[[#This Row],[N° feature]]&lt;&gt;"",VLOOKUP(TableauSuiviSprint_Init[[#This Row],[N° feature]],SSG_Features[[#All],[ID]:[Tags]],3,FALSE),"")</calculatedColumnFormula>
    </tableColumn>
    <tableColumn id="7" xr3:uid="{0AFEF461-0386-44D1-B909-72AAAF1078F8}" name="Version"/>
    <tableColumn id="9" xr3:uid="{E7ECCB98-6631-4B06-A7CC-F61BE5046A6D}" name="Priorité"/>
    <tableColumn id="6" xr3:uid="{7D6F377C-7E65-4339-A3B9-BFA4B159DEC1}" name="Détail" totalsRowDxfId="220"/>
    <tableColumn id="13" xr3:uid="{181C97B3-3AFC-4ED7-AA09-855F744724DB}" name="SP" totalsRowFunction="sum" totalsRowDxfId="219"/>
    <tableColumn id="14" xr3:uid="{EC60AE7C-B005-4F35-B3F6-A418176E76F2}" name="Dev " totalsRowDxfId="218"/>
    <tableColumn id="16" xr3:uid="{2ACF1D08-14EE-406C-AA50-B32D8776DD27}" name="DEV TC + MR" totalsRowDxfId="217"/>
    <tableColumn id="15" xr3:uid="{8A9D32DE-F923-4F02-B20E-2030129645AA}" name="Heures de dev totales" totalsRowDxfId="216"/>
    <tableColumn id="18" xr3:uid="{E5351E04-2FF0-44FC-95DA-62F3541657FD}" name="Heure dev consommé" totalsRowDxfId="215"/>
    <tableColumn id="12" xr3:uid="{900430F0-2A4E-4F44-BB3D-D77D6148FB4C}" name="Type" dataDxfId="214" totalsRowDxfId="213"/>
    <tableColumn id="10" xr3:uid="{CF63DA62-A3AB-405D-B27B-4994D964E23A}" name="Livré" dataDxfId="212" totalsRowDxfId="211"/>
    <tableColumn id="8" xr3:uid="{408E7F6B-20CD-4BBF-9001-66EE94EA9F7E}" name="SP Livré" totalsRowFunction="sum" dataDxfId="210">
      <calculatedColumnFormula>IF(TableauFinSprint[[#This Row],[Livré]]="N",0,TableauFinSprint[[#This Row],[SP]])</calculatedColumnFormula>
    </tableColumn>
    <tableColumn id="3" xr3:uid="{479CBAC3-73EE-47E0-955E-5F342B588E1D}" name="Jour de dev" totalsRowFunction="sum" dataDxfId="209" totalsRowDxfId="208">
      <calculatedColumnFormula>IF(TableauFinSprint[[#This Row],[Livré]]="N",0,TableauFinSprint[[#This Row],[Heures de dev totales]]/HEURES)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859C9-D7AE-4D4C-AE0D-93105067455C}" name="Tableau65" displayName="Tableau65" ref="B26:J47" totalsRowCount="1" headerRowDxfId="207">
  <autoFilter ref="B26:J46" xr:uid="{DEA859C9-D7AE-4D4C-AE0D-93105067455C}"/>
  <sortState xmlns:xlrd2="http://schemas.microsoft.com/office/spreadsheetml/2017/richdata2" ref="B27:J46">
    <sortCondition ref="H26:H46"/>
  </sortState>
  <tableColumns count="9">
    <tableColumn id="1" xr3:uid="{E9E8530F-03B6-40BD-8707-AA34E40EB5A9}" name="Techno" totalsRowLabel="Total"/>
    <tableColumn id="6" xr3:uid="{82822945-93DA-4F28-9A9C-383990B972E6}" name="Appli" dataDxfId="206"/>
    <tableColumn id="2" xr3:uid="{7975A752-5719-41E9-AA61-E80CB7877945}" name="US"/>
    <tableColumn id="7" xr3:uid="{503EB6CD-6F50-48CA-B8F7-D036E0C5E159}" name="Feature"/>
    <tableColumn id="8" xr3:uid="{1271BE94-9878-407B-A7E0-0281E062ED55}" name="Nom feature" dataDxfId="205"/>
    <tableColumn id="9" xr3:uid="{080409C2-4EE7-4720-A8EB-41093BE34E2C}" name="Version" dataDxfId="204"/>
    <tableColumn id="3" xr3:uid="{05974B64-A31F-4FF9-9BBA-87CAD11E21D6}" name="Priorité" dataDxfId="203"/>
    <tableColumn id="4" xr3:uid="{0B49D41D-CCF6-4A2F-98E1-7120A5A59624}" name="Détail" dataDxfId="202" totalsRowDxfId="201"/>
    <tableColumn id="5" xr3:uid="{760A77D1-AC57-4246-899B-AB5598677265}" name="SP" totalsRowFunction="sum" dataDxfId="200" totalsRowDxfId="199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au5" displayName="Tableau5" ref="B5:H7" totalsRowShown="0">
  <autoFilter ref="B5:H7" xr:uid="{00000000-0009-0000-0100-000005000000}"/>
  <tableColumns count="7">
    <tableColumn id="1" xr3:uid="{00000000-0010-0000-0600-000001000000}" name="Application"/>
    <tableColumn id="2" xr3:uid="{00000000-0010-0000-0600-000002000000}" name="ID"/>
    <tableColumn id="3" xr3:uid="{00000000-0010-0000-0600-000003000000}" name="Sprint/version"/>
    <tableColumn id="4" xr3:uid="{00000000-0010-0000-0600-000004000000}" name="Description"/>
    <tableColumn id="5" xr3:uid="{00000000-0010-0000-0600-000005000000}" name="Statut" dataDxfId="198"/>
    <tableColumn id="6" xr3:uid="{00000000-0010-0000-0600-000006000000}" name="date ouverture" dataDxfId="197"/>
    <tableColumn id="7" xr3:uid="{00000000-0010-0000-0600-000007000000}" name="Commentaire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91A00-2564-415E-BAAB-27ED1A771051}" name="SSG_Features" displayName="SSG_Features" ref="A1:H458" tableType="queryTable" totalsRowShown="0">
  <autoFilter ref="A1:H458" xr:uid="{AAF91A00-2564-415E-BAAB-27ED1A771051}"/>
  <tableColumns count="8">
    <tableColumn id="1" xr3:uid="{B2440FC3-5C8F-4310-B603-55A1A6BDE368}" uniqueName="1" name="Area Path" queryTableFieldId="1" dataDxfId="196"/>
    <tableColumn id="2" xr3:uid="{BFA763A6-B76F-4702-A01F-70D495900B9C}" uniqueName="2" name="ID" queryTableFieldId="2"/>
    <tableColumn id="3" xr3:uid="{C2F35102-F7B9-4D60-A5F7-C7957E69D929}" uniqueName="3" name="Work Item Type" queryTableFieldId="3" dataDxfId="195"/>
    <tableColumn id="4" xr3:uid="{F0C19671-2F6C-4778-8951-9FB4486D7B27}" uniqueName="4" name="Title 1" queryTableFieldId="4" dataDxfId="194"/>
    <tableColumn id="5" xr3:uid="{633D02EB-F8C8-4142-838B-ABB0D03EE000}" uniqueName="5" name="Title 2" queryTableFieldId="5" dataDxfId="193"/>
    <tableColumn id="6" xr3:uid="{A216C6A4-8D4E-4F89-8427-35288D9D7503}" uniqueName="6" name="Assigned To" queryTableFieldId="6" dataDxfId="192"/>
    <tableColumn id="7" xr3:uid="{CC21EC14-8C0C-4420-9B2F-7F4299DB8EE3}" uniqueName="7" name="State" queryTableFieldId="7" dataDxfId="191"/>
    <tableColumn id="8" xr3:uid="{9EC2E94B-A4F0-4016-BA50-31131383BAAB}" uniqueName="8" name="Tags" queryTableFieldId="8" dataDxfId="19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3475-26F2-4E56-8FCC-D3135089232F}">
  <dimension ref="A1:BH72"/>
  <sheetViews>
    <sheetView tabSelected="1" topLeftCell="C2" zoomScale="60" zoomScaleNormal="60" workbookViewId="0">
      <selection activeCell="F17" sqref="F17"/>
    </sheetView>
  </sheetViews>
  <sheetFormatPr baseColWidth="10" defaultColWidth="11.42578125" defaultRowHeight="15" x14ac:dyDescent="0.25"/>
  <cols>
    <col min="2" max="2" width="21.7109375" bestFit="1" customWidth="1"/>
    <col min="3" max="3" width="14.28515625" customWidth="1"/>
    <col min="4" max="4" width="15.28515625" customWidth="1"/>
    <col min="5" max="5" width="6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4.7109375" bestFit="1" customWidth="1"/>
    <col min="10" max="10" width="9" customWidth="1"/>
    <col min="11" max="12" width="4.5703125" bestFit="1" customWidth="1"/>
    <col min="13" max="13" width="7.42578125" bestFit="1" customWidth="1"/>
    <col min="14" max="14" width="4.28515625" bestFit="1" customWidth="1"/>
    <col min="15" max="15" width="7.28515625" customWidth="1"/>
    <col min="16" max="16" width="4.5703125" bestFit="1" customWidth="1"/>
    <col min="17" max="17" width="5.28515625" customWidth="1"/>
    <col min="18" max="18" width="8.5703125" bestFit="1" customWidth="1"/>
    <col min="19" max="19" width="4.7109375" bestFit="1" customWidth="1"/>
    <col min="20" max="20" width="4.5703125" bestFit="1" customWidth="1"/>
    <col min="21" max="21" width="4.7109375" bestFit="1" customWidth="1"/>
    <col min="22" max="22" width="4.5703125" bestFit="1" customWidth="1"/>
    <col min="23" max="23" width="4.5703125" customWidth="1"/>
    <col min="24" max="24" width="6" bestFit="1" customWidth="1"/>
    <col min="25" max="25" width="8.28515625" bestFit="1" customWidth="1"/>
    <col min="26" max="26" width="4.5703125" bestFit="1" customWidth="1"/>
    <col min="27" max="27" width="11.7109375" customWidth="1"/>
    <col min="28" max="28" width="4.5703125" bestFit="1" customWidth="1"/>
    <col min="29" max="29" width="6.7109375" customWidth="1"/>
    <col min="30" max="30" width="6.7109375" bestFit="1" customWidth="1"/>
    <col min="31" max="31" width="10.5703125" customWidth="1"/>
    <col min="32" max="32" width="9.7109375" bestFit="1" customWidth="1"/>
    <col min="33" max="33" width="8.5703125" bestFit="1" customWidth="1"/>
    <col min="34" max="34" width="10.28515625" customWidth="1"/>
    <col min="35" max="35" width="16" bestFit="1" customWidth="1"/>
    <col min="36" max="36" width="23.7109375" customWidth="1"/>
    <col min="37" max="37" width="10.42578125" customWidth="1"/>
    <col min="38" max="38" width="8.7109375" customWidth="1"/>
    <col min="39" max="39" width="82" customWidth="1"/>
    <col min="40" max="41" width="5.7109375" bestFit="1" customWidth="1"/>
    <col min="42" max="42" width="7" bestFit="1" customWidth="1"/>
    <col min="43" max="43" width="10.42578125" bestFit="1" customWidth="1"/>
    <col min="44" max="44" width="16.28515625" bestFit="1" customWidth="1"/>
    <col min="45" max="45" width="17" customWidth="1"/>
    <col min="46" max="46" width="11" bestFit="1" customWidth="1"/>
    <col min="47" max="56" width="7.7109375" customWidth="1"/>
    <col min="57" max="57" width="7.7109375" bestFit="1" customWidth="1"/>
    <col min="59" max="59" width="1.5703125" bestFit="1" customWidth="1"/>
  </cols>
  <sheetData>
    <row r="1" spans="1:56" hidden="1" x14ac:dyDescent="0.25">
      <c r="AU1" s="113">
        <f ca="1">Param!A32</f>
        <v>45124</v>
      </c>
      <c r="AV1" s="113">
        <f ca="1">AU1+1</f>
        <v>45125</v>
      </c>
      <c r="AW1" s="113">
        <f ca="1">AV1+1</f>
        <v>45126</v>
      </c>
      <c r="AX1" s="113">
        <f ca="1">AW1+1</f>
        <v>45127</v>
      </c>
      <c r="AY1" s="113">
        <f ca="1">AX1+1</f>
        <v>45128</v>
      </c>
      <c r="AZ1" s="113">
        <f ca="1">AY1+3</f>
        <v>45131</v>
      </c>
      <c r="BA1" s="113">
        <f ca="1">AZ1+1</f>
        <v>45132</v>
      </c>
      <c r="BB1" s="113">
        <f ca="1">BA1+1</f>
        <v>45133</v>
      </c>
      <c r="BC1" s="113">
        <f ca="1">BB1+1</f>
        <v>45134</v>
      </c>
      <c r="BD1" s="113">
        <f ca="1">BC1+1</f>
        <v>45135</v>
      </c>
    </row>
    <row r="2" spans="1:56" x14ac:dyDescent="0.25">
      <c r="B2" t="s">
        <v>0</v>
      </c>
      <c r="C2">
        <v>6</v>
      </c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F2" s="312" t="s">
        <v>1</v>
      </c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66"/>
      <c r="AR2" s="79" t="s">
        <v>2</v>
      </c>
      <c r="AS2" s="66"/>
      <c r="AU2" s="313" t="s">
        <v>3</v>
      </c>
      <c r="AV2" s="313"/>
      <c r="AW2" s="313"/>
      <c r="AX2" s="313"/>
      <c r="AY2" s="313"/>
      <c r="AZ2" s="313"/>
      <c r="BA2" s="313"/>
      <c r="BB2" s="313"/>
      <c r="BC2" s="313"/>
      <c r="BD2" s="313"/>
    </row>
    <row r="3" spans="1:56" ht="16.5" thickBot="1" x14ac:dyDescent="0.3">
      <c r="E3" s="314" t="s">
        <v>4</v>
      </c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O3" s="315" t="s">
        <v>5</v>
      </c>
      <c r="AP3" s="315"/>
      <c r="AU3" s="34" t="s">
        <v>6</v>
      </c>
      <c r="AV3" s="35" t="s">
        <v>7</v>
      </c>
      <c r="AW3" s="35" t="s">
        <v>8</v>
      </c>
      <c r="AX3" s="35" t="s">
        <v>9</v>
      </c>
      <c r="AY3" s="35" t="s">
        <v>10</v>
      </c>
      <c r="AZ3" s="36" t="s">
        <v>6</v>
      </c>
      <c r="BA3" s="37" t="s">
        <v>8</v>
      </c>
      <c r="BB3" s="37" t="s">
        <v>8</v>
      </c>
      <c r="BC3" s="37" t="s">
        <v>9</v>
      </c>
      <c r="BD3" s="38" t="s">
        <v>10</v>
      </c>
    </row>
    <row r="4" spans="1:56" ht="60.75" thickBot="1" x14ac:dyDescent="0.3">
      <c r="A4" s="116" t="s">
        <v>11</v>
      </c>
      <c r="D4" s="87"/>
      <c r="E4" s="316" t="s">
        <v>12</v>
      </c>
      <c r="F4" s="317"/>
      <c r="G4" s="317"/>
      <c r="H4" s="317"/>
      <c r="I4" s="318"/>
      <c r="J4" s="310">
        <f ca="1">Param!A32</f>
        <v>45124</v>
      </c>
      <c r="K4" s="308"/>
      <c r="L4" s="308" t="s">
        <v>13</v>
      </c>
      <c r="M4" s="308"/>
      <c r="N4" s="308" t="s">
        <v>14</v>
      </c>
      <c r="O4" s="308"/>
      <c r="P4" s="308" t="s">
        <v>15</v>
      </c>
      <c r="Q4" s="308"/>
      <c r="R4" s="308" t="s">
        <v>16</v>
      </c>
      <c r="S4" s="309"/>
      <c r="T4" s="310" t="s">
        <v>17</v>
      </c>
      <c r="U4" s="310"/>
      <c r="V4" s="308" t="s">
        <v>18</v>
      </c>
      <c r="W4" s="308"/>
      <c r="X4" s="308" t="s">
        <v>19</v>
      </c>
      <c r="Y4" s="308"/>
      <c r="Z4" s="308" t="s">
        <v>20</v>
      </c>
      <c r="AA4" s="308"/>
      <c r="AB4" s="308" t="s">
        <v>21</v>
      </c>
      <c r="AC4" s="309"/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s="40" t="s">
        <v>32</v>
      </c>
      <c r="AP4" s="40" t="s">
        <v>33</v>
      </c>
      <c r="AQ4" t="s">
        <v>34</v>
      </c>
      <c r="AR4" s="11" t="s">
        <v>35</v>
      </c>
      <c r="AS4" t="s">
        <v>36</v>
      </c>
      <c r="AT4" t="s">
        <v>37</v>
      </c>
      <c r="AU4" t="s">
        <v>38</v>
      </c>
      <c r="AV4" t="s">
        <v>13</v>
      </c>
      <c r="AW4" t="s">
        <v>14</v>
      </c>
      <c r="AX4" t="s">
        <v>15</v>
      </c>
      <c r="AY4" t="s">
        <v>16</v>
      </c>
      <c r="AZ4" t="s">
        <v>17</v>
      </c>
      <c r="BA4" t="s">
        <v>18</v>
      </c>
      <c r="BB4" t="s">
        <v>19</v>
      </c>
      <c r="BC4" t="s">
        <v>20</v>
      </c>
      <c r="BD4" t="s">
        <v>21</v>
      </c>
    </row>
    <row r="5" spans="1:56" ht="75.75" thickBot="1" x14ac:dyDescent="0.3">
      <c r="B5" s="115"/>
      <c r="D5" s="86" t="s">
        <v>39</v>
      </c>
      <c r="E5" s="101" t="s">
        <v>40</v>
      </c>
      <c r="F5" s="102" t="s">
        <v>41</v>
      </c>
      <c r="G5" s="102" t="s">
        <v>42</v>
      </c>
      <c r="H5" s="102" t="s">
        <v>43</v>
      </c>
      <c r="I5" s="103" t="s">
        <v>44</v>
      </c>
      <c r="J5" s="104" t="s">
        <v>45</v>
      </c>
      <c r="K5" s="105" t="s">
        <v>46</v>
      </c>
      <c r="L5" s="105" t="s">
        <v>45</v>
      </c>
      <c r="M5" s="105" t="s">
        <v>46</v>
      </c>
      <c r="N5" s="105" t="s">
        <v>45</v>
      </c>
      <c r="O5" s="105" t="s">
        <v>46</v>
      </c>
      <c r="P5" s="105" t="s">
        <v>45</v>
      </c>
      <c r="Q5" s="105" t="s">
        <v>46</v>
      </c>
      <c r="R5" s="105" t="s">
        <v>45</v>
      </c>
      <c r="S5" s="106" t="s">
        <v>46</v>
      </c>
      <c r="T5" s="104" t="s">
        <v>45</v>
      </c>
      <c r="U5" s="105" t="s">
        <v>46</v>
      </c>
      <c r="V5" s="105" t="s">
        <v>45</v>
      </c>
      <c r="W5" s="105" t="s">
        <v>46</v>
      </c>
      <c r="X5" s="105" t="s">
        <v>45</v>
      </c>
      <c r="Y5" s="105" t="s">
        <v>46</v>
      </c>
      <c r="Z5" s="105" t="s">
        <v>45</v>
      </c>
      <c r="AA5" s="105" t="s">
        <v>46</v>
      </c>
      <c r="AB5" s="105" t="s">
        <v>45</v>
      </c>
      <c r="AC5" s="106" t="s">
        <v>46</v>
      </c>
      <c r="AF5" s="132" t="s">
        <v>47</v>
      </c>
      <c r="AG5" t="s">
        <v>48</v>
      </c>
      <c r="AH5">
        <v>12269</v>
      </c>
      <c r="AI5">
        <v>8554</v>
      </c>
      <c r="AJ5" s="11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AK5" s="6" t="s">
        <v>49</v>
      </c>
      <c r="AL5" s="7">
        <v>1</v>
      </c>
      <c r="AM5" s="90" t="s">
        <v>50</v>
      </c>
      <c r="AN5" s="32">
        <v>2</v>
      </c>
      <c r="AO5" s="50">
        <v>9</v>
      </c>
      <c r="AP5" s="50">
        <v>2</v>
      </c>
      <c r="AQ5" s="30">
        <f>TableauSuiviSprint[[#This Row],[Dev]]+TableauSuiviSprint[[#This Row],[TC / MR]]</f>
        <v>11</v>
      </c>
      <c r="AR5" s="88">
        <v>8.5</v>
      </c>
      <c r="AS5">
        <v>3</v>
      </c>
      <c r="AT5" s="9">
        <f>TableauSuiviSprint[[#This Row],[H. Dev]]+TableauSuiviSprint[[#This Row],[H. Qualif]]</f>
        <v>14</v>
      </c>
      <c r="AU5" s="9">
        <f>TableauSuiviSprint[[#This Row],[Init]]</f>
        <v>14</v>
      </c>
      <c r="AV5" s="186">
        <f>TableauSuiviSprint[[#This Row],[Init]]</f>
        <v>14</v>
      </c>
      <c r="AW5" s="186">
        <f>TableauSuiviSprint[[#This Row],[J2]]</f>
        <v>14</v>
      </c>
      <c r="AX5" s="190">
        <f>TableauSuiviSprint[[#This Row],[J3]]</f>
        <v>14</v>
      </c>
      <c r="AY5" s="191">
        <f>TableauSuiviSprint[[#This Row],[J4]]</f>
        <v>14</v>
      </c>
      <c r="AZ5" s="191">
        <f>TableauSuiviSprint[[#This Row],[J5]]</f>
        <v>14</v>
      </c>
      <c r="BA5" s="191">
        <f>TableauSuiviSprint[[#This Row],[J6]]</f>
        <v>14</v>
      </c>
      <c r="BB5" s="191">
        <f>TableauSuiviSprint[[#This Row],[J7]]</f>
        <v>14</v>
      </c>
      <c r="BC5" s="191">
        <f>TableauSuiviSprint[[#This Row],[J8]]</f>
        <v>14</v>
      </c>
      <c r="BD5" s="213">
        <f>TableauSuiviSprint[[#This Row],[J9]]</f>
        <v>14</v>
      </c>
    </row>
    <row r="6" spans="1:56" ht="75" x14ac:dyDescent="0.25">
      <c r="A6" s="302">
        <f>[1]Planning!$PZ$14</f>
        <v>10</v>
      </c>
      <c r="B6" s="51" t="s">
        <v>51</v>
      </c>
      <c r="C6" s="136">
        <v>0.75</v>
      </c>
      <c r="D6" s="109">
        <f>COUNTA(J6:AC6)/2 +COUNTBLANK(J6:AC6)/2 -COUNTIFS(J6:AC6,"O")/2 - COUNTIFS(J6:AC6,"A")/2</f>
        <v>10</v>
      </c>
      <c r="E6" s="125">
        <f>COUNTIF($J6:$AC6,"&lt;&gt;o" )/2*C6 -SUM($F6:$I6)</f>
        <v>0.75</v>
      </c>
      <c r="F6" s="126">
        <f>COUNTIF($J6:$AC6,"S")/2*C6</f>
        <v>0</v>
      </c>
      <c r="G6" s="126">
        <f>COUNTIF($J6:$AC6,"Q")/2*C6</f>
        <v>0</v>
      </c>
      <c r="H6" s="126">
        <f>COUNTIF($J6:$AC6,"T")/2*C6</f>
        <v>0</v>
      </c>
      <c r="I6" s="140">
        <f t="shared" ref="I6:I25" si="0">COUNTIF($J6:$AC6,"D")/2*C6</f>
        <v>6.75</v>
      </c>
      <c r="J6" s="144"/>
      <c r="K6" s="27" t="s">
        <v>52</v>
      </c>
      <c r="L6" s="27" t="s">
        <v>52</v>
      </c>
      <c r="M6" s="27" t="s">
        <v>52</v>
      </c>
      <c r="N6" s="27" t="s">
        <v>52</v>
      </c>
      <c r="O6" s="27" t="s">
        <v>52</v>
      </c>
      <c r="P6" s="27" t="s">
        <v>52</v>
      </c>
      <c r="Q6" s="27" t="s">
        <v>52</v>
      </c>
      <c r="R6" s="27" t="s">
        <v>52</v>
      </c>
      <c r="S6" s="147" t="s">
        <v>52</v>
      </c>
      <c r="T6" s="144" t="s">
        <v>52</v>
      </c>
      <c r="U6" s="27" t="s">
        <v>52</v>
      </c>
      <c r="V6" s="27" t="s">
        <v>52</v>
      </c>
      <c r="W6" s="27" t="s">
        <v>52</v>
      </c>
      <c r="X6" s="27" t="s">
        <v>52</v>
      </c>
      <c r="Y6" s="27" t="s">
        <v>52</v>
      </c>
      <c r="Z6" s="27" t="s">
        <v>52</v>
      </c>
      <c r="AA6" s="27" t="s">
        <v>52</v>
      </c>
      <c r="AB6" s="93" t="s">
        <v>52</v>
      </c>
      <c r="AC6" s="94"/>
      <c r="AF6" s="132" t="s">
        <v>47</v>
      </c>
      <c r="AG6" t="s">
        <v>48</v>
      </c>
      <c r="AH6">
        <v>12277</v>
      </c>
      <c r="AI6">
        <v>8554</v>
      </c>
      <c r="AJ6" s="11" t="str">
        <f>IF(TableauSuiviSprint[[#This Row],[N° feature]]&lt;&gt;"",VLOOKUP(TableauSuiviSprint[[#This Row],[N° feature]],SSG_Features[[#All],[ID]:[Tags]],3,FALSE),"")</f>
        <v>[Designer] S221018_040 Demande d'évolution distribution CAP-Utilisation d'une scannette</v>
      </c>
      <c r="AK6" s="6" t="s">
        <v>49</v>
      </c>
      <c r="AL6" s="7">
        <v>2</v>
      </c>
      <c r="AM6" s="11" t="s">
        <v>53</v>
      </c>
      <c r="AN6" s="32">
        <v>3</v>
      </c>
      <c r="AO6" s="50">
        <v>14</v>
      </c>
      <c r="AP6" s="50">
        <v>3</v>
      </c>
      <c r="AQ6" s="30">
        <f>TableauSuiviSprint[[#This Row],[Dev]]+TableauSuiviSprint[[#This Row],[TC / MR]]</f>
        <v>17</v>
      </c>
      <c r="AR6" s="88">
        <v>8</v>
      </c>
      <c r="AS6">
        <v>5</v>
      </c>
      <c r="AT6" s="9">
        <f>TableauSuiviSprint[[#This Row],[H. Dev]]+TableauSuiviSprint[[#This Row],[H. Qualif]]</f>
        <v>22</v>
      </c>
      <c r="AU6">
        <f>TableauSuiviSprint[[#This Row],[Init]]</f>
        <v>22</v>
      </c>
      <c r="AV6" s="9">
        <f>TableauSuiviSprint[[#This Row],[Init]]</f>
        <v>22</v>
      </c>
      <c r="AW6" s="186">
        <f>TableauSuiviSprint[[#This Row],[J2]]</f>
        <v>22</v>
      </c>
      <c r="AX6" s="190">
        <f>TableauSuiviSprint[[#This Row],[J3]]</f>
        <v>22</v>
      </c>
      <c r="AY6" s="191">
        <f>TableauSuiviSprint[[#This Row],[J4]]</f>
        <v>22</v>
      </c>
      <c r="AZ6" s="191">
        <f>TableauSuiviSprint[[#This Row],[J5]]</f>
        <v>22</v>
      </c>
      <c r="BA6" s="191">
        <f>TableauSuiviSprint[[#This Row],[J6]]</f>
        <v>22</v>
      </c>
      <c r="BB6" s="191">
        <f>TableauSuiviSprint[[#This Row],[J7]]</f>
        <v>22</v>
      </c>
      <c r="BC6" s="191">
        <f>TableauSuiviSprint[[#This Row],[J8]]</f>
        <v>22</v>
      </c>
      <c r="BD6" s="213">
        <f>TableauSuiviSprint[[#This Row],[J9]]</f>
        <v>22</v>
      </c>
    </row>
    <row r="7" spans="1:56" ht="33" customHeight="1" x14ac:dyDescent="0.25">
      <c r="A7" s="303"/>
      <c r="B7" s="53" t="s">
        <v>51</v>
      </c>
      <c r="C7" s="137">
        <v>1</v>
      </c>
      <c r="D7" s="124"/>
      <c r="E7" s="122"/>
      <c r="F7" s="123"/>
      <c r="G7" s="123"/>
      <c r="H7" s="123"/>
      <c r="I7" s="141">
        <f t="shared" si="0"/>
        <v>0</v>
      </c>
      <c r="J7" s="131" t="s">
        <v>54</v>
      </c>
      <c r="K7" s="5" t="s">
        <v>54</v>
      </c>
      <c r="L7" s="5" t="s">
        <v>54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5" t="s">
        <v>54</v>
      </c>
      <c r="S7" s="148" t="s">
        <v>54</v>
      </c>
      <c r="T7" s="131" t="s">
        <v>54</v>
      </c>
      <c r="U7" s="5" t="s">
        <v>54</v>
      </c>
      <c r="V7" s="5" t="s">
        <v>54</v>
      </c>
      <c r="W7" s="5" t="s">
        <v>54</v>
      </c>
      <c r="X7" s="5" t="s">
        <v>54</v>
      </c>
      <c r="Y7" s="5" t="s">
        <v>54</v>
      </c>
      <c r="Z7" s="5" t="s">
        <v>54</v>
      </c>
      <c r="AA7" s="5" t="s">
        <v>54</v>
      </c>
      <c r="AB7" s="29" t="s">
        <v>54</v>
      </c>
      <c r="AC7" s="73" t="s">
        <v>54</v>
      </c>
      <c r="AF7" s="132" t="s">
        <v>47</v>
      </c>
      <c r="AG7" t="s">
        <v>55</v>
      </c>
      <c r="AH7">
        <v>10679</v>
      </c>
      <c r="AI7">
        <v>9308</v>
      </c>
      <c r="AJ7" s="11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7" s="6" t="s">
        <v>56</v>
      </c>
      <c r="AL7" s="7">
        <v>3</v>
      </c>
      <c r="AM7" s="11" t="s">
        <v>57</v>
      </c>
      <c r="AN7" s="32">
        <v>2</v>
      </c>
      <c r="AO7" s="50">
        <v>8</v>
      </c>
      <c r="AP7" s="50">
        <v>2</v>
      </c>
      <c r="AQ7" s="30">
        <v>10</v>
      </c>
      <c r="AR7" s="88">
        <v>2</v>
      </c>
      <c r="AS7">
        <v>4</v>
      </c>
      <c r="AT7" s="9">
        <f>TableauSuiviSprint[[#This Row],[H. Dev]]+TableauSuiviSprint[[#This Row],[H. Qualif]]</f>
        <v>14</v>
      </c>
      <c r="AU7" s="177">
        <f>TableauSuiviSprint[[#This Row],[Init]]</f>
        <v>14</v>
      </c>
      <c r="AV7" s="177">
        <f>TableauSuiviSprint[[#This Row],[Init]]</f>
        <v>14</v>
      </c>
      <c r="AW7" s="177">
        <f>TableauSuiviSprint[[#This Row],[J2]]</f>
        <v>14</v>
      </c>
      <c r="AX7" s="190">
        <f>TableauSuiviSprint[[#This Row],[J3]]</f>
        <v>14</v>
      </c>
      <c r="AY7" s="191">
        <f>TableauSuiviSprint[[#This Row],[J4]]</f>
        <v>14</v>
      </c>
      <c r="AZ7" s="191">
        <f>TableauSuiviSprint[[#This Row],[J5]]</f>
        <v>14</v>
      </c>
      <c r="BA7" s="191">
        <f>TableauSuiviSprint[[#This Row],[J6]]</f>
        <v>14</v>
      </c>
      <c r="BB7" s="191">
        <f>TableauSuiviSprint[[#This Row],[J7]]</f>
        <v>14</v>
      </c>
      <c r="BC7" s="191">
        <f>TableauSuiviSprint[[#This Row],[J8]]</f>
        <v>14</v>
      </c>
      <c r="BD7" s="213">
        <f>TableauSuiviSprint[[#This Row],[J9]]</f>
        <v>14</v>
      </c>
    </row>
    <row r="8" spans="1:56" ht="34.5" customHeight="1" x14ac:dyDescent="0.25">
      <c r="A8" s="117">
        <f>[1]Planning!$PZ$14</f>
        <v>10</v>
      </c>
      <c r="B8" s="52" t="s">
        <v>58</v>
      </c>
      <c r="C8" s="137">
        <v>0.75</v>
      </c>
      <c r="D8" s="110">
        <f t="shared" ref="D8:D25" si="1">COUNTA(J8:AC8)/2 +COUNTBLANK(J8:AC8)/2 -COUNTIFS(J8:AC8,"O")/2 - COUNTIFS(J8:AC8,"A")/2</f>
        <v>10</v>
      </c>
      <c r="E8" s="82">
        <f t="shared" ref="E8:E25" si="2">COUNTIF($J8:$AC8,"&lt;&gt;o" )/2*C8 -SUM($F8:$I8)</f>
        <v>2.25</v>
      </c>
      <c r="F8" s="74">
        <f t="shared" ref="F8:F25" si="3">COUNTIF($J8:$AC8,"S")/2*C8</f>
        <v>0</v>
      </c>
      <c r="G8" s="74">
        <f t="shared" ref="G8:G25" si="4">COUNTIF($J8:$AC8,"Q")/2*C8</f>
        <v>0</v>
      </c>
      <c r="H8" s="74">
        <f t="shared" ref="H8:H25" si="5">COUNTIF($J8:$AC8,"T")/2*C8</f>
        <v>5.25</v>
      </c>
      <c r="I8" s="142">
        <f t="shared" si="0"/>
        <v>0</v>
      </c>
      <c r="J8" s="131"/>
      <c r="K8" s="5"/>
      <c r="L8" s="5"/>
      <c r="M8" s="5"/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148" t="s">
        <v>59</v>
      </c>
      <c r="T8" s="145" t="s">
        <v>59</v>
      </c>
      <c r="U8" s="29" t="s">
        <v>59</v>
      </c>
      <c r="V8" s="29" t="s">
        <v>59</v>
      </c>
      <c r="W8" s="29" t="s">
        <v>60</v>
      </c>
      <c r="X8" s="29" t="s">
        <v>59</v>
      </c>
      <c r="Y8" s="29" t="s">
        <v>59</v>
      </c>
      <c r="Z8" s="29" t="s">
        <v>59</v>
      </c>
      <c r="AA8" s="29" t="s">
        <v>59</v>
      </c>
      <c r="AB8" s="29"/>
      <c r="AC8" s="73"/>
      <c r="AF8" s="132" t="s">
        <v>47</v>
      </c>
      <c r="AG8" t="s">
        <v>55</v>
      </c>
      <c r="AH8">
        <v>10706</v>
      </c>
      <c r="AI8">
        <v>9308</v>
      </c>
      <c r="AJ8" s="11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8" s="6" t="s">
        <v>56</v>
      </c>
      <c r="AL8" s="7">
        <v>4</v>
      </c>
      <c r="AM8" s="11" t="s">
        <v>61</v>
      </c>
      <c r="AN8" s="32">
        <v>2</v>
      </c>
      <c r="AO8" s="50">
        <v>9</v>
      </c>
      <c r="AP8" s="50">
        <v>2</v>
      </c>
      <c r="AQ8" s="30">
        <f>TableauSuiviSprint[[#This Row],[Dev]]+TableauSuiviSprint[[#This Row],[TC / MR]]</f>
        <v>11</v>
      </c>
      <c r="AR8" s="88">
        <v>6</v>
      </c>
      <c r="AS8" s="30">
        <v>2</v>
      </c>
      <c r="AT8" s="9">
        <f>TableauSuiviSprint[[#This Row],[H. Dev]]+TableauSuiviSprint[[#This Row],[H. Qualif]]</f>
        <v>13</v>
      </c>
      <c r="AU8" s="9">
        <f>TableauSuiviSprint[[#This Row],[Init]]</f>
        <v>13</v>
      </c>
      <c r="AV8" s="177">
        <f>TableauSuiviSprint[[#This Row],[Init]]</f>
        <v>13</v>
      </c>
      <c r="AW8" s="177">
        <f>TableauSuiviSprint[[#This Row],[J2]]</f>
        <v>13</v>
      </c>
      <c r="AX8" s="190">
        <f>TableauSuiviSprint[[#This Row],[J3]]</f>
        <v>13</v>
      </c>
      <c r="AY8" s="191">
        <f>TableauSuiviSprint[[#This Row],[J4]]</f>
        <v>13</v>
      </c>
      <c r="AZ8" s="191">
        <f>TableauSuiviSprint[[#This Row],[J5]]</f>
        <v>13</v>
      </c>
      <c r="BA8" s="191">
        <f>TableauSuiviSprint[[#This Row],[J6]]</f>
        <v>13</v>
      </c>
      <c r="BB8" s="191">
        <f>TableauSuiviSprint[[#This Row],[J7]]</f>
        <v>13</v>
      </c>
      <c r="BC8" s="191">
        <f>TableauSuiviSprint[[#This Row],[J8]]</f>
        <v>13</v>
      </c>
      <c r="BD8" s="213">
        <f>TableauSuiviSprint[[#This Row],[J9]]</f>
        <v>13</v>
      </c>
    </row>
    <row r="9" spans="1:56" ht="30.75" customHeight="1" x14ac:dyDescent="0.25">
      <c r="A9" s="117"/>
      <c r="B9" s="53" t="s">
        <v>62</v>
      </c>
      <c r="C9" s="137">
        <v>1</v>
      </c>
      <c r="D9" s="110">
        <f t="shared" si="1"/>
        <v>10</v>
      </c>
      <c r="E9" s="82">
        <f t="shared" si="2"/>
        <v>9</v>
      </c>
      <c r="F9" s="74">
        <f t="shared" si="3"/>
        <v>0</v>
      </c>
      <c r="G9" s="74">
        <f t="shared" si="4"/>
        <v>0</v>
      </c>
      <c r="H9" s="74">
        <f t="shared" si="5"/>
        <v>0</v>
      </c>
      <c r="I9" s="142">
        <f t="shared" si="0"/>
        <v>1</v>
      </c>
      <c r="J9" s="131"/>
      <c r="K9" s="5"/>
      <c r="L9" s="5" t="s">
        <v>63</v>
      </c>
      <c r="M9" s="5" t="s">
        <v>63</v>
      </c>
      <c r="N9" s="5" t="s">
        <v>63</v>
      </c>
      <c r="O9" s="5" t="s">
        <v>63</v>
      </c>
      <c r="P9" s="5" t="s">
        <v>52</v>
      </c>
      <c r="Q9" s="5" t="s">
        <v>52</v>
      </c>
      <c r="R9" s="5"/>
      <c r="S9" s="148"/>
      <c r="T9" s="131"/>
      <c r="U9" s="5"/>
      <c r="V9" s="5" t="s">
        <v>63</v>
      </c>
      <c r="W9" s="5" t="s">
        <v>63</v>
      </c>
      <c r="X9" s="5" t="s">
        <v>63</v>
      </c>
      <c r="Y9" s="5" t="s">
        <v>63</v>
      </c>
      <c r="Z9" s="5"/>
      <c r="AA9" s="5"/>
      <c r="AB9" s="5"/>
      <c r="AC9" s="28"/>
      <c r="AF9" s="132" t="s">
        <v>47</v>
      </c>
      <c r="AG9" t="s">
        <v>55</v>
      </c>
      <c r="AH9">
        <v>10703</v>
      </c>
      <c r="AI9">
        <v>9308</v>
      </c>
      <c r="AJ9" s="11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9" s="6" t="s">
        <v>56</v>
      </c>
      <c r="AL9" s="7">
        <v>5</v>
      </c>
      <c r="AM9" s="11" t="s">
        <v>64</v>
      </c>
      <c r="AN9" s="32">
        <v>3</v>
      </c>
      <c r="AO9" s="50">
        <v>14</v>
      </c>
      <c r="AP9" s="50">
        <v>3</v>
      </c>
      <c r="AQ9" s="30">
        <f>TableauSuiviSprint[[#This Row],[Dev]]+TableauSuiviSprint[[#This Row],[TC / MR]]</f>
        <v>17</v>
      </c>
      <c r="AR9" s="88">
        <v>19.5</v>
      </c>
      <c r="AS9" s="30">
        <v>5</v>
      </c>
      <c r="AT9" s="9">
        <f>TableauSuiviSprint[[#This Row],[H. Dev]]+TableauSuiviSprint[[#This Row],[H. Qualif]]</f>
        <v>22</v>
      </c>
      <c r="AU9" s="9">
        <f>TableauSuiviSprint[[#This Row],[Init]]</f>
        <v>22</v>
      </c>
      <c r="AV9" s="9">
        <f>TableauSuiviSprint[[#This Row],[Init]]</f>
        <v>22</v>
      </c>
      <c r="AW9" s="177">
        <f>TableauSuiviSprint[[#This Row],[J2]]</f>
        <v>22</v>
      </c>
      <c r="AX9" s="177">
        <f>TableauSuiviSprint[[#This Row],[J3]]</f>
        <v>22</v>
      </c>
      <c r="AY9" s="177">
        <f>TableauSuiviSprint[[#This Row],[J4]]</f>
        <v>22</v>
      </c>
      <c r="AZ9" s="190">
        <f>TableauSuiviSprint[[#This Row],[J5]]</f>
        <v>22</v>
      </c>
      <c r="BA9" s="190">
        <f>TableauSuiviSprint[[#This Row],[J6]]</f>
        <v>22</v>
      </c>
      <c r="BB9" s="191">
        <f>TableauSuiviSprint[[#This Row],[J7]]</f>
        <v>22</v>
      </c>
      <c r="BC9" s="191">
        <f>TableauSuiviSprint[[#This Row],[J8]]</f>
        <v>22</v>
      </c>
      <c r="BD9" s="213">
        <f>TableauSuiviSprint[[#This Row],[J9]]</f>
        <v>22</v>
      </c>
    </row>
    <row r="10" spans="1:56" ht="34.5" customHeight="1" x14ac:dyDescent="0.25">
      <c r="A10" s="302">
        <f>[1]Planning!$PZ$13</f>
        <v>10</v>
      </c>
      <c r="B10" s="52" t="s">
        <v>65</v>
      </c>
      <c r="C10" s="137">
        <v>0</v>
      </c>
      <c r="D10" s="110">
        <f t="shared" si="1"/>
        <v>0</v>
      </c>
      <c r="E10" s="82">
        <f t="shared" si="2"/>
        <v>0</v>
      </c>
      <c r="F10" s="74">
        <f t="shared" si="3"/>
        <v>0</v>
      </c>
      <c r="G10" s="74">
        <f t="shared" si="4"/>
        <v>0</v>
      </c>
      <c r="H10" s="74">
        <f t="shared" si="5"/>
        <v>0</v>
      </c>
      <c r="I10" s="142">
        <f t="shared" si="0"/>
        <v>0</v>
      </c>
      <c r="J10" s="145" t="s">
        <v>54</v>
      </c>
      <c r="K10" s="29" t="s">
        <v>54</v>
      </c>
      <c r="L10" s="29" t="s">
        <v>54</v>
      </c>
      <c r="M10" s="29" t="s">
        <v>54</v>
      </c>
      <c r="N10" s="29" t="s">
        <v>54</v>
      </c>
      <c r="O10" s="29" t="s">
        <v>54</v>
      </c>
      <c r="P10" s="29" t="s">
        <v>54</v>
      </c>
      <c r="Q10" s="29" t="s">
        <v>54</v>
      </c>
      <c r="R10" s="29" t="s">
        <v>54</v>
      </c>
      <c r="S10" s="149" t="s">
        <v>54</v>
      </c>
      <c r="T10" s="145" t="s">
        <v>54</v>
      </c>
      <c r="U10" s="29" t="s">
        <v>54</v>
      </c>
      <c r="V10" s="5" t="s">
        <v>54</v>
      </c>
      <c r="W10" s="29" t="s">
        <v>54</v>
      </c>
      <c r="X10" s="29" t="s">
        <v>54</v>
      </c>
      <c r="Y10" s="29" t="s">
        <v>54</v>
      </c>
      <c r="Z10" s="29" t="s">
        <v>54</v>
      </c>
      <c r="AA10" s="29" t="s">
        <v>54</v>
      </c>
      <c r="AB10" s="29" t="s">
        <v>54</v>
      </c>
      <c r="AC10" s="73" t="s">
        <v>54</v>
      </c>
      <c r="AF10" s="132" t="s">
        <v>47</v>
      </c>
      <c r="AG10" t="s">
        <v>48</v>
      </c>
      <c r="AH10">
        <v>12043</v>
      </c>
      <c r="AI10">
        <v>11918</v>
      </c>
      <c r="AJ10" s="11" t="str">
        <f>IF(TableauSuiviSprint[[#This Row],[N° feature]]&lt;&gt;"",VLOOKUP(TableauSuiviSprint[[#This Row],[N° feature]],SSG_Features[[#All],[ID]:[Tags]],3,FALSE),"")</f>
        <v>[DESIGNER] [Priorité haute] Diverses évolutions N°2 du 16/06/2023</v>
      </c>
      <c r="AK10" s="6" t="s">
        <v>66</v>
      </c>
      <c r="AL10" s="7">
        <v>6</v>
      </c>
      <c r="AM10" s="11" t="s">
        <v>67</v>
      </c>
      <c r="AN10" s="32">
        <v>5</v>
      </c>
      <c r="AO10" s="50">
        <v>23</v>
      </c>
      <c r="AP10" s="50">
        <v>6</v>
      </c>
      <c r="AQ10" s="30">
        <f>TableauSuiviSprint[[#This Row],[Dev]]+TableauSuiviSprint[[#This Row],[TC / MR]]</f>
        <v>29</v>
      </c>
      <c r="AR10" s="88">
        <v>30</v>
      </c>
      <c r="AS10" s="30">
        <v>6</v>
      </c>
      <c r="AT10" s="9">
        <f>TableauSuiviSprint[[#This Row],[H. Dev]]+TableauSuiviSprint[[#This Row],[H. Qualif]]</f>
        <v>35</v>
      </c>
      <c r="AU10" s="9">
        <f>TableauSuiviSprint[[#This Row],[Init]]</f>
        <v>35</v>
      </c>
      <c r="AV10" s="9">
        <f>TableauSuiviSprint[[#This Row],[Init]]</f>
        <v>35</v>
      </c>
      <c r="AW10" s="9">
        <f>TableauSuiviSprint[[#This Row],[J2]]</f>
        <v>35</v>
      </c>
      <c r="AX10" s="9">
        <f>TableauSuiviSprint[[#This Row],[J3]]</f>
        <v>35</v>
      </c>
      <c r="AY10" s="186">
        <f>TableauSuiviSprint[[#This Row],[J4]]</f>
        <v>35</v>
      </c>
      <c r="AZ10" s="186">
        <f>TableauSuiviSprint[[#This Row],[J5]]</f>
        <v>35</v>
      </c>
      <c r="BA10" s="191">
        <f>TableauSuiviSprint[[#This Row],[J6]]</f>
        <v>35</v>
      </c>
      <c r="BB10" s="191">
        <f>TableauSuiviSprint[[#This Row],[J7]]</f>
        <v>35</v>
      </c>
      <c r="BC10" s="191">
        <f>TableauSuiviSprint[[#This Row],[J8]]</f>
        <v>35</v>
      </c>
      <c r="BD10" s="213">
        <f>TableauSuiviSprint[[#This Row],[J9]]</f>
        <v>35</v>
      </c>
    </row>
    <row r="11" spans="1:56" ht="36.75" customHeight="1" x14ac:dyDescent="0.25">
      <c r="A11" s="304"/>
      <c r="B11" s="53" t="s">
        <v>65</v>
      </c>
      <c r="C11" s="137">
        <v>0.75</v>
      </c>
      <c r="D11" s="110">
        <f t="shared" si="1"/>
        <v>10</v>
      </c>
      <c r="E11" s="82">
        <f t="shared" si="2"/>
        <v>1.5</v>
      </c>
      <c r="F11" s="74">
        <f t="shared" si="3"/>
        <v>0</v>
      </c>
      <c r="G11" s="74">
        <f t="shared" si="4"/>
        <v>0</v>
      </c>
      <c r="H11" s="74">
        <f t="shared" si="5"/>
        <v>0</v>
      </c>
      <c r="I11" s="142">
        <f t="shared" si="0"/>
        <v>6</v>
      </c>
      <c r="J11" s="131"/>
      <c r="K11" s="5">
        <v>0</v>
      </c>
      <c r="L11" s="5" t="s">
        <v>52</v>
      </c>
      <c r="M11" s="5" t="s">
        <v>52</v>
      </c>
      <c r="N11" s="5" t="s">
        <v>52</v>
      </c>
      <c r="O11" s="5" t="s">
        <v>52</v>
      </c>
      <c r="P11" s="5" t="s">
        <v>52</v>
      </c>
      <c r="Q11" s="5" t="s">
        <v>52</v>
      </c>
      <c r="R11" s="5" t="s">
        <v>52</v>
      </c>
      <c r="S11" s="148" t="s">
        <v>52</v>
      </c>
      <c r="T11" s="145" t="s">
        <v>52</v>
      </c>
      <c r="U11" s="29" t="s">
        <v>52</v>
      </c>
      <c r="V11" s="29" t="s">
        <v>52</v>
      </c>
      <c r="W11" s="29" t="s">
        <v>52</v>
      </c>
      <c r="X11" s="29" t="s">
        <v>52</v>
      </c>
      <c r="Y11" s="29" t="s">
        <v>52</v>
      </c>
      <c r="Z11" s="29" t="s">
        <v>52</v>
      </c>
      <c r="AA11" s="29" t="s">
        <v>52</v>
      </c>
      <c r="AB11" s="29"/>
      <c r="AC11" s="73"/>
      <c r="AF11" s="132" t="s">
        <v>47</v>
      </c>
      <c r="AG11" t="s">
        <v>48</v>
      </c>
      <c r="AH11">
        <v>12041</v>
      </c>
      <c r="AI11">
        <v>11918</v>
      </c>
      <c r="AJ11" s="11" t="str">
        <f>IF(TableauSuiviSprint[[#This Row],[N° feature]]&lt;&gt;"",VLOOKUP(TableauSuiviSprint[[#This Row],[N° feature]],SSG_Features[[#All],[ID]:[Tags]],3,FALSE),"")</f>
        <v>[DESIGNER] [Priorité haute] Diverses évolutions N°2 du 16/06/2023</v>
      </c>
      <c r="AK11" s="6" t="s">
        <v>66</v>
      </c>
      <c r="AL11" s="7">
        <v>7</v>
      </c>
      <c r="AM11" s="72" t="s">
        <v>68</v>
      </c>
      <c r="AN11" s="32">
        <v>1</v>
      </c>
      <c r="AO11" s="50">
        <v>5</v>
      </c>
      <c r="AP11" s="50">
        <v>1</v>
      </c>
      <c r="AQ11" s="30">
        <f>TableauSuiviSprint[[#This Row],[Dev]]+TableauSuiviSprint[[#This Row],[TC / MR]]</f>
        <v>6</v>
      </c>
      <c r="AR11" s="88">
        <v>5</v>
      </c>
      <c r="AS11" s="30">
        <v>4</v>
      </c>
      <c r="AT11" s="9">
        <f>TableauSuiviSprint[[#This Row],[H. Dev]]+TableauSuiviSprint[[#This Row],[H. Qualif]]</f>
        <v>10</v>
      </c>
      <c r="AU11">
        <f>TableauSuiviSprint[[#This Row],[Init]]</f>
        <v>10</v>
      </c>
      <c r="AV11">
        <f>TableauSuiviSprint[[#This Row],[Init]]</f>
        <v>10</v>
      </c>
      <c r="AW11">
        <f>TableauSuiviSprint[[#This Row],[J2]]</f>
        <v>10</v>
      </c>
      <c r="AX11">
        <f>TableauSuiviSprint[[#This Row],[J3]]</f>
        <v>10</v>
      </c>
      <c r="AY11" s="186">
        <f>TableauSuiviSprint[[#This Row],[J4]]</f>
        <v>10</v>
      </c>
      <c r="AZ11" s="186">
        <f>TableauSuiviSprint[[#This Row],[J5]]</f>
        <v>10</v>
      </c>
      <c r="BA11" s="191">
        <f>TableauSuiviSprint[[#This Row],[J6]]</f>
        <v>10</v>
      </c>
      <c r="BB11" s="191">
        <f>TableauSuiviSprint[[#This Row],[J7]]</f>
        <v>10</v>
      </c>
      <c r="BC11" s="191">
        <f>TableauSuiviSprint[[#This Row],[J8]]</f>
        <v>10</v>
      </c>
      <c r="BD11" s="213">
        <f>TableauSuiviSprint[[#This Row],[J9]]</f>
        <v>10</v>
      </c>
    </row>
    <row r="12" spans="1:56" ht="41.25" customHeight="1" x14ac:dyDescent="0.25">
      <c r="A12" s="117">
        <f>[1]Planning!$PZ$19</f>
        <v>10</v>
      </c>
      <c r="B12" s="53" t="s">
        <v>69</v>
      </c>
      <c r="C12" s="137">
        <v>1</v>
      </c>
      <c r="D12" s="110">
        <f t="shared" si="1"/>
        <v>10</v>
      </c>
      <c r="E12" s="82">
        <f t="shared" si="2"/>
        <v>1</v>
      </c>
      <c r="F12" s="74">
        <f t="shared" si="3"/>
        <v>5.5</v>
      </c>
      <c r="G12" s="74">
        <f t="shared" si="4"/>
        <v>3.5</v>
      </c>
      <c r="H12" s="74">
        <f t="shared" si="5"/>
        <v>0</v>
      </c>
      <c r="I12" s="142">
        <f t="shared" si="0"/>
        <v>0</v>
      </c>
      <c r="J12" s="131"/>
      <c r="K12" s="5" t="s">
        <v>70</v>
      </c>
      <c r="L12" s="5" t="s">
        <v>70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148" t="s">
        <v>70</v>
      </c>
      <c r="T12" s="131" t="s">
        <v>70</v>
      </c>
      <c r="U12" s="5" t="s">
        <v>70</v>
      </c>
      <c r="V12" s="5" t="s">
        <v>71</v>
      </c>
      <c r="W12" s="5" t="s">
        <v>71</v>
      </c>
      <c r="X12" s="5" t="s">
        <v>71</v>
      </c>
      <c r="Y12" s="5" t="s">
        <v>71</v>
      </c>
      <c r="Z12" s="5" t="s">
        <v>71</v>
      </c>
      <c r="AA12" s="5" t="s">
        <v>71</v>
      </c>
      <c r="AB12" s="5" t="s">
        <v>71</v>
      </c>
      <c r="AC12" s="73"/>
      <c r="AE12" s="178"/>
      <c r="AF12" s="179" t="s">
        <v>47</v>
      </c>
      <c r="AG12" s="178" t="s">
        <v>72</v>
      </c>
      <c r="AH12" s="178">
        <v>12462</v>
      </c>
      <c r="AI12" s="178">
        <v>12179</v>
      </c>
      <c r="AJ12" s="180" t="str">
        <f>IF(TableauSuiviSprint[[#This Row],[N° feature]]&lt;&gt;"",VLOOKUP(TableauSuiviSprint[[#This Row],[N° feature]],SSG_Features[[#All],[ID]:[Tags]],3,FALSE),"")</f>
        <v>[DESIGNER] I230630_179 Impossibilité de rééditer une partie des courriers allocataires concernant les décisions de sanction</v>
      </c>
      <c r="AK12" s="181" t="s">
        <v>73</v>
      </c>
      <c r="AL12" s="182">
        <v>8</v>
      </c>
      <c r="AM12" s="180" t="s">
        <v>74</v>
      </c>
      <c r="AN12" s="183">
        <v>1</v>
      </c>
      <c r="AO12" s="184">
        <v>5</v>
      </c>
      <c r="AP12" s="184">
        <v>1</v>
      </c>
      <c r="AQ12" s="184">
        <f>TableauSuiviSprint[[#This Row],[Dev]]+TableauSuiviSprint[[#This Row],[TC / MR]]</f>
        <v>6</v>
      </c>
      <c r="AR12" s="240" t="s">
        <v>75</v>
      </c>
      <c r="AS12">
        <v>2</v>
      </c>
      <c r="AT12" s="9">
        <f>TableauSuiviSprint[[#This Row],[H. Dev]]+TableauSuiviSprint[[#This Row],[H. Qualif]]</f>
        <v>8</v>
      </c>
      <c r="AU12">
        <f>TableauSuiviSprint[[#This Row],[Init]]</f>
        <v>8</v>
      </c>
      <c r="AV12">
        <f>TableauSuiviSprint[[#This Row],[Init]]</f>
        <v>8</v>
      </c>
      <c r="AW12">
        <f>TableauSuiviSprint[[#This Row],[J2]]</f>
        <v>8</v>
      </c>
      <c r="AX12">
        <f>TableauSuiviSprint[[#This Row],[J3]]</f>
        <v>8</v>
      </c>
      <c r="AY12" s="216">
        <f>TableauSuiviSprint[[#This Row],[J4]]</f>
        <v>8</v>
      </c>
      <c r="AZ12" s="186">
        <f>TableauSuiviSprint[[#This Row],[J5]]</f>
        <v>8</v>
      </c>
      <c r="BA12" s="191">
        <f>TableauSuiviSprint[[#This Row],[J6]]</f>
        <v>8</v>
      </c>
      <c r="BB12" s="191">
        <f>TableauSuiviSprint[[#This Row],[J7]]</f>
        <v>8</v>
      </c>
      <c r="BC12" s="191">
        <f>TableauSuiviSprint[[#This Row],[J8]]</f>
        <v>8</v>
      </c>
      <c r="BD12" s="213">
        <f>TableauSuiviSprint[[#This Row],[J9]]</f>
        <v>8</v>
      </c>
    </row>
    <row r="13" spans="1:56" ht="30.75" customHeight="1" x14ac:dyDescent="0.25">
      <c r="A13" s="311">
        <f>[1]Planning!$PZ$9</f>
        <v>10</v>
      </c>
      <c r="B13" s="52" t="s">
        <v>76</v>
      </c>
      <c r="C13" s="137">
        <v>0.5</v>
      </c>
      <c r="D13" s="110">
        <f>COUNTA(J13:AC13)/2 +COUNTBLANK(J13:AC13)/2 -COUNTIFS(J13:AC13,"O")/2 - COUNTIFS(J13:AC13,"A")/2</f>
        <v>7.5</v>
      </c>
      <c r="E13" s="82">
        <f>COUNTIF($J13:$AC13,"&lt;&gt;o" )/2*C13 -SUM($F13:$I13)</f>
        <v>1.25</v>
      </c>
      <c r="F13" s="74">
        <f>COUNTIF($J13:$AC13,"S")/2*C13</f>
        <v>0</v>
      </c>
      <c r="G13" s="74">
        <f>COUNTIF($J13:$AC13,"Q")/2*C13</f>
        <v>0</v>
      </c>
      <c r="H13" s="74">
        <f>COUNTIF($J13:$AC13,"T")/2*C13</f>
        <v>0</v>
      </c>
      <c r="I13" s="142">
        <f>COUNTIF($J13:$AC13,"D")/2*C13</f>
        <v>2.5</v>
      </c>
      <c r="J13" s="131"/>
      <c r="K13" s="5"/>
      <c r="L13" s="5"/>
      <c r="M13" s="5"/>
      <c r="N13" s="5"/>
      <c r="O13" s="5" t="s">
        <v>52</v>
      </c>
      <c r="P13" s="5" t="s">
        <v>52</v>
      </c>
      <c r="Q13" s="5" t="s">
        <v>52</v>
      </c>
      <c r="R13" s="5" t="s">
        <v>52</v>
      </c>
      <c r="S13" s="148" t="s">
        <v>52</v>
      </c>
      <c r="T13" s="131" t="s">
        <v>52</v>
      </c>
      <c r="U13" s="5" t="s">
        <v>52</v>
      </c>
      <c r="V13" s="5" t="s">
        <v>52</v>
      </c>
      <c r="W13" s="5" t="s">
        <v>52</v>
      </c>
      <c r="X13" s="5" t="s">
        <v>52</v>
      </c>
      <c r="Y13" s="5" t="s">
        <v>54</v>
      </c>
      <c r="Z13" s="5" t="s">
        <v>54</v>
      </c>
      <c r="AA13" s="5" t="s">
        <v>54</v>
      </c>
      <c r="AB13" s="5" t="s">
        <v>54</v>
      </c>
      <c r="AC13" s="73" t="s">
        <v>54</v>
      </c>
      <c r="AF13" s="132" t="s">
        <v>47</v>
      </c>
      <c r="AG13" t="s">
        <v>55</v>
      </c>
      <c r="AH13">
        <v>10684</v>
      </c>
      <c r="AI13">
        <v>9308</v>
      </c>
      <c r="AJ13" s="11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13" s="6" t="s">
        <v>56</v>
      </c>
      <c r="AL13" s="7">
        <v>9</v>
      </c>
      <c r="AM13" s="11" t="s">
        <v>77</v>
      </c>
      <c r="AN13" s="32">
        <v>2</v>
      </c>
      <c r="AO13" s="50">
        <v>9</v>
      </c>
      <c r="AP13" s="50">
        <v>2</v>
      </c>
      <c r="AQ13" s="30">
        <f>TableauSuiviSprint[[#This Row],[Dev]]+TableauSuiviSprint[[#This Row],[TC / MR]]</f>
        <v>11</v>
      </c>
      <c r="AR13" s="88">
        <v>9</v>
      </c>
      <c r="AS13">
        <v>4</v>
      </c>
      <c r="AT13" s="9">
        <f>TableauSuiviSprint[[#This Row],[H. Dev]]+TableauSuiviSprint[[#This Row],[H. Qualif]]</f>
        <v>15</v>
      </c>
      <c r="AU13">
        <f>TableauSuiviSprint[[#This Row],[Init]]</f>
        <v>15</v>
      </c>
      <c r="AV13">
        <f>TableauSuiviSprint[[#This Row],[Init]]</f>
        <v>15</v>
      </c>
      <c r="AW13">
        <f>TableauSuiviSprint[[#This Row],[J2]]</f>
        <v>15</v>
      </c>
      <c r="AX13" s="177">
        <f>TableauSuiviSprint[[#This Row],[J3]]</f>
        <v>15</v>
      </c>
      <c r="AY13" s="177">
        <f>TableauSuiviSprint[[#This Row],[J4]]</f>
        <v>15</v>
      </c>
      <c r="AZ13" s="177">
        <f>TableauSuiviSprint[[#This Row],[J5]]</f>
        <v>15</v>
      </c>
      <c r="BA13" s="190">
        <f>TableauSuiviSprint[[#This Row],[J6]]</f>
        <v>15</v>
      </c>
      <c r="BB13" s="190">
        <f>TableauSuiviSprint[[#This Row],[J7]]</f>
        <v>15</v>
      </c>
      <c r="BC13" s="191">
        <f>TableauSuiviSprint[[#This Row],[J8]]</f>
        <v>15</v>
      </c>
      <c r="BD13" s="213">
        <f>TableauSuiviSprint[[#This Row],[J9]]</f>
        <v>15</v>
      </c>
    </row>
    <row r="14" spans="1:56" ht="31.5" customHeight="1" thickBot="1" x14ac:dyDescent="0.3">
      <c r="A14" s="311"/>
      <c r="B14" s="52" t="s">
        <v>76</v>
      </c>
      <c r="C14" s="137">
        <v>0.75</v>
      </c>
      <c r="D14" s="110">
        <f>COUNTA(J14:AC14)/2 +COUNTBLANK(J14:AC14)/2 -COUNTIFS(J14:AC14,"O")/2 - COUNTIFS(J14:AC14,"A")/2</f>
        <v>2.5</v>
      </c>
      <c r="E14" s="82">
        <f>COUNTIF($J14:$AC14,"&lt;&gt;o" )/2*C14 -SUM($F14:$I14)</f>
        <v>0.75</v>
      </c>
      <c r="F14" s="74">
        <f>COUNTIF($J14:$AC14,"S")/2*C14</f>
        <v>0</v>
      </c>
      <c r="G14" s="74">
        <f>COUNTIF($J14:$AC14,"Q")/2*C14</f>
        <v>0</v>
      </c>
      <c r="H14" s="74">
        <f>COUNTIF($J14:$AC14,"T")/2*C14</f>
        <v>1.125</v>
      </c>
      <c r="I14" s="142">
        <f>COUNTIF($J14:$AC14,"D")/2*C14</f>
        <v>0</v>
      </c>
      <c r="J14" s="145" t="s">
        <v>54</v>
      </c>
      <c r="K14" s="29" t="s">
        <v>54</v>
      </c>
      <c r="L14" s="29" t="s">
        <v>54</v>
      </c>
      <c r="M14" s="29" t="s">
        <v>54</v>
      </c>
      <c r="N14" s="29" t="s">
        <v>54</v>
      </c>
      <c r="O14" s="29" t="s">
        <v>54</v>
      </c>
      <c r="P14" s="29" t="s">
        <v>54</v>
      </c>
      <c r="Q14" s="29" t="s">
        <v>54</v>
      </c>
      <c r="R14" s="29" t="s">
        <v>54</v>
      </c>
      <c r="S14" s="149" t="s">
        <v>54</v>
      </c>
      <c r="T14" s="145" t="s">
        <v>54</v>
      </c>
      <c r="U14" s="29" t="s">
        <v>54</v>
      </c>
      <c r="V14" s="5" t="s">
        <v>54</v>
      </c>
      <c r="W14" s="29" t="s">
        <v>54</v>
      </c>
      <c r="X14" s="29" t="s">
        <v>54</v>
      </c>
      <c r="Y14" s="29" t="s">
        <v>59</v>
      </c>
      <c r="Z14" s="29" t="s">
        <v>59</v>
      </c>
      <c r="AA14" s="29" t="s">
        <v>59</v>
      </c>
      <c r="AB14" s="29"/>
      <c r="AC14" s="28"/>
      <c r="AE14" s="168"/>
      <c r="AF14" s="169" t="s">
        <v>47</v>
      </c>
      <c r="AG14" s="168" t="s">
        <v>55</v>
      </c>
      <c r="AH14" s="168">
        <v>10704</v>
      </c>
      <c r="AI14" s="168">
        <v>9308</v>
      </c>
      <c r="AJ14" s="170" t="str">
        <f>IF(TableauSuiviSprint[[#This Row],[N° feature]]&lt;&gt;"",VLOOKUP(TableauSuiviSprint[[#This Row],[N° feature]],SSG_Features[[#All],[ID]:[Tags]],3,FALSE),"")</f>
        <v>[DESIGNER] S221209_131 - Usage du ROC pour les codes postaux en lieu et place du référentiel obsolète de SRS</v>
      </c>
      <c r="AK14" s="171" t="s">
        <v>56</v>
      </c>
      <c r="AL14" s="172">
        <v>10</v>
      </c>
      <c r="AM14" s="170" t="s">
        <v>78</v>
      </c>
      <c r="AN14" s="173">
        <v>2</v>
      </c>
      <c r="AO14" s="174">
        <v>9</v>
      </c>
      <c r="AP14" s="174">
        <v>2</v>
      </c>
      <c r="AQ14" s="174">
        <f>TableauSuiviSprint[[#This Row],[Dev]]+TableauSuiviSprint[[#This Row],[TC / MR]]</f>
        <v>11</v>
      </c>
      <c r="AR14" s="120">
        <v>8</v>
      </c>
      <c r="AS14" s="119">
        <v>3</v>
      </c>
      <c r="AT14" s="121">
        <f>TableauSuiviSprint[[#This Row],[H. Dev]]+TableauSuiviSprint[[#This Row],[H. Qualif]]</f>
        <v>14</v>
      </c>
      <c r="AU14" s="115">
        <f>TableauSuiviSprint[[#This Row],[Init]]</f>
        <v>14</v>
      </c>
      <c r="AV14" s="115">
        <f>TableauSuiviSprint[[#This Row],[Init]]</f>
        <v>14</v>
      </c>
      <c r="AW14" s="115">
        <f>TableauSuiviSprint[[#This Row],[J2]]</f>
        <v>14</v>
      </c>
      <c r="AX14" s="115">
        <f>TableauSuiviSprint[[#This Row],[J3]]</f>
        <v>14</v>
      </c>
      <c r="AY14" s="215">
        <f>TableauSuiviSprint[[#This Row],[J4]]</f>
        <v>14</v>
      </c>
      <c r="AZ14" s="215">
        <f>TableauSuiviSprint[[#This Row],[J5]]</f>
        <v>14</v>
      </c>
      <c r="BA14" s="215">
        <f>TableauSuiviSprint[[#This Row],[J6]]</f>
        <v>14</v>
      </c>
      <c r="BB14" s="227">
        <f>TableauSuiviSprint[[#This Row],[J7]]</f>
        <v>14</v>
      </c>
      <c r="BC14" s="228">
        <f>TableauSuiviSprint[[#This Row],[J8]]</f>
        <v>14</v>
      </c>
      <c r="BD14" s="231">
        <f>TableauSuiviSprint[[#This Row],[J9]]</f>
        <v>14</v>
      </c>
    </row>
    <row r="15" spans="1:56" s="30" customFormat="1" ht="29.25" customHeight="1" x14ac:dyDescent="0.25">
      <c r="A15" s="118">
        <f>[1]Planning!$PZ$16</f>
        <v>10</v>
      </c>
      <c r="B15" s="53" t="s">
        <v>79</v>
      </c>
      <c r="C15" s="137">
        <v>1</v>
      </c>
      <c r="D15" s="110">
        <f t="shared" si="1"/>
        <v>10</v>
      </c>
      <c r="E15" s="82">
        <f t="shared" si="2"/>
        <v>1</v>
      </c>
      <c r="F15" s="74">
        <f t="shared" si="3"/>
        <v>2.5</v>
      </c>
      <c r="G15" s="74">
        <f t="shared" si="4"/>
        <v>6.5</v>
      </c>
      <c r="H15" s="74">
        <f t="shared" si="5"/>
        <v>0</v>
      </c>
      <c r="I15" s="142">
        <f t="shared" si="0"/>
        <v>0</v>
      </c>
      <c r="J15" s="131"/>
      <c r="K15" s="5"/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71</v>
      </c>
      <c r="R15" s="5" t="s">
        <v>71</v>
      </c>
      <c r="S15" s="148" t="s">
        <v>71</v>
      </c>
      <c r="T15" s="131" t="s">
        <v>71</v>
      </c>
      <c r="U15" s="5" t="s">
        <v>71</v>
      </c>
      <c r="V15" s="5" t="s">
        <v>71</v>
      </c>
      <c r="W15" s="5" t="s">
        <v>71</v>
      </c>
      <c r="X15" s="5" t="s">
        <v>71</v>
      </c>
      <c r="Y15" s="5" t="s">
        <v>71</v>
      </c>
      <c r="Z15" s="5" t="s">
        <v>71</v>
      </c>
      <c r="AA15" s="5" t="s">
        <v>71</v>
      </c>
      <c r="AB15" s="5" t="s">
        <v>71</v>
      </c>
      <c r="AC15" s="28" t="s">
        <v>71</v>
      </c>
      <c r="AE15" s="30" t="s">
        <v>80</v>
      </c>
      <c r="AF15" s="30" t="s">
        <v>81</v>
      </c>
      <c r="AG15" s="30" t="s">
        <v>82</v>
      </c>
      <c r="AH15" s="30">
        <v>10799</v>
      </c>
      <c r="AI15" s="30">
        <v>9238</v>
      </c>
      <c r="AJ15" s="11" t="str">
        <f>IF(TableauSuiviSprint[[#This Row],[N° feature]]&lt;&gt;"",VLOOKUP(TableauSuiviSprint[[#This Row],[N° feature]],SSG_Features[[#All],[ID]:[Tags]],3,FALSE),"")</f>
        <v>S20221107 Tableau des effectifs - Lot 1</v>
      </c>
      <c r="AK15" s="6" t="s">
        <v>83</v>
      </c>
      <c r="AL15" s="7" t="s">
        <v>84</v>
      </c>
      <c r="AM15" s="11" t="s">
        <v>85</v>
      </c>
      <c r="AN15" s="175">
        <v>2</v>
      </c>
      <c r="AO15" s="211">
        <v>14</v>
      </c>
      <c r="AP15" s="50">
        <v>4</v>
      </c>
      <c r="AQ15" s="30">
        <f>TableauSuiviSprint[[#This Row],[Dev]]+TableauSuiviSprint[[#This Row],[TC / MR]]</f>
        <v>18</v>
      </c>
      <c r="AR15" s="88">
        <v>10</v>
      </c>
      <c r="AS15" s="30">
        <v>0</v>
      </c>
      <c r="AT15" s="9">
        <f>TableauSuiviSprint[[#This Row],[H. Dev]]+TableauSuiviSprint[[#This Row],[H. Qualif]]</f>
        <v>18</v>
      </c>
      <c r="AU15" s="189">
        <f>TableauSuiviSprint[[#This Row],[Init]]</f>
        <v>18</v>
      </c>
      <c r="AV15" s="185">
        <f>TableauSuiviSprint[[#This Row],[Init]]</f>
        <v>18</v>
      </c>
      <c r="AW15" s="185">
        <f>TableauSuiviSprint[[#This Row],[J2]]</f>
        <v>18</v>
      </c>
      <c r="AX15" s="191">
        <f>TableauSuiviSprint[[#This Row],[J3]]</f>
        <v>18</v>
      </c>
      <c r="AY15" s="191">
        <f>TableauSuiviSprint[[#This Row],[J4]]</f>
        <v>18</v>
      </c>
      <c r="AZ15" s="191">
        <f>TableauSuiviSprint[[#This Row],[J5]]</f>
        <v>18</v>
      </c>
      <c r="BA15" s="191">
        <f>TableauSuiviSprint[[#This Row],[J6]]</f>
        <v>18</v>
      </c>
      <c r="BB15" s="191">
        <f>TableauSuiviSprint[[#This Row],[J7]]</f>
        <v>18</v>
      </c>
      <c r="BC15" s="191">
        <f>TableauSuiviSprint[[#This Row],[J8]]</f>
        <v>18</v>
      </c>
      <c r="BD15" s="236">
        <f>TableauSuiviSprint[[#This Row],[J9]]</f>
        <v>18</v>
      </c>
    </row>
    <row r="16" spans="1:56" s="30" customFormat="1" ht="60" x14ac:dyDescent="0.25">
      <c r="A16" s="118">
        <f>[1]Planning!$PZ$12</f>
        <v>1</v>
      </c>
      <c r="B16" s="53" t="s">
        <v>86</v>
      </c>
      <c r="C16" s="137">
        <v>1</v>
      </c>
      <c r="D16" s="110">
        <f t="shared" si="1"/>
        <v>1</v>
      </c>
      <c r="E16" s="82">
        <f t="shared" si="2"/>
        <v>9</v>
      </c>
      <c r="F16" s="74">
        <f t="shared" si="3"/>
        <v>0</v>
      </c>
      <c r="G16" s="74">
        <f t="shared" si="4"/>
        <v>0</v>
      </c>
      <c r="H16" s="74">
        <f t="shared" si="5"/>
        <v>1</v>
      </c>
      <c r="I16" s="142">
        <f t="shared" si="0"/>
        <v>0</v>
      </c>
      <c r="J16" s="131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148" t="s">
        <v>87</v>
      </c>
      <c r="T16" s="131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60</v>
      </c>
      <c r="AA16" s="5" t="s">
        <v>60</v>
      </c>
      <c r="AB16" s="5" t="s">
        <v>87</v>
      </c>
      <c r="AC16" s="28" t="s">
        <v>87</v>
      </c>
      <c r="AE16" s="30" t="s">
        <v>88</v>
      </c>
      <c r="AF16" s="30" t="s">
        <v>81</v>
      </c>
      <c r="AG16" s="30" t="s">
        <v>89</v>
      </c>
      <c r="AH16" s="30">
        <v>12346</v>
      </c>
      <c r="AI16" s="30">
        <v>9576</v>
      </c>
      <c r="AJ16" s="11" t="str">
        <f>IF(TableauSuiviSprint[[#This Row],[N° feature]]&lt;&gt;"",VLOOKUP(TableauSuiviSprint[[#This Row],[N° feature]],SSG_Features[[#All],[ID]:[Tags]],3,FALSE),"")</f>
        <v>S230109_256 : Lot 1 - Ecran statistiques + Enrichir l'écran de détail de l'adhérent</v>
      </c>
      <c r="AK16" s="6" t="s">
        <v>90</v>
      </c>
      <c r="AL16" s="7" t="s">
        <v>84</v>
      </c>
      <c r="AM16" s="11" t="s">
        <v>91</v>
      </c>
      <c r="AN16" s="127">
        <v>0</v>
      </c>
      <c r="AO16" s="50">
        <v>3</v>
      </c>
      <c r="AP16" s="50">
        <v>1</v>
      </c>
      <c r="AQ16" s="30">
        <f>TableauSuiviSprint[[#This Row],[Dev]]+TableauSuiviSprint[[#This Row],[TC / MR]]</f>
        <v>4</v>
      </c>
      <c r="AR16" s="88">
        <v>2</v>
      </c>
      <c r="AS16" s="30">
        <v>2</v>
      </c>
      <c r="AT16" s="9">
        <f>TableauSuiviSprint[[#This Row],[H. Dev]]+TableauSuiviSprint[[#This Row],[H. Qualif]]</f>
        <v>6</v>
      </c>
      <c r="AU16" s="190">
        <f>TableauSuiviSprint[[#This Row],[Init]]</f>
        <v>6</v>
      </c>
      <c r="AV16" s="191">
        <f>TableauSuiviSprint[[#This Row],[Init]]</f>
        <v>6</v>
      </c>
      <c r="AW16" s="191">
        <f>TableauSuiviSprint[[#This Row],[J2]]</f>
        <v>6</v>
      </c>
      <c r="AX16" s="191">
        <f>TableauSuiviSprint[[#This Row],[J3]]</f>
        <v>6</v>
      </c>
      <c r="AY16" s="191">
        <f>TableauSuiviSprint[[#This Row],[J4]]</f>
        <v>6</v>
      </c>
      <c r="AZ16" s="191">
        <f>TableauSuiviSprint[[#This Row],[J5]]</f>
        <v>6</v>
      </c>
      <c r="BA16" s="191">
        <f>TableauSuiviSprint[[#This Row],[J6]]</f>
        <v>6</v>
      </c>
      <c r="BB16" s="191">
        <f>TableauSuiviSprint[[#This Row],[J7]]</f>
        <v>6</v>
      </c>
      <c r="BC16" s="191">
        <f>TableauSuiviSprint[[#This Row],[J8]]</f>
        <v>6</v>
      </c>
      <c r="BD16" s="236">
        <f>TableauSuiviSprint[[#This Row],[J9]]</f>
        <v>6</v>
      </c>
    </row>
    <row r="17" spans="1:56" ht="30" x14ac:dyDescent="0.25">
      <c r="A17" s="117">
        <f>[1]Planning!$PZ$10</f>
        <v>0</v>
      </c>
      <c r="B17" s="53" t="s">
        <v>92</v>
      </c>
      <c r="C17" s="137">
        <v>0.75</v>
      </c>
      <c r="D17" s="110">
        <f t="shared" si="1"/>
        <v>0</v>
      </c>
      <c r="E17" s="82">
        <f t="shared" si="2"/>
        <v>0</v>
      </c>
      <c r="F17" s="74">
        <f t="shared" si="3"/>
        <v>0</v>
      </c>
      <c r="G17" s="74">
        <f t="shared" si="4"/>
        <v>0</v>
      </c>
      <c r="H17" s="74">
        <f t="shared" si="5"/>
        <v>0</v>
      </c>
      <c r="I17" s="142">
        <f t="shared" si="0"/>
        <v>0</v>
      </c>
      <c r="J17" s="131" t="s">
        <v>54</v>
      </c>
      <c r="K17" s="5" t="s">
        <v>54</v>
      </c>
      <c r="L17" s="5" t="s">
        <v>54</v>
      </c>
      <c r="M17" s="5" t="s">
        <v>54</v>
      </c>
      <c r="N17" s="5" t="s">
        <v>54</v>
      </c>
      <c r="O17" s="5" t="s">
        <v>54</v>
      </c>
      <c r="P17" s="5" t="s">
        <v>54</v>
      </c>
      <c r="Q17" s="5" t="s">
        <v>54</v>
      </c>
      <c r="R17" s="5" t="s">
        <v>54</v>
      </c>
      <c r="S17" s="148" t="s">
        <v>54</v>
      </c>
      <c r="T17" s="131" t="s">
        <v>54</v>
      </c>
      <c r="U17" s="5" t="s">
        <v>54</v>
      </c>
      <c r="V17" s="5" t="s">
        <v>54</v>
      </c>
      <c r="W17" s="5" t="s">
        <v>54</v>
      </c>
      <c r="X17" s="5" t="s">
        <v>54</v>
      </c>
      <c r="Y17" s="5" t="s">
        <v>54</v>
      </c>
      <c r="Z17" s="5" t="s">
        <v>54</v>
      </c>
      <c r="AA17" s="5" t="s">
        <v>54</v>
      </c>
      <c r="AB17" s="5" t="s">
        <v>54</v>
      </c>
      <c r="AC17" s="28" t="s">
        <v>54</v>
      </c>
      <c r="AE17" s="2" t="s">
        <v>93</v>
      </c>
      <c r="AF17" s="151" t="s">
        <v>81</v>
      </c>
      <c r="AG17" s="2" t="s">
        <v>94</v>
      </c>
      <c r="AH17" s="2">
        <v>11950</v>
      </c>
      <c r="AI17" s="2">
        <v>5159</v>
      </c>
      <c r="AJ17" s="152" t="str">
        <f>IF(TableauSuiviSprint[[#This Row],[N° feature]]&lt;&gt;"",VLOOKUP(TableauSuiviSprint[[#This Row],[N° feature]],SSG_Features[[#All],[ID]:[Tags]],3,FALSE),"")</f>
        <v>[WEB] GÉRER LES UTILISATEURS</v>
      </c>
      <c r="AK17" s="153" t="s">
        <v>95</v>
      </c>
      <c r="AL17" s="154" t="s">
        <v>96</v>
      </c>
      <c r="AM17" s="152" t="s">
        <v>97</v>
      </c>
      <c r="AN17" s="155">
        <v>2</v>
      </c>
      <c r="AO17" s="156">
        <v>8</v>
      </c>
      <c r="AP17" s="157">
        <v>3</v>
      </c>
      <c r="AQ17" s="158">
        <f>TableauSuiviSprint[[#This Row],[Dev]]+TableauSuiviSprint[[#This Row],[TC / MR]]</f>
        <v>11</v>
      </c>
      <c r="AR17" s="88">
        <v>28</v>
      </c>
      <c r="AS17">
        <v>0</v>
      </c>
      <c r="AT17" s="9">
        <f>TableauSuiviSprint[[#This Row],[H. Dev]]+TableauSuiviSprint[[#This Row],[H. Qualif]]</f>
        <v>11</v>
      </c>
      <c r="AU17" s="9">
        <f>TableauSuiviSprint[[#This Row],[Init]]</f>
        <v>11</v>
      </c>
      <c r="AV17" s="9">
        <f>TableauSuiviSprint[[#This Row],[Init]]</f>
        <v>11</v>
      </c>
      <c r="AW17" s="9">
        <f>TableauSuiviSprint[[#This Row],[J2]]</f>
        <v>11</v>
      </c>
      <c r="AX17" s="9">
        <f>TableauSuiviSprint[[#This Row],[J3]]</f>
        <v>11</v>
      </c>
      <c r="AY17" s="9">
        <f>TableauSuiviSprint[[#This Row],[J4]]</f>
        <v>11</v>
      </c>
      <c r="AZ17" s="9">
        <f>TableauSuiviSprint[[#This Row],[J5]]</f>
        <v>11</v>
      </c>
      <c r="BA17" s="216">
        <f>TableauSuiviSprint[[#This Row],[J6]]</f>
        <v>11</v>
      </c>
      <c r="BB17" s="216">
        <f>TableauSuiviSprint[[#This Row],[J7]]</f>
        <v>11</v>
      </c>
      <c r="BC17" s="216">
        <f>TableauSuiviSprint[[#This Row],[J8]]</f>
        <v>11</v>
      </c>
      <c r="BD17" s="216">
        <f>TableauSuiviSprint[[#This Row],[J9]]</f>
        <v>11</v>
      </c>
    </row>
    <row r="18" spans="1:56" ht="39" customHeight="1" x14ac:dyDescent="0.25">
      <c r="A18" s="117">
        <f>[1]Planning!$PZ$11</f>
        <v>8</v>
      </c>
      <c r="B18" s="53" t="s">
        <v>98</v>
      </c>
      <c r="C18" s="137">
        <v>1</v>
      </c>
      <c r="D18" s="110">
        <f t="shared" si="1"/>
        <v>8</v>
      </c>
      <c r="E18" s="82">
        <f t="shared" si="2"/>
        <v>8</v>
      </c>
      <c r="F18" s="74">
        <f t="shared" si="3"/>
        <v>0</v>
      </c>
      <c r="G18" s="74">
        <f t="shared" si="4"/>
        <v>0</v>
      </c>
      <c r="H18" s="74">
        <f t="shared" si="5"/>
        <v>0</v>
      </c>
      <c r="I18" s="142">
        <f t="shared" si="0"/>
        <v>0</v>
      </c>
      <c r="J18" s="131"/>
      <c r="K18" s="5"/>
      <c r="L18" s="5"/>
      <c r="M18" s="5"/>
      <c r="N18" s="5" t="s">
        <v>54</v>
      </c>
      <c r="O18" s="5" t="s">
        <v>54</v>
      </c>
      <c r="P18" s="5"/>
      <c r="Q18" s="5"/>
      <c r="R18" s="5"/>
      <c r="S18" s="148"/>
      <c r="T18" s="131"/>
      <c r="U18" s="5"/>
      <c r="V18" s="5" t="s">
        <v>99</v>
      </c>
      <c r="W18" s="5" t="s">
        <v>99</v>
      </c>
      <c r="X18" s="5" t="s">
        <v>54</v>
      </c>
      <c r="Y18" s="5" t="s">
        <v>54</v>
      </c>
      <c r="Z18" s="5" t="s">
        <v>99</v>
      </c>
      <c r="AA18" s="5" t="s">
        <v>99</v>
      </c>
      <c r="AB18" s="5"/>
      <c r="AC18" s="28"/>
      <c r="AE18" t="s">
        <v>100</v>
      </c>
      <c r="AF18" t="s">
        <v>81</v>
      </c>
      <c r="AG18" s="30" t="s">
        <v>82</v>
      </c>
      <c r="AH18">
        <v>12281</v>
      </c>
      <c r="AI18">
        <v>9238</v>
      </c>
      <c r="AJ18" s="11" t="str">
        <f>IF(TableauSuiviSprint[[#This Row],[N° feature]]&lt;&gt;"",VLOOKUP(TableauSuiviSprint[[#This Row],[N° feature]],SSG_Features[[#All],[ID]:[Tags]],3,FALSE),"")</f>
        <v>S20221107 Tableau des effectifs - Lot 1</v>
      </c>
      <c r="AK18" s="6" t="s">
        <v>83</v>
      </c>
      <c r="AL18" s="7" t="s">
        <v>101</v>
      </c>
      <c r="AM18" s="11" t="s">
        <v>102</v>
      </c>
      <c r="AN18" s="32">
        <v>1</v>
      </c>
      <c r="AO18" s="32">
        <v>7</v>
      </c>
      <c r="AP18" s="50">
        <v>2</v>
      </c>
      <c r="AQ18" s="30">
        <f>TableauSuiviSprint[[#This Row],[Dev]]+TableauSuiviSprint[[#This Row],[TC / MR]]</f>
        <v>9</v>
      </c>
      <c r="AR18" s="88">
        <v>2</v>
      </c>
      <c r="AS18" s="30">
        <v>2</v>
      </c>
      <c r="AT18" s="9">
        <f>TableauSuiviSprint[[#This Row],[H. Dev]]+TableauSuiviSprint[[#This Row],[H. Qualif]]</f>
        <v>11</v>
      </c>
      <c r="AU18" s="185">
        <f>TableauSuiviSprint[[#This Row],[Init]]</f>
        <v>11</v>
      </c>
      <c r="AV18" s="185">
        <f>TableauSuiviSprint[[#This Row],[Init]]</f>
        <v>11</v>
      </c>
      <c r="AW18" s="193">
        <f>TableauSuiviSprint[[#This Row],[J2]]</f>
        <v>11</v>
      </c>
      <c r="AX18" s="193">
        <f>TableauSuiviSprint[[#This Row],[J3]]</f>
        <v>11</v>
      </c>
      <c r="AY18" s="193">
        <f>TableauSuiviSprint[[#This Row],[J4]]</f>
        <v>11</v>
      </c>
      <c r="AZ18" s="193">
        <f>TableauSuiviSprint[[#This Row],[J5]]</f>
        <v>11</v>
      </c>
      <c r="BA18" s="219">
        <f>TableauSuiviSprint[[#This Row],[J6]]</f>
        <v>11</v>
      </c>
      <c r="BB18" s="191">
        <f>TableauSuiviSprint[[#This Row],[J7]]</f>
        <v>11</v>
      </c>
      <c r="BC18" s="191">
        <f>TableauSuiviSprint[[#This Row],[J8]]</f>
        <v>11</v>
      </c>
      <c r="BD18" s="236">
        <f>TableauSuiviSprint[[#This Row],[J9]]</f>
        <v>11</v>
      </c>
    </row>
    <row r="19" spans="1:56" ht="75" x14ac:dyDescent="0.25">
      <c r="A19" s="302">
        <f>[1]Planning!$PZ$15</f>
        <v>10</v>
      </c>
      <c r="B19" s="52" t="s">
        <v>103</v>
      </c>
      <c r="C19" s="137">
        <v>0.5</v>
      </c>
      <c r="D19" s="110">
        <f>COUNTA(J19:AC19)/2 +COUNTBLANK(J19:AC19)/2 -COUNTIFS(J19:AC19,"O")/2 - COUNTIFS(J19:AC19,"A")/2</f>
        <v>0</v>
      </c>
      <c r="E19" s="107">
        <f>COUNTIF($J19:$AC19,"&lt;&gt;o" )/2*C19 -SUM($F19:$I19)</f>
        <v>0</v>
      </c>
      <c r="F19" s="74">
        <f>COUNTIF($J19:$AC19,"S")/2*C19</f>
        <v>0</v>
      </c>
      <c r="G19" s="85">
        <f>COUNTIF($J19:$AC19,"Q")/2*C19</f>
        <v>0</v>
      </c>
      <c r="H19" s="85">
        <f>COUNTIF($J19:$AC19,"T")/2*C19</f>
        <v>0</v>
      </c>
      <c r="I19" s="130">
        <f>COUNTIF($J19:$AC19,"D")/2*C19</f>
        <v>0</v>
      </c>
      <c r="J19" s="131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  <c r="Q19" s="5" t="s">
        <v>54</v>
      </c>
      <c r="R19" s="5" t="s">
        <v>54</v>
      </c>
      <c r="S19" s="148" t="s">
        <v>54</v>
      </c>
      <c r="T19" s="145" t="s">
        <v>54</v>
      </c>
      <c r="U19" s="29" t="s">
        <v>54</v>
      </c>
      <c r="V19" s="29" t="s">
        <v>54</v>
      </c>
      <c r="W19" s="29" t="s">
        <v>54</v>
      </c>
      <c r="X19" s="29" t="s">
        <v>54</v>
      </c>
      <c r="Y19" s="29" t="s">
        <v>54</v>
      </c>
      <c r="Z19" s="29" t="s">
        <v>54</v>
      </c>
      <c r="AA19" s="29" t="s">
        <v>54</v>
      </c>
      <c r="AB19" s="29" t="s">
        <v>54</v>
      </c>
      <c r="AC19" s="73" t="s">
        <v>54</v>
      </c>
      <c r="AE19" t="s">
        <v>104</v>
      </c>
      <c r="AF19" t="s">
        <v>81</v>
      </c>
      <c r="AG19" s="30" t="s">
        <v>105</v>
      </c>
      <c r="AH19">
        <v>9317</v>
      </c>
      <c r="AI19">
        <v>7936</v>
      </c>
      <c r="AJ19" s="11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19" s="6" t="s">
        <v>90</v>
      </c>
      <c r="AL19" s="7" t="s">
        <v>52</v>
      </c>
      <c r="AM19" s="11" t="s">
        <v>106</v>
      </c>
      <c r="AN19" s="32">
        <v>2</v>
      </c>
      <c r="AO19" s="32">
        <v>14</v>
      </c>
      <c r="AP19" s="50">
        <v>4</v>
      </c>
      <c r="AQ19" s="30">
        <f>TableauSuiviSprint[[#This Row],[Dev]]+TableauSuiviSprint[[#This Row],[TC / MR]]</f>
        <v>18</v>
      </c>
      <c r="AR19" s="88">
        <v>17</v>
      </c>
      <c r="AS19">
        <v>13</v>
      </c>
      <c r="AT19" s="9">
        <f>TableauSuiviSprint[[#This Row],[H. Dev]]+TableauSuiviSprint[[#This Row],[H. Qualif]]</f>
        <v>31</v>
      </c>
      <c r="AU19" s="133">
        <f>TableauSuiviSprint[[#This Row],[Init]]</f>
        <v>31</v>
      </c>
      <c r="AV19" s="187">
        <f>TableauSuiviSprint[[#This Row],[Init]]</f>
        <v>31</v>
      </c>
      <c r="AW19" s="193">
        <f>TableauSuiviSprint[[#This Row],[J2]]</f>
        <v>31</v>
      </c>
      <c r="AX19" s="193">
        <f>TableauSuiviSprint[[#This Row],[J3]]</f>
        <v>31</v>
      </c>
      <c r="AY19" s="193">
        <f>TableauSuiviSprint[[#This Row],[J4]]</f>
        <v>31</v>
      </c>
      <c r="AZ19" s="193">
        <f>TableauSuiviSprint[[#This Row],[J5]]</f>
        <v>31</v>
      </c>
      <c r="BA19" s="193">
        <f>TableauSuiviSprint[[#This Row],[J6]]</f>
        <v>31</v>
      </c>
      <c r="BB19" s="193">
        <f>TableauSuiviSprint[[#This Row],[J7]]</f>
        <v>31</v>
      </c>
      <c r="BC19" s="229">
        <f>TableauSuiviSprint[[#This Row],[J8]]</f>
        <v>31</v>
      </c>
      <c r="BD19" s="236">
        <f>TableauSuiviSprint[[#This Row],[J9]]</f>
        <v>31</v>
      </c>
    </row>
    <row r="20" spans="1:56" ht="75" x14ac:dyDescent="0.25">
      <c r="A20" s="302"/>
      <c r="B20" s="52" t="s">
        <v>103</v>
      </c>
      <c r="C20" s="137">
        <v>0.75</v>
      </c>
      <c r="D20" s="110">
        <f t="shared" si="1"/>
        <v>10</v>
      </c>
      <c r="E20" s="107">
        <f t="shared" si="2"/>
        <v>0.75</v>
      </c>
      <c r="F20" s="74">
        <f t="shared" si="3"/>
        <v>0</v>
      </c>
      <c r="G20" s="85">
        <f t="shared" si="4"/>
        <v>0</v>
      </c>
      <c r="H20" s="85">
        <f t="shared" si="5"/>
        <v>6.75</v>
      </c>
      <c r="I20" s="130">
        <f t="shared" si="0"/>
        <v>0</v>
      </c>
      <c r="J20" s="131"/>
      <c r="K20" s="5" t="s">
        <v>59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  <c r="Q20" s="5" t="s">
        <v>59</v>
      </c>
      <c r="R20" s="5" t="s">
        <v>59</v>
      </c>
      <c r="S20" s="148" t="s">
        <v>59</v>
      </c>
      <c r="T20" s="145" t="s">
        <v>59</v>
      </c>
      <c r="U20" s="29" t="s">
        <v>59</v>
      </c>
      <c r="V20" s="29" t="s">
        <v>59</v>
      </c>
      <c r="W20" s="29" t="s">
        <v>59</v>
      </c>
      <c r="X20" s="29" t="s">
        <v>59</v>
      </c>
      <c r="Y20" s="29" t="s">
        <v>59</v>
      </c>
      <c r="Z20" s="29" t="s">
        <v>59</v>
      </c>
      <c r="AA20" s="29" t="s">
        <v>59</v>
      </c>
      <c r="AB20" s="29" t="s">
        <v>59</v>
      </c>
      <c r="AC20" s="73"/>
      <c r="AE20" t="s">
        <v>107</v>
      </c>
      <c r="AF20" t="s">
        <v>81</v>
      </c>
      <c r="AG20" s="30" t="s">
        <v>105</v>
      </c>
      <c r="AH20">
        <v>9318</v>
      </c>
      <c r="AI20">
        <v>7936</v>
      </c>
      <c r="AJ20" s="11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0" s="6" t="s">
        <v>90</v>
      </c>
      <c r="AL20" s="7" t="s">
        <v>108</v>
      </c>
      <c r="AM20" s="11" t="s">
        <v>109</v>
      </c>
      <c r="AN20" s="32">
        <v>1</v>
      </c>
      <c r="AO20" s="32">
        <v>7</v>
      </c>
      <c r="AP20" s="50">
        <v>2</v>
      </c>
      <c r="AQ20" s="30">
        <f>TableauSuiviSprint[[#This Row],[Dev]]+TableauSuiviSprint[[#This Row],[TC / MR]]</f>
        <v>9</v>
      </c>
      <c r="AR20" s="88">
        <v>8</v>
      </c>
      <c r="AS20" s="30">
        <v>3</v>
      </c>
      <c r="AT20" s="9">
        <f>TableauSuiviSprint[[#This Row],[H. Dev]]+TableauSuiviSprint[[#This Row],[H. Qualif]]</f>
        <v>12</v>
      </c>
      <c r="AU20">
        <f>TableauSuiviSprint[[#This Row],[Init]]</f>
        <v>12</v>
      </c>
      <c r="AV20" s="133">
        <f>TableauSuiviSprint[[#This Row],[Init]]</f>
        <v>12</v>
      </c>
      <c r="AW20" s="187">
        <f>TableauSuiviSprint[[#This Row],[J2]]</f>
        <v>12</v>
      </c>
      <c r="AX20" s="193">
        <f>TableauSuiviSprint[[#This Row],[J3]]</f>
        <v>12</v>
      </c>
      <c r="AY20" s="193">
        <f>TableauSuiviSprint[[#This Row],[J4]]</f>
        <v>12</v>
      </c>
      <c r="AZ20" s="193">
        <f>TableauSuiviSprint[[#This Row],[J5]]</f>
        <v>12</v>
      </c>
      <c r="BA20" s="134">
        <f>TableauSuiviSprint[[#This Row],[J6]]</f>
        <v>12</v>
      </c>
      <c r="BB20" s="193">
        <f>TableauSuiviSprint[[#This Row],[J7]]</f>
        <v>12</v>
      </c>
      <c r="BC20" s="191">
        <f>TableauSuiviSprint[[#This Row],[J8]]</f>
        <v>12</v>
      </c>
      <c r="BD20" s="236">
        <f>TableauSuiviSprint[[#This Row],[J9]]</f>
        <v>12</v>
      </c>
    </row>
    <row r="21" spans="1:56" ht="30" x14ac:dyDescent="0.25">
      <c r="A21" s="117">
        <f>[1]Planning!$PZ$22</f>
        <v>10</v>
      </c>
      <c r="B21" s="52" t="s">
        <v>110</v>
      </c>
      <c r="C21" s="137">
        <v>1</v>
      </c>
      <c r="D21" s="110">
        <f t="shared" si="1"/>
        <v>10</v>
      </c>
      <c r="E21" s="107">
        <f t="shared" si="2"/>
        <v>1</v>
      </c>
      <c r="F21" s="74">
        <f t="shared" si="3"/>
        <v>0</v>
      </c>
      <c r="G21" s="85">
        <f t="shared" si="4"/>
        <v>0</v>
      </c>
      <c r="H21" s="85">
        <f t="shared" si="5"/>
        <v>9</v>
      </c>
      <c r="I21" s="130">
        <f t="shared" si="0"/>
        <v>0</v>
      </c>
      <c r="J21" s="131"/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  <c r="Q21" s="5" t="s">
        <v>59</v>
      </c>
      <c r="R21" s="5" t="s">
        <v>59</v>
      </c>
      <c r="S21" s="148" t="s">
        <v>59</v>
      </c>
      <c r="T21" s="131" t="s">
        <v>59</v>
      </c>
      <c r="U21" s="5" t="s">
        <v>59</v>
      </c>
      <c r="V21" s="5" t="s">
        <v>59</v>
      </c>
      <c r="W21" s="5" t="s">
        <v>59</v>
      </c>
      <c r="X21" s="5" t="s">
        <v>59</v>
      </c>
      <c r="Y21" s="5" t="s">
        <v>59</v>
      </c>
      <c r="Z21" s="5" t="s">
        <v>59</v>
      </c>
      <c r="AA21" s="29" t="s">
        <v>59</v>
      </c>
      <c r="AB21" s="29" t="s">
        <v>59</v>
      </c>
      <c r="AC21" s="73"/>
      <c r="AE21" t="s">
        <v>111</v>
      </c>
      <c r="AF21" t="s">
        <v>81</v>
      </c>
      <c r="AG21" s="30" t="s">
        <v>82</v>
      </c>
      <c r="AH21">
        <v>10800</v>
      </c>
      <c r="AI21">
        <v>9238</v>
      </c>
      <c r="AJ21" s="11" t="str">
        <f>IF(TableauSuiviSprint[[#This Row],[N° feature]]&lt;&gt;"",VLOOKUP(TableauSuiviSprint[[#This Row],[N° feature]],SSG_Features[[#All],[ID]:[Tags]],3,FALSE),"")</f>
        <v>S20221107 Tableau des effectifs - Lot 1</v>
      </c>
      <c r="AK21" s="6" t="s">
        <v>83</v>
      </c>
      <c r="AL21" s="7" t="s">
        <v>112</v>
      </c>
      <c r="AM21" s="11" t="s">
        <v>113</v>
      </c>
      <c r="AN21" s="32">
        <v>2</v>
      </c>
      <c r="AO21" s="32">
        <v>14</v>
      </c>
      <c r="AP21" s="50">
        <v>4</v>
      </c>
      <c r="AQ21" s="30">
        <f>TableauSuiviSprint[[#This Row],[Dev]]+TableauSuiviSprint[[#This Row],[TC / MR]]</f>
        <v>18</v>
      </c>
      <c r="AR21" s="88">
        <v>6</v>
      </c>
      <c r="AS21" s="30">
        <v>4</v>
      </c>
      <c r="AT21" s="9">
        <f>TableauSuiviSprint[[#This Row],[H. Dev]]+TableauSuiviSprint[[#This Row],[H. Qualif]]</f>
        <v>22</v>
      </c>
      <c r="AU21">
        <f>TableauSuiviSprint[[#This Row],[Init]]</f>
        <v>22</v>
      </c>
      <c r="AV21">
        <f>TableauSuiviSprint[[#This Row],[Init]]</f>
        <v>22</v>
      </c>
      <c r="AW21" s="188">
        <f>TableauSuiviSprint[[#This Row],[J2]]</f>
        <v>22</v>
      </c>
      <c r="AX21" s="193">
        <f>TableauSuiviSprint[[#This Row],[J3]]</f>
        <v>22</v>
      </c>
      <c r="AY21" s="193">
        <f>TableauSuiviSprint[[#This Row],[J4]]</f>
        <v>22</v>
      </c>
      <c r="AZ21" s="193">
        <f>TableauSuiviSprint[[#This Row],[J5]]</f>
        <v>22</v>
      </c>
      <c r="BA21" s="219">
        <f>TableauSuiviSprint[[#This Row],[J6]]</f>
        <v>22</v>
      </c>
      <c r="BB21" s="191">
        <f>TableauSuiviSprint[[#This Row],[J7]]</f>
        <v>22</v>
      </c>
      <c r="BC21" s="191">
        <f>TableauSuiviSprint[[#This Row],[J8]]</f>
        <v>22</v>
      </c>
      <c r="BD21" s="236">
        <f>TableauSuiviSprint[[#This Row],[J9]]</f>
        <v>22</v>
      </c>
    </row>
    <row r="22" spans="1:56" ht="30" x14ac:dyDescent="0.25">
      <c r="A22" s="117">
        <f>[1]Planning!$PZ$21</f>
        <v>10</v>
      </c>
      <c r="B22" s="53" t="s">
        <v>114</v>
      </c>
      <c r="C22" s="137">
        <v>0.75</v>
      </c>
      <c r="D22" s="110">
        <f t="shared" si="1"/>
        <v>10</v>
      </c>
      <c r="E22" s="107">
        <f t="shared" si="2"/>
        <v>0.75</v>
      </c>
      <c r="F22" s="85">
        <f t="shared" si="3"/>
        <v>0</v>
      </c>
      <c r="G22" s="85">
        <f t="shared" si="4"/>
        <v>0</v>
      </c>
      <c r="H22" s="74">
        <f t="shared" si="5"/>
        <v>0</v>
      </c>
      <c r="I22" s="130">
        <f t="shared" si="0"/>
        <v>6.75</v>
      </c>
      <c r="J22" s="131"/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  <c r="Q22" s="5" t="s">
        <v>52</v>
      </c>
      <c r="R22" s="5" t="s">
        <v>52</v>
      </c>
      <c r="S22" s="148" t="s">
        <v>52</v>
      </c>
      <c r="T22" s="131" t="s">
        <v>52</v>
      </c>
      <c r="U22" s="5" t="s">
        <v>52</v>
      </c>
      <c r="V22" s="5" t="s">
        <v>52</v>
      </c>
      <c r="W22" s="5" t="s">
        <v>52</v>
      </c>
      <c r="X22" s="5" t="s">
        <v>52</v>
      </c>
      <c r="Y22" s="5" t="s">
        <v>52</v>
      </c>
      <c r="Z22" s="5" t="s">
        <v>52</v>
      </c>
      <c r="AA22" s="5" t="s">
        <v>52</v>
      </c>
      <c r="AB22" s="5" t="s">
        <v>52</v>
      </c>
      <c r="AC22" s="28"/>
      <c r="AE22" t="s">
        <v>115</v>
      </c>
      <c r="AF22" t="s">
        <v>81</v>
      </c>
      <c r="AG22" s="30" t="s">
        <v>82</v>
      </c>
      <c r="AH22">
        <v>10738</v>
      </c>
      <c r="AI22">
        <v>9238</v>
      </c>
      <c r="AJ22" s="11" t="str">
        <f>IF(TableauSuiviSprint[[#This Row],[N° feature]]&lt;&gt;"",VLOOKUP(TableauSuiviSprint[[#This Row],[N° feature]],SSG_Features[[#All],[ID]:[Tags]],3,FALSE),"")</f>
        <v>S20221107 Tableau des effectifs - Lot 1</v>
      </c>
      <c r="AK22" s="6" t="s">
        <v>83</v>
      </c>
      <c r="AL22" s="7" t="s">
        <v>116</v>
      </c>
      <c r="AM22" s="11" t="s">
        <v>117</v>
      </c>
      <c r="AN22" s="32">
        <v>2</v>
      </c>
      <c r="AO22" s="32">
        <v>14</v>
      </c>
      <c r="AP22" s="50">
        <v>4</v>
      </c>
      <c r="AQ22" s="30">
        <f>TableauSuiviSprint[[#This Row],[Dev]]+TableauSuiviSprint[[#This Row],[TC / MR]]</f>
        <v>18</v>
      </c>
      <c r="AR22" s="88">
        <v>10</v>
      </c>
      <c r="AS22">
        <v>3</v>
      </c>
      <c r="AT22" s="9">
        <f>TableauSuiviSprint[[#This Row],[H. Dev]]+TableauSuiviSprint[[#This Row],[H. Qualif]]</f>
        <v>21</v>
      </c>
      <c r="AU22">
        <f>TableauSuiviSprint[[#This Row],[Init]]</f>
        <v>21</v>
      </c>
      <c r="AV22">
        <f>TableauSuiviSprint[[#This Row],[Init]]</f>
        <v>21</v>
      </c>
      <c r="AW22">
        <f>TableauSuiviSprint[[#This Row],[J2]]</f>
        <v>21</v>
      </c>
      <c r="AX22" s="9">
        <f>TableauSuiviSprint[[#This Row],[J3]]</f>
        <v>21</v>
      </c>
      <c r="AY22" s="9">
        <f>TableauSuiviSprint[[#This Row],[J4]]</f>
        <v>21</v>
      </c>
      <c r="AZ22" s="186">
        <f>TableauSuiviSprint[[#This Row],[J5]]</f>
        <v>21</v>
      </c>
      <c r="BA22" s="219">
        <f>TableauSuiviSprint[[#This Row],[J6]]</f>
        <v>21</v>
      </c>
      <c r="BB22" s="191">
        <f>TableauSuiviSprint[[#This Row],[J7]]</f>
        <v>21</v>
      </c>
      <c r="BC22" s="191">
        <f>TableauSuiviSprint[[#This Row],[J8]]</f>
        <v>21</v>
      </c>
      <c r="BD22" s="236">
        <f>TableauSuiviSprint[[#This Row],[J9]]</f>
        <v>21</v>
      </c>
    </row>
    <row r="23" spans="1:56" ht="75" x14ac:dyDescent="0.25">
      <c r="A23" s="117">
        <f>[1]Planning!$PZ$23</f>
        <v>10</v>
      </c>
      <c r="B23" s="53" t="s">
        <v>118</v>
      </c>
      <c r="C23" s="137">
        <v>0.75</v>
      </c>
      <c r="D23" s="110">
        <f t="shared" si="1"/>
        <v>10</v>
      </c>
      <c r="E23" s="107">
        <f t="shared" si="2"/>
        <v>0.375</v>
      </c>
      <c r="F23" s="85">
        <f t="shared" si="3"/>
        <v>2.625</v>
      </c>
      <c r="G23" s="85">
        <f t="shared" si="4"/>
        <v>4.5</v>
      </c>
      <c r="H23" s="74">
        <f t="shared" si="5"/>
        <v>0</v>
      </c>
      <c r="I23" s="130">
        <f t="shared" si="0"/>
        <v>0</v>
      </c>
      <c r="J23" s="131"/>
      <c r="K23" s="5" t="s">
        <v>70</v>
      </c>
      <c r="L23" s="5" t="s">
        <v>70</v>
      </c>
      <c r="M23" s="5" t="s">
        <v>70</v>
      </c>
      <c r="N23" s="5" t="s">
        <v>70</v>
      </c>
      <c r="O23" s="5" t="s">
        <v>70</v>
      </c>
      <c r="P23" s="5" t="s">
        <v>70</v>
      </c>
      <c r="Q23" s="5" t="s">
        <v>70</v>
      </c>
      <c r="R23" s="5" t="s">
        <v>71</v>
      </c>
      <c r="S23" s="148" t="s">
        <v>71</v>
      </c>
      <c r="T23" s="131" t="s">
        <v>71</v>
      </c>
      <c r="U23" s="5" t="s">
        <v>71</v>
      </c>
      <c r="V23" s="5" t="s">
        <v>71</v>
      </c>
      <c r="W23" s="5" t="s">
        <v>71</v>
      </c>
      <c r="X23" s="5" t="s">
        <v>71</v>
      </c>
      <c r="Y23" s="5" t="s">
        <v>71</v>
      </c>
      <c r="Z23" s="5" t="s">
        <v>71</v>
      </c>
      <c r="AA23" s="5" t="s">
        <v>71</v>
      </c>
      <c r="AB23" s="5" t="s">
        <v>71</v>
      </c>
      <c r="AC23" s="28" t="s">
        <v>71</v>
      </c>
      <c r="AE23" s="3" t="s">
        <v>119</v>
      </c>
      <c r="AF23" s="3" t="s">
        <v>81</v>
      </c>
      <c r="AG23" s="220" t="s">
        <v>105</v>
      </c>
      <c r="AH23" s="3">
        <v>9605</v>
      </c>
      <c r="AI23" s="3">
        <v>7936</v>
      </c>
      <c r="AJ23" s="221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3" s="222" t="s">
        <v>90</v>
      </c>
      <c r="AL23" s="223" t="s">
        <v>120</v>
      </c>
      <c r="AM23" s="221" t="s">
        <v>121</v>
      </c>
      <c r="AN23" s="224">
        <v>3</v>
      </c>
      <c r="AO23" s="224">
        <v>21</v>
      </c>
      <c r="AP23" s="225">
        <v>6</v>
      </c>
      <c r="AQ23" s="220">
        <f>TableauSuiviSprint[[#This Row],[Dev]]+TableauSuiviSprint[[#This Row],[TC / MR]]</f>
        <v>27</v>
      </c>
      <c r="AR23" s="88">
        <v>45</v>
      </c>
      <c r="AS23" s="30">
        <v>8</v>
      </c>
      <c r="AT23" s="9">
        <f>TableauSuiviSprint[[#This Row],[H. Dev]]+TableauSuiviSprint[[#This Row],[H. Qualif]]</f>
        <v>35</v>
      </c>
      <c r="AU23">
        <f>TableauSuiviSprint[[#This Row],[Init]]</f>
        <v>35</v>
      </c>
      <c r="AV23" s="188">
        <f>TableauSuiviSprint[[#This Row],[Init]]</f>
        <v>35</v>
      </c>
      <c r="AW23" s="188">
        <f>TableauSuiviSprint[[#This Row],[J2]]</f>
        <v>35</v>
      </c>
      <c r="AX23" s="188">
        <f>TableauSuiviSprint[[#This Row],[J3]]</f>
        <v>35</v>
      </c>
      <c r="AY23" s="188">
        <f>TableauSuiviSprint[[#This Row],[J4]]</f>
        <v>35</v>
      </c>
      <c r="AZ23" s="188">
        <f>TableauSuiviSprint[[#This Row],[J5]]</f>
        <v>35</v>
      </c>
      <c r="BA23" s="188">
        <f>TableauSuiviSprint[[#This Row],[J6]]</f>
        <v>35</v>
      </c>
      <c r="BB23" s="188">
        <f>TableauSuiviSprint[[#This Row],[J7]]</f>
        <v>35</v>
      </c>
      <c r="BC23" s="188">
        <f>TableauSuiviSprint[[#This Row],[J8]]</f>
        <v>35</v>
      </c>
      <c r="BD23" s="188">
        <f>TableauSuiviSprint[[#This Row],[J9]]</f>
        <v>35</v>
      </c>
    </row>
    <row r="24" spans="1:56" ht="60" x14ac:dyDescent="0.25">
      <c r="A24" s="117">
        <f>[1]Planning!$PZ$25</f>
        <v>8</v>
      </c>
      <c r="B24" s="53" t="s">
        <v>122</v>
      </c>
      <c r="C24" s="137">
        <v>0.75</v>
      </c>
      <c r="D24" s="110">
        <f t="shared" si="1"/>
        <v>8</v>
      </c>
      <c r="E24" s="107">
        <f t="shared" si="2"/>
        <v>0</v>
      </c>
      <c r="F24" s="85">
        <f>COUNTIF($J24:$AC24,"S")/2*C24</f>
        <v>2.25</v>
      </c>
      <c r="G24" s="85">
        <f>COUNTIF($J24:$AC24,"Q")/2*C24</f>
        <v>3.75</v>
      </c>
      <c r="H24" s="74">
        <f>COUNTIF($J24:$AC24,"T")/2*C24</f>
        <v>0</v>
      </c>
      <c r="I24" s="130">
        <f>COUNTIF($J24:$AC24,"D")/2*C24</f>
        <v>0</v>
      </c>
      <c r="J24" s="131" t="s">
        <v>70</v>
      </c>
      <c r="K24" s="5" t="s">
        <v>70</v>
      </c>
      <c r="L24" s="5" t="s">
        <v>70</v>
      </c>
      <c r="M24" s="5" t="s">
        <v>70</v>
      </c>
      <c r="N24" s="5" t="s">
        <v>70</v>
      </c>
      <c r="O24" s="5" t="s">
        <v>70</v>
      </c>
      <c r="P24" s="5" t="s">
        <v>54</v>
      </c>
      <c r="Q24" s="5" t="s">
        <v>54</v>
      </c>
      <c r="R24" s="5" t="s">
        <v>54</v>
      </c>
      <c r="S24" s="148" t="s">
        <v>54</v>
      </c>
      <c r="T24" s="131" t="s">
        <v>71</v>
      </c>
      <c r="U24" s="5" t="s">
        <v>71</v>
      </c>
      <c r="V24" s="5" t="s">
        <v>71</v>
      </c>
      <c r="W24" s="5" t="s">
        <v>71</v>
      </c>
      <c r="X24" s="5" t="s">
        <v>71</v>
      </c>
      <c r="Y24" s="5" t="s">
        <v>71</v>
      </c>
      <c r="Z24" s="5" t="s">
        <v>71</v>
      </c>
      <c r="AA24" s="5" t="s">
        <v>71</v>
      </c>
      <c r="AB24" s="5" t="s">
        <v>71</v>
      </c>
      <c r="AC24" s="28" t="s">
        <v>71</v>
      </c>
      <c r="AE24" s="46" t="s">
        <v>123</v>
      </c>
      <c r="AF24" s="46" t="s">
        <v>81</v>
      </c>
      <c r="AG24" s="200" t="s">
        <v>124</v>
      </c>
      <c r="AH24" s="46">
        <v>12547</v>
      </c>
      <c r="AI24" s="46">
        <v>12550</v>
      </c>
      <c r="AJ24" s="201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AK24" s="202" t="s">
        <v>125</v>
      </c>
      <c r="AL24" s="203" t="s">
        <v>126</v>
      </c>
      <c r="AM24" s="201" t="s">
        <v>127</v>
      </c>
      <c r="AN24" s="212">
        <v>2</v>
      </c>
      <c r="AO24" s="204">
        <v>12</v>
      </c>
      <c r="AP24" s="204">
        <v>4</v>
      </c>
      <c r="AQ24" s="200">
        <f>TableauSuiviSprint[[#This Row],[Dev]]+TableauSuiviSprint[[#This Row],[TC / MR]]</f>
        <v>16</v>
      </c>
      <c r="AR24" s="88">
        <v>28</v>
      </c>
      <c r="AS24">
        <v>3</v>
      </c>
      <c r="AT24" s="9">
        <f>TableauSuiviSprint[[#This Row],[H. Dev]]+TableauSuiviSprint[[#This Row],[H. Qualif]]</f>
        <v>19</v>
      </c>
      <c r="AU24">
        <f>TableauSuiviSprint[[#This Row],[Init]]</f>
        <v>19</v>
      </c>
      <c r="AV24">
        <f>TableauSuiviSprint[[#This Row],[Init]]</f>
        <v>19</v>
      </c>
      <c r="AW24">
        <f>TableauSuiviSprint[[#This Row],[J2]]</f>
        <v>19</v>
      </c>
      <c r="AX24" s="185">
        <f>TableauSuiviSprint[[#This Row],[J3]]</f>
        <v>19</v>
      </c>
      <c r="AY24" s="193">
        <f>TableauSuiviSprint[[#This Row],[J4]]</f>
        <v>19</v>
      </c>
      <c r="AZ24" s="213">
        <f>TableauSuiviSprint[[#This Row],[J5]]</f>
        <v>19</v>
      </c>
      <c r="BA24" s="213">
        <f>TableauSuiviSprint[[#This Row],[J6]]</f>
        <v>19</v>
      </c>
      <c r="BB24" s="213">
        <f>TableauSuiviSprint[[#This Row],[J7]]</f>
        <v>19</v>
      </c>
      <c r="BC24" s="213">
        <f>TableauSuiviSprint[[#This Row],[J8]]</f>
        <v>19</v>
      </c>
      <c r="BD24" s="213">
        <f>TableauSuiviSprint[[#This Row],[J9]]</f>
        <v>19</v>
      </c>
    </row>
    <row r="25" spans="1:56" ht="31.5" customHeight="1" thickBot="1" x14ac:dyDescent="0.3">
      <c r="B25" s="138" t="s">
        <v>128</v>
      </c>
      <c r="C25" s="139">
        <v>1</v>
      </c>
      <c r="D25" s="111">
        <f t="shared" si="1"/>
        <v>0</v>
      </c>
      <c r="E25" s="83">
        <f t="shared" si="2"/>
        <v>0</v>
      </c>
      <c r="F25" s="84">
        <f t="shared" si="3"/>
        <v>0</v>
      </c>
      <c r="G25" s="84">
        <f t="shared" si="4"/>
        <v>0</v>
      </c>
      <c r="H25" s="84">
        <f t="shared" si="5"/>
        <v>0</v>
      </c>
      <c r="I25" s="143">
        <f t="shared" si="0"/>
        <v>0</v>
      </c>
      <c r="J25" s="15" t="s">
        <v>54</v>
      </c>
      <c r="K25" s="146" t="s">
        <v>54</v>
      </c>
      <c r="L25" s="146" t="s">
        <v>129</v>
      </c>
      <c r="M25" s="146" t="s">
        <v>129</v>
      </c>
      <c r="N25" s="146" t="s">
        <v>129</v>
      </c>
      <c r="O25" s="146" t="s">
        <v>129</v>
      </c>
      <c r="P25" s="146" t="s">
        <v>129</v>
      </c>
      <c r="Q25" s="146" t="s">
        <v>129</v>
      </c>
      <c r="R25" s="146" t="s">
        <v>129</v>
      </c>
      <c r="S25" s="150" t="s">
        <v>129</v>
      </c>
      <c r="T25" s="15" t="s">
        <v>129</v>
      </c>
      <c r="U25" s="146" t="s">
        <v>129</v>
      </c>
      <c r="V25" s="146" t="s">
        <v>129</v>
      </c>
      <c r="W25" s="146" t="s">
        <v>129</v>
      </c>
      <c r="X25" s="146" t="s">
        <v>129</v>
      </c>
      <c r="Y25" s="146" t="s">
        <v>129</v>
      </c>
      <c r="Z25" s="146" t="s">
        <v>129</v>
      </c>
      <c r="AA25" s="146" t="s">
        <v>129</v>
      </c>
      <c r="AB25" s="146" t="s">
        <v>129</v>
      </c>
      <c r="AC25" s="20" t="s">
        <v>129</v>
      </c>
      <c r="AE25" s="46" t="s">
        <v>80</v>
      </c>
      <c r="AF25" s="46" t="s">
        <v>81</v>
      </c>
      <c r="AG25" s="200" t="s">
        <v>124</v>
      </c>
      <c r="AH25" s="46">
        <v>12597</v>
      </c>
      <c r="AI25" s="46">
        <v>12550</v>
      </c>
      <c r="AJ25" s="201" t="str">
        <f>IF(TableauSuiviSprint[[#This Row],[N° feature]]&lt;&gt;"",VLOOKUP(TableauSuiviSprint[[#This Row],[N° feature]],SSG_Features[[#All],[ID]:[Tags]],3,FALSE),"")</f>
        <v>[I230720_058]  Erreur génération automatique du bulletin de situation de l’agent</v>
      </c>
      <c r="AK25" s="202" t="s">
        <v>125</v>
      </c>
      <c r="AL25" s="203" t="s">
        <v>130</v>
      </c>
      <c r="AM25" s="201" t="s">
        <v>131</v>
      </c>
      <c r="AN25" s="212">
        <v>2</v>
      </c>
      <c r="AO25" s="204">
        <v>8</v>
      </c>
      <c r="AP25" s="204">
        <v>4</v>
      </c>
      <c r="AQ25" s="200">
        <f>TableauSuiviSprint[[#This Row],[Dev]]+TableauSuiviSprint[[#This Row],[TC / MR]]</f>
        <v>12</v>
      </c>
      <c r="AR25" s="88">
        <v>19</v>
      </c>
      <c r="AS25">
        <v>4</v>
      </c>
      <c r="AT25" s="9">
        <f>TableauSuiviSprint[[#This Row],[H. Dev]]+TableauSuiviSprint[[#This Row],[H. Qualif]]</f>
        <v>16</v>
      </c>
      <c r="AU25">
        <f>TableauSuiviSprint[[#This Row],[Init]]</f>
        <v>16</v>
      </c>
      <c r="AV25">
        <f>TableauSuiviSprint[[#This Row],[Init]]</f>
        <v>16</v>
      </c>
      <c r="AW25">
        <f>TableauSuiviSprint[[#This Row],[J2]]</f>
        <v>16</v>
      </c>
      <c r="AX25" s="178">
        <f>TableauSuiviSprint[[#This Row],[J3]]</f>
        <v>16</v>
      </c>
      <c r="AY25" s="178">
        <f>TableauSuiviSprint[[#This Row],[J4]]</f>
        <v>16</v>
      </c>
      <c r="AZ25">
        <f>TableauSuiviSprint[[#This Row],[J5]]</f>
        <v>16</v>
      </c>
      <c r="BA25">
        <f>TableauSuiviSprint[[#This Row],[J6]]</f>
        <v>16</v>
      </c>
      <c r="BB25" s="193">
        <f>TableauSuiviSprint[[#This Row],[J7]]</f>
        <v>16</v>
      </c>
      <c r="BC25" s="213">
        <f>TableauSuiviSprint[[#This Row],[J8]]</f>
        <v>16</v>
      </c>
      <c r="BD25" s="213">
        <f>TableauSuiviSprint[[#This Row],[J9]]</f>
        <v>16</v>
      </c>
    </row>
    <row r="26" spans="1:56" ht="57.6" customHeight="1" x14ac:dyDescent="0.25">
      <c r="B26" s="305" t="s">
        <v>132</v>
      </c>
      <c r="C26" s="306"/>
      <c r="D26" s="307"/>
      <c r="E26" s="300">
        <f>SUM(J26:AC26)</f>
        <v>46.125</v>
      </c>
      <c r="F26" s="300"/>
      <c r="G26" s="300"/>
      <c r="H26" s="300"/>
      <c r="I26" s="300"/>
      <c r="J26" s="301">
        <f t="array" ref="J26">SUMPRODUCT((UPPER(J$6:K$25)="D")*($C$6:$C$25)*0.5)+SUMPRODUCT((UPPER(J$6:K$25)="T")*($C$6:$C$25)*0.5)</f>
        <v>1.625</v>
      </c>
      <c r="K26" s="301"/>
      <c r="L26" s="301">
        <f t="array" ref="L26">SUMPRODUCT((UPPER(L$6:M$25)="D")*($C$6:$C$25)*0.5)+SUMPRODUCT((UPPER(L$6:M$25)="T")*($C$6:$C$25)*0.5)</f>
        <v>4</v>
      </c>
      <c r="M26" s="301"/>
      <c r="N26" s="301">
        <f t="array" ref="N26">SUMPRODUCT((UPPER(N$6:O$25)="D")*($C$6:$C$25)*0.5)+SUMPRODUCT((UPPER(N$6:O$25)="T")*($C$6:$C$25)*0.5)</f>
        <v>5</v>
      </c>
      <c r="O26" s="301"/>
      <c r="P26" s="301">
        <f t="array" ref="P26">SUMPRODUCT((UPPER(P$6:Q$25)="D")*($C$6:$C$25)*0.5)+SUMPRODUCT((UPPER(P$6:Q$25)="T")*($C$6:$C$25)*0.5)</f>
        <v>6.25</v>
      </c>
      <c r="Q26" s="301"/>
      <c r="R26" s="301">
        <f t="array" ref="R26">SUMPRODUCT((UPPER(R$6:S$25)="D")*($C$6:$C$25)*0.5)+SUMPRODUCT((UPPER(R$6:S$25)="T")*($C$6:$C$25)*0.5)</f>
        <v>5.25</v>
      </c>
      <c r="S26" s="301"/>
      <c r="T26" s="298">
        <f t="array" ref="T26">SUMPRODUCT((UPPER(T$6:U$25)="D")*($C$6:$C$25)*0.5)+SUMPRODUCT((UPPER(T$6:U$25)="T")*($C$6:$C$25)*0.5)</f>
        <v>5.25</v>
      </c>
      <c r="U26" s="298"/>
      <c r="V26" s="298">
        <f t="array" ref="V26">SUMPRODUCT((UPPER(V$6:W$25)="D")*($C$6:$C$25)*0.5)+SUMPRODUCT((UPPER(V$6:W$25)="T")*($C$6:$C$25)*0.5)</f>
        <v>5.25</v>
      </c>
      <c r="W26" s="298"/>
      <c r="X26" s="298">
        <f t="array" ref="X26">SUMPRODUCT((UPPER(X$6:Y$25)="D")*($C$6:$C$25)*0.5)+SUMPRODUCT((UPPER(X$6:Y$25)="T")*($C$6:$C$25)*0.5)</f>
        <v>5.375</v>
      </c>
      <c r="Y26" s="298"/>
      <c r="Z26" s="298">
        <f t="array" ref="Z26">SUMPRODUCT((UPPER(Z$6:AA$25)="D")*($C$6:$C$25)*0.5)+SUMPRODUCT((UPPER(Z$6:AA$25)="T")*($C$6:$C$25)*0.5)</f>
        <v>6.5</v>
      </c>
      <c r="AA26" s="298"/>
      <c r="AB26" s="298">
        <f t="array" ref="AB26">SUMPRODUCT((UPPER(AB$6:AC$25)="D")*($C$6:$C$25)*0.5)+SUMPRODUCT((UPPER(AB$6:AC$25)="T")*($C$6:$C$25)*0.5)</f>
        <v>1.625</v>
      </c>
      <c r="AC26" s="299"/>
      <c r="AE26" s="205" t="s">
        <v>133</v>
      </c>
      <c r="AF26" s="205" t="s">
        <v>81</v>
      </c>
      <c r="AG26" s="206" t="s">
        <v>105</v>
      </c>
      <c r="AH26" s="205">
        <v>9319</v>
      </c>
      <c r="AI26" s="205">
        <v>7936</v>
      </c>
      <c r="AJ26" s="207" t="str">
        <f>IF(TableauSuiviSprint[[#This Row],[N° feature]]&lt;&gt;"",VLOOKUP(TableauSuiviSprint[[#This Row],[N° feature]],SSG_Features[[#All],[ID]:[Tags]],3,FALSE),"")</f>
        <v>Ajout de champs pour un site physique-  Synchronisation de données à partir de AS-TECH</v>
      </c>
      <c r="AK26" s="208" t="s">
        <v>90</v>
      </c>
      <c r="AL26" s="209" t="s">
        <v>60</v>
      </c>
      <c r="AM26" s="207" t="s">
        <v>134</v>
      </c>
      <c r="AN26" s="210">
        <v>2</v>
      </c>
      <c r="AO26" s="206">
        <v>14</v>
      </c>
      <c r="AP26" s="206">
        <v>4</v>
      </c>
      <c r="AQ26" s="206">
        <f>TableauSuiviSprint[[#This Row],[Dev]]+TableauSuiviSprint[[#This Row],[TC / MR]]</f>
        <v>18</v>
      </c>
      <c r="AR26" s="88"/>
      <c r="AS26">
        <v>4</v>
      </c>
      <c r="AT26" s="9">
        <f>TableauSuiviSprint[[#This Row],[H. Dev]]+TableauSuiviSprint[[#This Row],[H. Qualif]]</f>
        <v>22</v>
      </c>
      <c r="AU26">
        <f>TableauSuiviSprint[[#This Row],[Init]]</f>
        <v>22</v>
      </c>
      <c r="AV26">
        <f>TableauSuiviSprint[[#This Row],[Init]]</f>
        <v>22</v>
      </c>
      <c r="AW26">
        <f>TableauSuiviSprint[[#This Row],[J2]]</f>
        <v>22</v>
      </c>
      <c r="AX26">
        <f>TableauSuiviSprint[[#This Row],[J3]]</f>
        <v>22</v>
      </c>
      <c r="AY26">
        <f>TableauSuiviSprint[[#This Row],[J4]]</f>
        <v>22</v>
      </c>
      <c r="AZ26">
        <f>TableauSuiviSprint[[#This Row],[J5]]</f>
        <v>22</v>
      </c>
      <c r="BA26">
        <f>TableauSuiviSprint[[#This Row],[J6]]</f>
        <v>22</v>
      </c>
      <c r="BB26">
        <f>TableauSuiviSprint[[#This Row],[J7]]</f>
        <v>22</v>
      </c>
      <c r="BC26">
        <f>TableauSuiviSprint[[#This Row],[J8]]</f>
        <v>22</v>
      </c>
      <c r="BD26">
        <f>TableauSuiviSprint[[#This Row],[J9]]</f>
        <v>22</v>
      </c>
    </row>
    <row r="27" spans="1:56" ht="75.75" x14ac:dyDescent="0.3">
      <c r="B27" s="282" t="s">
        <v>135</v>
      </c>
      <c r="C27" s="283"/>
      <c r="D27" s="284"/>
      <c r="E27" s="300">
        <f>SUM(J27:AC27)</f>
        <v>23.125</v>
      </c>
      <c r="F27" s="300"/>
      <c r="G27" s="300"/>
      <c r="H27" s="300"/>
      <c r="I27" s="300"/>
      <c r="J27" s="289">
        <f>SUMPRODUCT((UPPER(J$6:K$25)="T")*($C$6:$C$25)*0.5)</f>
        <v>0.875</v>
      </c>
      <c r="K27" s="289"/>
      <c r="L27" s="289">
        <f>SUMPRODUCT((UPPER(L$6:M$25)="T")*($C$6:$C$25)*0.5)</f>
        <v>1.75</v>
      </c>
      <c r="M27" s="289"/>
      <c r="N27" s="289">
        <f>SUMPRODUCT((UPPER(N$6:O$25)="T")*($C$6:$C$25)*0.5)</f>
        <v>2.5</v>
      </c>
      <c r="O27" s="289"/>
      <c r="P27" s="289">
        <f>SUMPRODUCT((UPPER(P$6:Q$25)="T")*($C$6:$C$25)*0.5)</f>
        <v>2.5</v>
      </c>
      <c r="Q27" s="289"/>
      <c r="R27" s="289">
        <f>SUMPRODUCT((UPPER(R$6:S$25)="T")*($C$6:$C$25)*0.5)</f>
        <v>2.5</v>
      </c>
      <c r="S27" s="289"/>
      <c r="T27" s="289">
        <f>SUMPRODUCT((UPPER(T$6:U$25)="T")*($C$6:$C$25)*0.5)</f>
        <v>2.5</v>
      </c>
      <c r="U27" s="289"/>
      <c r="V27" s="289">
        <f>SUMPRODUCT((UPPER(V$6:W$25)="T")*($C$6:$C$25)*0.5)</f>
        <v>2.5</v>
      </c>
      <c r="W27" s="289"/>
      <c r="X27" s="289">
        <f>SUMPRODUCT((UPPER(X$6:Y$25)="T")*($C$6:$C$25)*0.5)</f>
        <v>2.875</v>
      </c>
      <c r="Y27" s="289"/>
      <c r="Z27" s="289">
        <f>SUMPRODUCT((UPPER(Z$6:AA$25)="T")*($C$6:$C$25)*0.5)</f>
        <v>4.25</v>
      </c>
      <c r="AA27" s="289"/>
      <c r="AB27" s="289">
        <f>SUMPRODUCT((UPPER(AB$6:AC$25)="T")*($C$6:$C$25)*0.5)</f>
        <v>0.875</v>
      </c>
      <c r="AC27" s="290"/>
      <c r="AE27" s="192" t="s">
        <v>136</v>
      </c>
      <c r="AF27" s="192" t="s">
        <v>81</v>
      </c>
      <c r="AG27" s="192" t="s">
        <v>137</v>
      </c>
      <c r="AH27" s="199">
        <v>12531</v>
      </c>
      <c r="AI27" s="199">
        <v>12533</v>
      </c>
      <c r="AJ27" s="194" t="str">
        <f>IF(TableauSuiviSprint[[#This Row],[N° feature]]&lt;&gt;"",VLOOKUP(TableauSuiviSprint[[#This Row],[N° feature]],SSG_Features[[#All],[ID]:[Tags]],3,FALSE),"")</f>
        <v>[I230718_143] Problème de création du client Keycloak  lors du déploiement via la pipeline</v>
      </c>
      <c r="AK27" s="195"/>
      <c r="AL27" s="196"/>
      <c r="AM27" s="194" t="s">
        <v>138</v>
      </c>
      <c r="AN27" s="197">
        <v>1</v>
      </c>
      <c r="AO27" s="198">
        <v>6</v>
      </c>
      <c r="AP27" s="198">
        <v>0</v>
      </c>
      <c r="AQ27" s="198">
        <f>TableauSuiviSprint[[#This Row],[Dev]]+TableauSuiviSprint[[#This Row],[TC / MR]]</f>
        <v>6</v>
      </c>
      <c r="AR27" s="88">
        <v>3</v>
      </c>
      <c r="AS27" s="30">
        <v>0</v>
      </c>
      <c r="AT27" s="9">
        <f>TableauSuiviSprint[[#This Row],[H. Dev]]+TableauSuiviSprint[[#This Row],[H. Qualif]]</f>
        <v>6</v>
      </c>
      <c r="AU27">
        <f>TableauSuiviSprint[[#This Row],[Init]]</f>
        <v>6</v>
      </c>
      <c r="AV27">
        <f>TableauSuiviSprint[[#This Row],[Init]]</f>
        <v>6</v>
      </c>
      <c r="AW27" s="213">
        <f>TableauSuiviSprint[[#This Row],[J2]]</f>
        <v>6</v>
      </c>
      <c r="AX27" s="214">
        <f>TableauSuiviSprint[[#This Row],[J3]]</f>
        <v>6</v>
      </c>
      <c r="AY27" s="214">
        <f>TableauSuiviSprint[[#This Row],[J4]]</f>
        <v>6</v>
      </c>
      <c r="AZ27" s="214">
        <f>TableauSuiviSprint[[#This Row],[J5]]</f>
        <v>6</v>
      </c>
      <c r="BA27" s="214">
        <f>TableauSuiviSprint[[#This Row],[J6]]</f>
        <v>6</v>
      </c>
      <c r="BB27" s="214">
        <f>TableauSuiviSprint[[#This Row],[J7]]</f>
        <v>6</v>
      </c>
      <c r="BC27" s="214">
        <f>TableauSuiviSprint[[#This Row],[J8]]</f>
        <v>6</v>
      </c>
      <c r="BD27" s="214">
        <f>TableauSuiviSprint[[#This Row],[J9]]</f>
        <v>6</v>
      </c>
    </row>
    <row r="28" spans="1:56" ht="15" customHeight="1" x14ac:dyDescent="0.25">
      <c r="B28" s="282" t="s">
        <v>139</v>
      </c>
      <c r="C28" s="283"/>
      <c r="D28" s="295"/>
      <c r="E28" s="291">
        <f>SUM(J28:AC28)</f>
        <v>23</v>
      </c>
      <c r="F28" s="296"/>
      <c r="G28" s="296"/>
      <c r="H28" s="296"/>
      <c r="I28" s="297"/>
      <c r="J28" s="293">
        <f>SUMPRODUCT((UPPER(J$6:K$25)="D")*($C$6:$C$25)*0.5)</f>
        <v>0.75</v>
      </c>
      <c r="K28" s="294"/>
      <c r="L28" s="293">
        <f>SUMPRODUCT((UPPER(L$6:M$25)="D")*($C$6:$C$25)*0.5)</f>
        <v>2.25</v>
      </c>
      <c r="M28" s="294"/>
      <c r="N28" s="293">
        <f>SUMPRODUCT((UPPER(N$6:O$25)="D")*($C$6:$C$25)*0.5)</f>
        <v>2.5</v>
      </c>
      <c r="O28" s="294"/>
      <c r="P28" s="293">
        <f>SUMPRODUCT((UPPER(P$6:Q$25)="D")*($C$6:$C$25)*0.5)</f>
        <v>3.75</v>
      </c>
      <c r="Q28" s="294"/>
      <c r="R28" s="293">
        <f>SUMPRODUCT((UPPER(R$6:S$25)="D")*($C$6:$C$25)*0.5)</f>
        <v>2.75</v>
      </c>
      <c r="S28" s="294"/>
      <c r="T28" s="293">
        <f>SUMPRODUCT((UPPER(T$6:U$25)="D")*($C$6:$C$25)*0.5)</f>
        <v>2.75</v>
      </c>
      <c r="U28" s="294"/>
      <c r="V28" s="293">
        <f>SUMPRODUCT((UPPER(V$6:W$25)="D")*($C$6:$C$25)*0.5)</f>
        <v>2.75</v>
      </c>
      <c r="W28" s="294"/>
      <c r="X28" s="293">
        <f>SUMPRODUCT((UPPER(X$6:Y$25)="D")*($C$6:$C$25)*0.5)</f>
        <v>2.5</v>
      </c>
      <c r="Y28" s="294"/>
      <c r="Z28" s="293">
        <f>SUMPRODUCT((UPPER(Z$6:AA$25)="D")*($C$6:$C$25)*0.5)</f>
        <v>2.25</v>
      </c>
      <c r="AA28" s="294"/>
      <c r="AB28" s="293">
        <f>SUMPRODUCT((UPPER(AB$6:AC$25)="D")*($C$6:$C$25)*0.5)</f>
        <v>0.75</v>
      </c>
      <c r="AC28" s="294"/>
      <c r="AE28" s="46" t="s">
        <v>140</v>
      </c>
      <c r="AF28" s="46" t="s">
        <v>141</v>
      </c>
      <c r="AG28" s="46" t="s">
        <v>142</v>
      </c>
      <c r="AH28" s="46">
        <v>12603</v>
      </c>
      <c r="AI28" s="46">
        <v>12604</v>
      </c>
      <c r="AJ28" s="194" t="str">
        <f>IF(TableauSuiviSprint[[#This Row],[N° feature]]&lt;&gt;"",VLOOKUP(TableauSuiviSprint[[#This Row],[N° feature]],SSG_Features[[#All],[ID]:[Tags]],3,FALSE),"")</f>
        <v>Problème sur les listes des OMP</v>
      </c>
      <c r="AK28" s="202" t="s">
        <v>143</v>
      </c>
      <c r="AL28" s="203"/>
      <c r="AM28" s="201" t="s">
        <v>144</v>
      </c>
      <c r="AN28" s="226">
        <v>1</v>
      </c>
      <c r="AO28" s="226">
        <v>6</v>
      </c>
      <c r="AP28" s="204"/>
      <c r="AQ28" s="200">
        <f>TableauSuiviSprint[[#This Row],[Dev]]+TableauSuiviSprint[[#This Row],[TC / MR]]</f>
        <v>6</v>
      </c>
      <c r="AR28" s="241" t="s">
        <v>75</v>
      </c>
      <c r="AS28" s="30">
        <v>3</v>
      </c>
      <c r="AT28" s="9">
        <f>TableauSuiviSprint[[#This Row],[H. Dev]]+TableauSuiviSprint[[#This Row],[H. Qualif]]</f>
        <v>9</v>
      </c>
      <c r="AU28">
        <f>TableauSuiviSprint[[#This Row],[Init]]</f>
        <v>9</v>
      </c>
      <c r="AV28">
        <f>TableauSuiviSprint[[#This Row],[Init]]</f>
        <v>9</v>
      </c>
      <c r="AW28">
        <f>TableauSuiviSprint[[#This Row],[J2]]</f>
        <v>9</v>
      </c>
      <c r="AX28">
        <f>TableauSuiviSprint[[#This Row],[J3]]</f>
        <v>9</v>
      </c>
      <c r="AY28">
        <f>TableauSuiviSprint[[#This Row],[J4]]</f>
        <v>9</v>
      </c>
      <c r="AZ28">
        <f>TableauSuiviSprint[[#This Row],[J5]]</f>
        <v>9</v>
      </c>
      <c r="BA28">
        <f>TableauSuiviSprint[[#This Row],[J6]]</f>
        <v>9</v>
      </c>
      <c r="BB28">
        <f>TableauSuiviSprint[[#This Row],[J7]]</f>
        <v>9</v>
      </c>
      <c r="BC28">
        <f>TableauSuiviSprint[[#This Row],[J8]]</f>
        <v>9</v>
      </c>
      <c r="BD28">
        <f>TableauSuiviSprint[[#This Row],[J9]]</f>
        <v>9</v>
      </c>
    </row>
    <row r="29" spans="1:56" x14ac:dyDescent="0.25">
      <c r="B29" s="282" t="s">
        <v>145</v>
      </c>
      <c r="C29" s="283"/>
      <c r="D29" s="284"/>
      <c r="E29" s="292">
        <f>SUM(J29:AC29)</f>
        <v>18.25</v>
      </c>
      <c r="F29" s="292"/>
      <c r="G29" s="292"/>
      <c r="H29" s="292"/>
      <c r="I29" s="292"/>
      <c r="J29" s="289">
        <f t="array" ref="J29">SUMPRODUCT((UPPER(J$6:K$25)="Q")*($C$6:$C$25)*0.5)</f>
        <v>0</v>
      </c>
      <c r="K29" s="289"/>
      <c r="L29" s="289">
        <f t="array" ref="L29">SUMPRODUCT((UPPER(L$6:M$25)="Q")*($C$6:$C$25)*0.5)</f>
        <v>0</v>
      </c>
      <c r="M29" s="289"/>
      <c r="N29" s="289">
        <f t="array" ref="N29">SUMPRODUCT((UPPER(N$6:O$25)="Q")*($C$6:$C$25)*0.5)</f>
        <v>0</v>
      </c>
      <c r="O29" s="289"/>
      <c r="P29" s="289">
        <f t="array" ref="P29">SUMPRODUCT((UPPER(P$6:Q$25)="Q")*($C$6:$C$25)*0.5)</f>
        <v>0.5</v>
      </c>
      <c r="Q29" s="289"/>
      <c r="R29" s="289">
        <f t="array" ref="R29">SUMPRODUCT((UPPER(R$6:S$25)="Q")*($C$6:$C$25)*0.5)</f>
        <v>1.75</v>
      </c>
      <c r="S29" s="289"/>
      <c r="T29" s="289">
        <f t="array" ref="T29">SUMPRODUCT((UPPER(T$6:U$25)="Q")*($C$6:$C$25)*0.5)</f>
        <v>2.5</v>
      </c>
      <c r="U29" s="289"/>
      <c r="V29" s="289">
        <f t="array" ref="V29">SUMPRODUCT((UPPER(V$6:W$25)="Q")*($C$6:$C$25)*0.5)</f>
        <v>3.5</v>
      </c>
      <c r="W29" s="289"/>
      <c r="X29" s="289">
        <f t="array" ref="X29">SUMPRODUCT((UPPER(X$6:Y$25)="Q")*($C$6:$C$25)*0.5)</f>
        <v>3.5</v>
      </c>
      <c r="Y29" s="289"/>
      <c r="Z29" s="289">
        <f t="array" ref="Z29">SUMPRODUCT((UPPER(Z$6:AA$25)="Q")*($C$6:$C$25)*0.5)</f>
        <v>3.5</v>
      </c>
      <c r="AA29" s="289"/>
      <c r="AB29" s="289">
        <f t="array" ref="AB29">SUMPRODUCT((UPPER(AB$6:AC$25)="Q")*($C$6:$C$25)*0.5)</f>
        <v>3</v>
      </c>
      <c r="AC29" s="290"/>
      <c r="AJ29" t="str">
        <f>IF(TableauSuiviSprint[[#This Row],[N° feature]]&lt;&gt;"",VLOOKUP(TableauSuiviSprint[[#This Row],[N° feature]],SSG_Features[[#All],[ID]:[Tags]],3,FALSE),"")</f>
        <v/>
      </c>
      <c r="AK29" s="6"/>
      <c r="AL29" s="7"/>
      <c r="AM29" s="11"/>
      <c r="AN29" s="32"/>
      <c r="AO29" s="32"/>
      <c r="AP29" s="50"/>
      <c r="AQ29" s="30">
        <f>TableauSuiviSprint[[#This Row],[Dev]]+TableauSuiviSprint[[#This Row],[TC / MR]]</f>
        <v>0</v>
      </c>
      <c r="AR29" s="88"/>
      <c r="AS29" s="30"/>
      <c r="AT29" s="9">
        <f>TableauSuiviSprint[[#This Row],[H. Dev]]+TableauSuiviSprint[[#This Row],[H. Qualif]]</f>
        <v>0</v>
      </c>
      <c r="AU29">
        <f>TableauSuiviSprint[[#This Row],[Init]]</f>
        <v>0</v>
      </c>
      <c r="AV29">
        <f>TableauSuiviSprint[[#This Row],[Init]]</f>
        <v>0</v>
      </c>
      <c r="AW29">
        <f>TableauSuiviSprint[[#This Row],[J2]]</f>
        <v>0</v>
      </c>
      <c r="AX29">
        <f>TableauSuiviSprint[[#This Row],[J3]]</f>
        <v>0</v>
      </c>
      <c r="AY29">
        <f>TableauSuiviSprint[[#This Row],[J4]]</f>
        <v>0</v>
      </c>
      <c r="AZ29">
        <f>TableauSuiviSprint[[#This Row],[J5]]</f>
        <v>0</v>
      </c>
      <c r="BA29">
        <f>TableauSuiviSprint[[#This Row],[J6]]</f>
        <v>0</v>
      </c>
      <c r="BB29">
        <f>TableauSuiviSprint[[#This Row],[J7]]</f>
        <v>0</v>
      </c>
      <c r="BC29">
        <f>TableauSuiviSprint[[#This Row],[J8]]</f>
        <v>0</v>
      </c>
      <c r="BD29">
        <f>TableauSuiviSprint[[#This Row],[J9]]</f>
        <v>0</v>
      </c>
    </row>
    <row r="30" spans="1:56" ht="40.5" customHeight="1" x14ac:dyDescent="0.25">
      <c r="B30" s="282" t="s">
        <v>146</v>
      </c>
      <c r="C30" s="283"/>
      <c r="D30" s="284"/>
      <c r="E30" s="292">
        <f>SUM(J30:AC30)</f>
        <v>12.875</v>
      </c>
      <c r="F30" s="292"/>
      <c r="G30" s="292"/>
      <c r="H30" s="292"/>
      <c r="I30" s="292"/>
      <c r="J30" s="289">
        <f t="array" ref="J30">SUMPRODUCT((UPPER(J$6:K$25)="S")*($C$6:$C$25)*0.5)</f>
        <v>1.625</v>
      </c>
      <c r="K30" s="289"/>
      <c r="L30" s="289">
        <f t="array" ref="L30">SUMPRODUCT((UPPER(L$6:M$25)="S")*($C$6:$C$25)*0.5)</f>
        <v>3.5</v>
      </c>
      <c r="M30" s="289"/>
      <c r="N30" s="289">
        <f t="array" ref="N30">SUMPRODUCT((UPPER(N$6:O$25)="S")*($C$6:$C$25)*0.5)</f>
        <v>3.5</v>
      </c>
      <c r="O30" s="289"/>
      <c r="P30" s="289">
        <f t="array" ref="P30">SUMPRODUCT((UPPER(P$6:Q$25)="S")*($C$6:$C$25)*0.5)</f>
        <v>2.25</v>
      </c>
      <c r="Q30" s="289"/>
      <c r="R30" s="289">
        <f t="array" ref="R30">SUMPRODUCT((UPPER(R$6:S$25)="S")*($C$6:$C$25)*0.5)</f>
        <v>1</v>
      </c>
      <c r="S30" s="289"/>
      <c r="T30" s="289">
        <f t="array" ref="T30">SUMPRODUCT((UPPER(T$6:U$25)="S")*($C$6:$C$25)*0.5)</f>
        <v>1</v>
      </c>
      <c r="U30" s="289"/>
      <c r="V30" s="289">
        <f t="array" ref="V30">SUMPRODUCT((UPPER(V$6:W$25)="S")*($C$6:$C$25)*0.5)</f>
        <v>0</v>
      </c>
      <c r="W30" s="289"/>
      <c r="X30" s="289">
        <f t="array" ref="X30">SUMPRODUCT((UPPER(X$6:Y$25)="S")*($C$6:$C$25)*0.5)</f>
        <v>0</v>
      </c>
      <c r="Y30" s="289"/>
      <c r="Z30" s="289">
        <f t="array" ref="Z30">SUMPRODUCT((UPPER(Z$6:AA$25)="S")*($C$6:$C$25)*0.5)</f>
        <v>0</v>
      </c>
      <c r="AA30" s="289"/>
      <c r="AB30" s="289">
        <f t="array" ref="AB30">SUMPRODUCT((UPPER(AB$6:AC$25)="S")*($C$6:$C$25)*0.5)</f>
        <v>0</v>
      </c>
      <c r="AC30" s="290"/>
      <c r="AE30" t="s">
        <v>147</v>
      </c>
      <c r="AF30" t="s">
        <v>81</v>
      </c>
      <c r="AG30" t="s">
        <v>82</v>
      </c>
      <c r="AH30" t="s">
        <v>148</v>
      </c>
      <c r="AI30" t="s">
        <v>149</v>
      </c>
      <c r="AJ30" s="11" t="e">
        <f>IF(TableauSuiviSprint[[#This Row],[N° feature]]&lt;&gt;"",VLOOKUP(TableauSuiviSprint[[#This Row],[N° feature]],SSG_Features[[#All],[ID]:[Tags]],3,FALSE),"")</f>
        <v>#N/A</v>
      </c>
      <c r="AK30" s="6"/>
      <c r="AL30" s="7"/>
      <c r="AM30" s="11" t="s">
        <v>150</v>
      </c>
      <c r="AN30" s="32"/>
      <c r="AO30" s="32"/>
      <c r="AP30" s="50"/>
      <c r="AQ30" s="30">
        <f>TableauSuiviSprint[[#This Row],[Dev]]+TableauSuiviSprint[[#This Row],[TC / MR]]</f>
        <v>0</v>
      </c>
      <c r="AR30" s="88"/>
      <c r="AT30" s="9">
        <f>TableauSuiviSprint[[#This Row],[H. Dev]]+TableauSuiviSprint[[#This Row],[H. Qualif]]</f>
        <v>0</v>
      </c>
      <c r="AU30">
        <f>TableauSuiviSprint[[#This Row],[Init]]</f>
        <v>0</v>
      </c>
      <c r="AV30">
        <f>TableauSuiviSprint[[#This Row],[Init]]</f>
        <v>0</v>
      </c>
      <c r="AW30">
        <f>TableauSuiviSprint[[#This Row],[J2]]</f>
        <v>0</v>
      </c>
      <c r="AX30">
        <f>TableauSuiviSprint[[#This Row],[J3]]</f>
        <v>0</v>
      </c>
      <c r="AY30">
        <f>TableauSuiviSprint[[#This Row],[J4]]</f>
        <v>0</v>
      </c>
      <c r="AZ30">
        <f>TableauSuiviSprint[[#This Row],[J5]]</f>
        <v>0</v>
      </c>
      <c r="BA30">
        <f>TableauSuiviSprint[[#This Row],[J6]]</f>
        <v>0</v>
      </c>
      <c r="BB30" s="190">
        <f>TableauSuiviSprint[[#This Row],[J7]]</f>
        <v>0</v>
      </c>
      <c r="BC30" s="230">
        <f>TableauSuiviSprint[[#This Row],[J8]]</f>
        <v>0</v>
      </c>
      <c r="BD30" s="236">
        <f>TableauSuiviSprint[[#This Row],[J9]]</f>
        <v>0</v>
      </c>
    </row>
    <row r="31" spans="1:56" ht="33.75" customHeight="1" x14ac:dyDescent="0.25">
      <c r="B31" s="282" t="s">
        <v>151</v>
      </c>
      <c r="C31" s="283"/>
      <c r="D31" s="284"/>
      <c r="E31" s="291">
        <f>E29+E30</f>
        <v>31.125</v>
      </c>
      <c r="F31" s="291"/>
      <c r="G31" s="291"/>
      <c r="H31" s="291"/>
      <c r="I31" s="291"/>
      <c r="J31" s="289">
        <f>J29+J30</f>
        <v>1.625</v>
      </c>
      <c r="K31" s="289"/>
      <c r="L31" s="289">
        <f>L29+L30</f>
        <v>3.5</v>
      </c>
      <c r="M31" s="289"/>
      <c r="N31" s="289">
        <f>N29+N30</f>
        <v>3.5</v>
      </c>
      <c r="O31" s="289"/>
      <c r="P31" s="289">
        <f>P29+P30</f>
        <v>2.75</v>
      </c>
      <c r="Q31" s="289"/>
      <c r="R31" s="289">
        <f>R29+R30</f>
        <v>2.75</v>
      </c>
      <c r="S31" s="289"/>
      <c r="T31" s="289">
        <f>T29+T30</f>
        <v>3.5</v>
      </c>
      <c r="U31" s="289"/>
      <c r="V31" s="289">
        <f>V29+V30</f>
        <v>3.5</v>
      </c>
      <c r="W31" s="289"/>
      <c r="X31" s="289">
        <f>X29+X30</f>
        <v>3.5</v>
      </c>
      <c r="Y31" s="289"/>
      <c r="Z31" s="289">
        <f>Z29+Z30</f>
        <v>3.5</v>
      </c>
      <c r="AA31" s="289"/>
      <c r="AB31" s="289">
        <f>AB29+AB30</f>
        <v>3</v>
      </c>
      <c r="AC31" s="290"/>
      <c r="AE31" t="s">
        <v>93</v>
      </c>
      <c r="AF31" t="s">
        <v>81</v>
      </c>
      <c r="AG31" t="s">
        <v>105</v>
      </c>
      <c r="AH31" t="s">
        <v>152</v>
      </c>
      <c r="AJ31" s="11" t="str">
        <f>IF(TableauSuiviSprint[[#This Row],[N° feature]]&lt;&gt;"",VLOOKUP(TableauSuiviSprint[[#This Row],[N° feature]],SSG_Features[[#All],[ID]:[Tags]],3,FALSE),"")</f>
        <v/>
      </c>
      <c r="AK31" s="6"/>
      <c r="AL31" s="7"/>
      <c r="AM31" s="11" t="s">
        <v>153</v>
      </c>
      <c r="AN31" s="32"/>
      <c r="AO31" s="129"/>
      <c r="AP31" s="50"/>
      <c r="AQ31" s="30">
        <f>TableauSuiviSprint[[#This Row],[Dev]]+TableauSuiviSprint[[#This Row],[TC / MR]]</f>
        <v>0</v>
      </c>
      <c r="AR31" s="88"/>
      <c r="AT31" s="9">
        <f>TableauSuiviSprint[[#This Row],[H. Dev]]+TableauSuiviSprint[[#This Row],[H. Qualif]]</f>
        <v>0</v>
      </c>
      <c r="AU31">
        <f>TableauSuiviSprint[[#This Row],[Init]]</f>
        <v>0</v>
      </c>
      <c r="AV31">
        <f>TableauSuiviSprint[[#This Row],[Init]]</f>
        <v>0</v>
      </c>
      <c r="AW31">
        <f>TableauSuiviSprint[[#This Row],[J2]]</f>
        <v>0</v>
      </c>
      <c r="AX31">
        <f>TableauSuiviSprint[[#This Row],[J3]]</f>
        <v>0</v>
      </c>
      <c r="AY31">
        <f>TableauSuiviSprint[[#This Row],[J4]]</f>
        <v>0</v>
      </c>
      <c r="AZ31">
        <f>TableauSuiviSprint[[#This Row],[J5]]</f>
        <v>0</v>
      </c>
      <c r="BA31">
        <f>TableauSuiviSprint[[#This Row],[J6]]</f>
        <v>0</v>
      </c>
      <c r="BB31">
        <f>TableauSuiviSprint[[#This Row],[J7]]</f>
        <v>0</v>
      </c>
      <c r="BC31">
        <f>TableauSuiviSprint[[#This Row],[J8]]</f>
        <v>0</v>
      </c>
      <c r="BD31">
        <f>TableauSuiviSprint[[#This Row],[J9]]</f>
        <v>0</v>
      </c>
    </row>
    <row r="32" spans="1:56" ht="23.25" customHeight="1" thickBot="1" x14ac:dyDescent="0.3">
      <c r="B32" s="282" t="s">
        <v>154</v>
      </c>
      <c r="C32" s="283"/>
      <c r="D32" s="284"/>
      <c r="E32" s="285">
        <f>SUM(J32:AC32)</f>
        <v>77.25</v>
      </c>
      <c r="F32" s="285"/>
      <c r="G32" s="285"/>
      <c r="H32" s="285"/>
      <c r="I32" s="286"/>
      <c r="J32" s="287">
        <f>J26+J29+J30</f>
        <v>3.25</v>
      </c>
      <c r="K32" s="288"/>
      <c r="L32" s="280">
        <f>L26+L29+L30</f>
        <v>7.5</v>
      </c>
      <c r="M32" s="280"/>
      <c r="N32" s="280">
        <f>N26+N29+N30</f>
        <v>8.5</v>
      </c>
      <c r="O32" s="280"/>
      <c r="P32" s="280">
        <f>P26+P29+P30</f>
        <v>9</v>
      </c>
      <c r="Q32" s="280"/>
      <c r="R32" s="280">
        <f>R26+R29+R30</f>
        <v>8</v>
      </c>
      <c r="S32" s="280"/>
      <c r="T32" s="280">
        <f>T26+T29+T30</f>
        <v>8.75</v>
      </c>
      <c r="U32" s="280"/>
      <c r="V32" s="280">
        <f>V26+V29+V30</f>
        <v>8.75</v>
      </c>
      <c r="W32" s="280"/>
      <c r="X32" s="280">
        <f>X26+X29+X30</f>
        <v>8.875</v>
      </c>
      <c r="Y32" s="280"/>
      <c r="Z32" s="280">
        <f>Z26+Z29+Z30</f>
        <v>10</v>
      </c>
      <c r="AA32" s="280"/>
      <c r="AB32" s="280">
        <f>AB26+AB29+AB30</f>
        <v>4.625</v>
      </c>
      <c r="AC32" s="281"/>
      <c r="AE32" t="s">
        <v>80</v>
      </c>
      <c r="AF32" t="s">
        <v>81</v>
      </c>
      <c r="AG32" t="s">
        <v>155</v>
      </c>
      <c r="AH32" t="s">
        <v>156</v>
      </c>
      <c r="AJ32" s="11" t="str">
        <f>IF(TableauSuiviSprint[[#This Row],[N° feature]]&lt;&gt;"",VLOOKUP(TableauSuiviSprint[[#This Row],[N° feature]],SSG_Features[[#All],[ID]:[Tags]],3,FALSE),"")</f>
        <v/>
      </c>
      <c r="AK32" s="6"/>
      <c r="AL32" s="7"/>
      <c r="AM32" s="11" t="s">
        <v>157</v>
      </c>
      <c r="AN32" s="175"/>
      <c r="AO32" s="175"/>
      <c r="AP32" s="50"/>
      <c r="AQ32" s="30">
        <f>TableauSuiviSprint[[#This Row],[Dev]]+TableauSuiviSprint[[#This Row],[TC / MR]]</f>
        <v>0</v>
      </c>
      <c r="AR32" s="88"/>
      <c r="AT32" s="9">
        <f>TableauSuiviSprint[[#This Row],[H. Dev]]+TableauSuiviSprint[[#This Row],[H. Qualif]]</f>
        <v>0</v>
      </c>
      <c r="AU32">
        <f>TableauSuiviSprint[[#This Row],[Init]]</f>
        <v>0</v>
      </c>
      <c r="AV32">
        <f>TableauSuiviSprint[[#This Row],[Init]]</f>
        <v>0</v>
      </c>
      <c r="AW32">
        <f>TableauSuiviSprint[[#This Row],[J2]]</f>
        <v>0</v>
      </c>
      <c r="AX32">
        <f>TableauSuiviSprint[[#This Row],[J3]]</f>
        <v>0</v>
      </c>
      <c r="AY32">
        <f>TableauSuiviSprint[[#This Row],[J4]]</f>
        <v>0</v>
      </c>
      <c r="AZ32">
        <f>TableauSuiviSprint[[#This Row],[J5]]</f>
        <v>0</v>
      </c>
      <c r="BA32">
        <f>TableauSuiviSprint[[#This Row],[J6]]</f>
        <v>0</v>
      </c>
      <c r="BB32">
        <f>TableauSuiviSprint[[#This Row],[J7]]</f>
        <v>0</v>
      </c>
      <c r="BC32">
        <f>TableauSuiviSprint[[#This Row],[J8]]</f>
        <v>0</v>
      </c>
      <c r="BD32">
        <f>TableauSuiviSprint[[#This Row],[J9]]</f>
        <v>0</v>
      </c>
    </row>
    <row r="33" spans="2:60" ht="15.75" thickBot="1" x14ac:dyDescent="0.3">
      <c r="B33" s="273" t="s">
        <v>158</v>
      </c>
      <c r="C33" s="274"/>
      <c r="D33" s="275"/>
      <c r="E33" s="276">
        <f>E32+SUM(E5:E25)</f>
        <v>114.625</v>
      </c>
      <c r="F33" s="277"/>
      <c r="G33" s="277"/>
      <c r="H33" s="277"/>
      <c r="I33" s="278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E33" t="s">
        <v>80</v>
      </c>
      <c r="AF33" t="s">
        <v>81</v>
      </c>
      <c r="AG33" t="s">
        <v>89</v>
      </c>
      <c r="AH33" t="s">
        <v>159</v>
      </c>
      <c r="AJ33" s="11" t="str">
        <f>IF(TableauSuiviSprint[[#This Row],[N° feature]]&lt;&gt;"",VLOOKUP(TableauSuiviSprint[[#This Row],[N° feature]],SSG_Features[[#All],[ID]:[Tags]],3,FALSE),"")</f>
        <v/>
      </c>
      <c r="AK33" s="6"/>
      <c r="AL33" s="7"/>
      <c r="AM33" s="11" t="s">
        <v>160</v>
      </c>
      <c r="AN33" s="175"/>
      <c r="AO33" s="211"/>
      <c r="AP33" s="50"/>
      <c r="AQ33" s="30">
        <f>TableauSuiviSprint[[#This Row],[Dev]]+TableauSuiviSprint[[#This Row],[TC / MR]]</f>
        <v>0</v>
      </c>
      <c r="AR33" s="88"/>
      <c r="AT33" s="9">
        <f>TableauSuiviSprint[[#This Row],[H. Dev]]+TableauSuiviSprint[[#This Row],[H. Qualif]]</f>
        <v>0</v>
      </c>
      <c r="AU33">
        <f>TableauSuiviSprint[[#This Row],[Init]]</f>
        <v>0</v>
      </c>
      <c r="AV33">
        <f>TableauSuiviSprint[[#This Row],[Init]]</f>
        <v>0</v>
      </c>
      <c r="AW33">
        <f>TableauSuiviSprint[[#This Row],[J2]]</f>
        <v>0</v>
      </c>
      <c r="AX33">
        <f>TableauSuiviSprint[[#This Row],[J3]]</f>
        <v>0</v>
      </c>
      <c r="AY33">
        <f>TableauSuiviSprint[[#This Row],[J4]]</f>
        <v>0</v>
      </c>
      <c r="AZ33">
        <f>TableauSuiviSprint[[#This Row],[J5]]</f>
        <v>0</v>
      </c>
      <c r="BA33">
        <f>TableauSuiviSprint[[#This Row],[J6]]</f>
        <v>0</v>
      </c>
      <c r="BB33">
        <f>TableauSuiviSprint[[#This Row],[J7]]</f>
        <v>0</v>
      </c>
      <c r="BC33">
        <f>TableauSuiviSprint[[#This Row],[J8]]</f>
        <v>0</v>
      </c>
      <c r="BD33">
        <f>TableauSuiviSprint[[#This Row],[J9]]</f>
        <v>0</v>
      </c>
    </row>
    <row r="34" spans="2:60" x14ac:dyDescent="0.25">
      <c r="J34" s="279" t="s">
        <v>161</v>
      </c>
      <c r="K34" s="279"/>
      <c r="L34" s="279" t="s">
        <v>162</v>
      </c>
      <c r="M34" s="279"/>
      <c r="N34" s="279" t="s">
        <v>163</v>
      </c>
      <c r="O34" s="279"/>
      <c r="P34" s="279" t="s">
        <v>164</v>
      </c>
      <c r="Q34" s="279"/>
      <c r="R34" s="54" t="s">
        <v>164</v>
      </c>
      <c r="T34" s="272" t="s">
        <v>165</v>
      </c>
      <c r="U34" s="272"/>
      <c r="W34" s="21" t="s">
        <v>166</v>
      </c>
      <c r="AC34" s="81"/>
      <c r="AG34" s="30"/>
      <c r="AJ34" s="11" t="str">
        <f>IF(TableauSuiviSprint[[#This Row],[N° feature]]&lt;&gt;"",VLOOKUP(TableauSuiviSprint[[#This Row],[N° feature]],SSG_Features[[#All],[ID]:[Tags]],3,FALSE),"")</f>
        <v/>
      </c>
      <c r="AK34" s="6"/>
      <c r="AL34" s="7"/>
      <c r="AM34" s="11"/>
      <c r="AN34" s="32"/>
      <c r="AO34" s="129"/>
      <c r="AP34" s="50"/>
      <c r="AQ34" s="30">
        <f>TableauSuiviSprint[[#This Row],[Dev]]+TableauSuiviSprint[[#This Row],[TC / MR]]</f>
        <v>0</v>
      </c>
      <c r="AR34" s="88"/>
      <c r="AT34" s="9">
        <f>TableauSuiviSprint[[#This Row],[H. Dev]]+TableauSuiviSprint[[#This Row],[H. Qualif]]</f>
        <v>0</v>
      </c>
      <c r="AU34">
        <f>TableauSuiviSprint[[#This Row],[Init]]</f>
        <v>0</v>
      </c>
      <c r="AV34">
        <f>TableauSuiviSprint[[#This Row],[Init]]</f>
        <v>0</v>
      </c>
      <c r="AW34">
        <f>TableauSuiviSprint[[#This Row],[J2]]</f>
        <v>0</v>
      </c>
      <c r="AX34">
        <f>TableauSuiviSprint[[#This Row],[J3]]</f>
        <v>0</v>
      </c>
      <c r="AY34">
        <f>TableauSuiviSprint[[#This Row],[J4]]</f>
        <v>0</v>
      </c>
      <c r="AZ34">
        <f>TableauSuiviSprint[[#This Row],[J5]]</f>
        <v>0</v>
      </c>
      <c r="BA34">
        <f>TableauSuiviSprint[[#This Row],[J6]]</f>
        <v>0</v>
      </c>
      <c r="BB34">
        <f>TableauSuiviSprint[[#This Row],[J7]]</f>
        <v>0</v>
      </c>
      <c r="BC34">
        <f>TableauSuiviSprint[[#This Row],[J8]]</f>
        <v>0</v>
      </c>
      <c r="BD34">
        <f>TableauSuiviSprint[[#This Row],[J9]]</f>
        <v>0</v>
      </c>
    </row>
    <row r="35" spans="2:60" x14ac:dyDescent="0.25">
      <c r="B35" s="1" t="s">
        <v>167</v>
      </c>
      <c r="C35" s="1"/>
      <c r="D35" s="1"/>
      <c r="E35" s="1"/>
      <c r="F35" s="1"/>
      <c r="G35" s="1"/>
      <c r="H35" s="1"/>
      <c r="I35" s="1"/>
      <c r="J35" s="248">
        <f>SUM(F5:F25)</f>
        <v>12.875</v>
      </c>
      <c r="K35" s="248"/>
      <c r="L35" s="248">
        <f>J35*HEURES</f>
        <v>77.25</v>
      </c>
      <c r="M35" s="248"/>
      <c r="N35" s="248" t="s">
        <v>168</v>
      </c>
      <c r="O35" s="248"/>
      <c r="P35" s="258" t="s">
        <v>168</v>
      </c>
      <c r="Q35" s="258"/>
      <c r="R35" s="55" t="s">
        <v>32</v>
      </c>
      <c r="T35" s="264">
        <f>$L35/SUM($L$36:$M$39)</f>
        <v>0.11063372717508056</v>
      </c>
      <c r="U35" s="264"/>
      <c r="W35" s="265">
        <v>0.4</v>
      </c>
      <c r="X35" s="265"/>
      <c r="Y35" s="266"/>
      <c r="Z35" s="266"/>
      <c r="AA35" s="89"/>
      <c r="AF35" t="s">
        <v>47</v>
      </c>
      <c r="AG35" t="s">
        <v>48</v>
      </c>
      <c r="AH35" t="s">
        <v>169</v>
      </c>
      <c r="AJ35" s="11" t="str">
        <f>IF(TableauSuiviSprint[[#This Row],[N° feature]]&lt;&gt;"",VLOOKUP(TableauSuiviSprint[[#This Row],[N° feature]],SSG_Features[[#All],[ID]:[Tags]],3,FALSE),"")</f>
        <v/>
      </c>
      <c r="AK35" s="6"/>
      <c r="AL35" s="7"/>
      <c r="AM35" s="11"/>
      <c r="AN35" s="32"/>
      <c r="AO35" s="50"/>
      <c r="AP35" s="50"/>
      <c r="AQ35" s="30">
        <f>TableauSuiviSprint[[#This Row],[Dev]]+TableauSuiviSprint[[#This Row],[TC / MR]]</f>
        <v>0</v>
      </c>
      <c r="AR35" s="88"/>
      <c r="AS35" s="30"/>
      <c r="AT35" s="9">
        <f>TableauSuiviSprint[[#This Row],[H. Dev]]+TableauSuiviSprint[[#This Row],[H. Qualif]]</f>
        <v>0</v>
      </c>
      <c r="AU35">
        <f>TableauSuiviSprint[[#This Row],[Init]]</f>
        <v>0</v>
      </c>
      <c r="AV35">
        <f>TableauSuiviSprint[[#This Row],[Init]]</f>
        <v>0</v>
      </c>
      <c r="AW35">
        <f>TableauSuiviSprint[[#This Row],[J2]]</f>
        <v>0</v>
      </c>
      <c r="AX35">
        <f>TableauSuiviSprint[[#This Row],[J3]]</f>
        <v>0</v>
      </c>
      <c r="AY35">
        <f>TableauSuiviSprint[[#This Row],[J4]]</f>
        <v>0</v>
      </c>
      <c r="AZ35">
        <f>TableauSuiviSprint[[#This Row],[J5]]</f>
        <v>0</v>
      </c>
      <c r="BA35">
        <f>TableauSuiviSprint[[#This Row],[J6]]</f>
        <v>0</v>
      </c>
      <c r="BB35">
        <f>TableauSuiviSprint[[#This Row],[J7]]</f>
        <v>0</v>
      </c>
      <c r="BC35">
        <f>TableauSuiviSprint[[#This Row],[J8]]</f>
        <v>0</v>
      </c>
      <c r="BD35">
        <f>TableauSuiviSprint[[#This Row],[J9]]</f>
        <v>0</v>
      </c>
      <c r="BG35" t="s">
        <v>170</v>
      </c>
    </row>
    <row r="36" spans="2:60" x14ac:dyDescent="0.25">
      <c r="B36" s="2" t="s">
        <v>171</v>
      </c>
      <c r="C36" s="2"/>
      <c r="D36" s="2"/>
      <c r="E36" s="2"/>
      <c r="F36" s="2"/>
      <c r="G36" s="2"/>
      <c r="H36" s="2"/>
      <c r="I36" s="2"/>
      <c r="J36" s="267">
        <f>SUM(I5:I25)</f>
        <v>23</v>
      </c>
      <c r="K36" s="267"/>
      <c r="L36" s="248">
        <f>J36*HEURES</f>
        <v>138</v>
      </c>
      <c r="M36" s="248"/>
      <c r="N36" s="268">
        <f>SUMIF(TableauSuiviSprint[Techno],".NET",TableauSuiviSprint[H. Dev])</f>
        <v>184</v>
      </c>
      <c r="O36" s="268"/>
      <c r="P36" s="256">
        <f>N36/L36</f>
        <v>1.3333333333333333</v>
      </c>
      <c r="Q36" s="256"/>
      <c r="R36" s="269">
        <f>(N36+N37)/(L36+L37)</f>
        <v>1.1526648599819331</v>
      </c>
      <c r="T36" s="264">
        <f>$L36/SUM($L$36:$M$39)</f>
        <v>0.19763694951664876</v>
      </c>
      <c r="U36" s="264"/>
      <c r="W36" s="271">
        <f>(L36+L37)*40%</f>
        <v>110.7</v>
      </c>
      <c r="X36" s="271"/>
      <c r="Y36" s="260"/>
      <c r="Z36" s="260"/>
      <c r="AA36" s="260"/>
      <c r="AB36" s="260"/>
      <c r="AJ36" s="11" t="str">
        <f>IF(TableauSuiviSprint[[#This Row],[N° feature]]&lt;&gt;"",VLOOKUP(TableauSuiviSprint[[#This Row],[N° feature]],SSG_Features[[#All],[ID]:[Tags]],3,FALSE),"")</f>
        <v/>
      </c>
      <c r="AK36" s="6"/>
      <c r="AL36" s="7"/>
      <c r="AM36" s="11"/>
      <c r="AN36" s="32"/>
      <c r="AO36" s="50"/>
      <c r="AP36" s="50"/>
      <c r="AQ36" s="30">
        <f>TableauSuiviSprint[[#This Row],[Dev]]+TableauSuiviSprint[[#This Row],[TC / MR]]</f>
        <v>0</v>
      </c>
      <c r="AR36" s="88"/>
      <c r="AS36" s="30"/>
      <c r="AT36" s="9">
        <f>TableauSuiviSprint[[#This Row],[H. Dev]]+TableauSuiviSprint[[#This Row],[H. Qualif]]</f>
        <v>0</v>
      </c>
      <c r="AU36">
        <f>TableauSuiviSprint[[#This Row],[Init]]</f>
        <v>0</v>
      </c>
      <c r="AV36">
        <f>TableauSuiviSprint[[#This Row],[Init]]</f>
        <v>0</v>
      </c>
      <c r="AW36">
        <f>TableauSuiviSprint[[#This Row],[J2]]</f>
        <v>0</v>
      </c>
      <c r="AX36">
        <f>TableauSuiviSprint[[#This Row],[J3]]</f>
        <v>0</v>
      </c>
      <c r="AY36">
        <f>TableauSuiviSprint[[#This Row],[J4]]</f>
        <v>0</v>
      </c>
      <c r="AZ36">
        <f>TableauSuiviSprint[[#This Row],[J5]]</f>
        <v>0</v>
      </c>
      <c r="BA36">
        <f>TableauSuiviSprint[[#This Row],[J6]]</f>
        <v>0</v>
      </c>
      <c r="BB36">
        <f>TableauSuiviSprint[[#This Row],[J7]]</f>
        <v>0</v>
      </c>
      <c r="BC36">
        <f>TableauSuiviSprint[[#This Row],[J8]]</f>
        <v>0</v>
      </c>
      <c r="BD36">
        <f>TableauSuiviSprint[[#This Row],[J9]]</f>
        <v>0</v>
      </c>
      <c r="BE36" s="66"/>
      <c r="BH36" s="6"/>
    </row>
    <row r="37" spans="2:60" ht="15.75" thickBot="1" x14ac:dyDescent="0.3">
      <c r="B37" s="47" t="s">
        <v>172</v>
      </c>
      <c r="C37" s="47"/>
      <c r="D37" s="47"/>
      <c r="E37" s="47"/>
      <c r="F37" s="47"/>
      <c r="G37" s="47"/>
      <c r="H37" s="47"/>
      <c r="I37" s="47"/>
      <c r="J37" s="261">
        <f>SUM(H5:H25)</f>
        <v>23.125</v>
      </c>
      <c r="K37" s="261"/>
      <c r="L37" s="262">
        <f>J37*HEURES</f>
        <v>138.75</v>
      </c>
      <c r="M37" s="262"/>
      <c r="N37" s="263">
        <f>SUMIF(TableauSuiviSprint[Techno],"&lt;&gt;.NET",TableauSuiviSprint[H. Dev])-AQ44</f>
        <v>135</v>
      </c>
      <c r="O37" s="263"/>
      <c r="P37" s="256">
        <f>N37/L37</f>
        <v>0.97297297297297303</v>
      </c>
      <c r="Q37" s="256"/>
      <c r="R37" s="270"/>
      <c r="T37" s="264">
        <f>$L38/SUM($L$36:$M$39)</f>
        <v>0.15682062298603652</v>
      </c>
      <c r="U37" s="264"/>
      <c r="AE37" t="s">
        <v>80</v>
      </c>
      <c r="AF37" t="s">
        <v>81</v>
      </c>
      <c r="AG37" t="s">
        <v>105</v>
      </c>
      <c r="AH37" t="s">
        <v>173</v>
      </c>
      <c r="AJ37" s="11" t="str">
        <f>IF(TableauSuiviSprint[[#This Row],[N° feature]]&lt;&gt;"",VLOOKUP(TableauSuiviSprint[[#This Row],[N° feature]],SSG_Features[[#All],[ID]:[Tags]],3,FALSE),"")</f>
        <v/>
      </c>
      <c r="AK37" s="6"/>
      <c r="AL37" s="7"/>
      <c r="AM37" s="11" t="s">
        <v>174</v>
      </c>
      <c r="AN37" s="32"/>
      <c r="AO37" s="50"/>
      <c r="AP37" s="50"/>
      <c r="AQ37" s="30">
        <f>TableauSuiviSprint[[#This Row],[Dev]]+TableauSuiviSprint[[#This Row],[TC / MR]]</f>
        <v>0</v>
      </c>
      <c r="AR37" s="88"/>
      <c r="AS37" s="30"/>
      <c r="AT37" s="9">
        <f>TableauSuiviSprint[[#This Row],[H. Dev]]+TableauSuiviSprint[[#This Row],[H. Qualif]]</f>
        <v>0</v>
      </c>
      <c r="AU37">
        <f>TableauSuiviSprint[[#This Row],[Init]]</f>
        <v>0</v>
      </c>
      <c r="AV37">
        <f>TableauSuiviSprint[[#This Row],[Init]]</f>
        <v>0</v>
      </c>
      <c r="AW37">
        <f>TableauSuiviSprint[[#This Row],[J2]]</f>
        <v>0</v>
      </c>
      <c r="AX37">
        <f>TableauSuiviSprint[[#This Row],[J3]]</f>
        <v>0</v>
      </c>
      <c r="AY37">
        <f>TableauSuiviSprint[[#This Row],[J4]]</f>
        <v>0</v>
      </c>
      <c r="AZ37">
        <f>TableauSuiviSprint[[#This Row],[J5]]</f>
        <v>0</v>
      </c>
      <c r="BA37">
        <f>TableauSuiviSprint[[#This Row],[J6]]</f>
        <v>0</v>
      </c>
      <c r="BB37">
        <f>TableauSuiviSprint[[#This Row],[J7]]</f>
        <v>0</v>
      </c>
      <c r="BC37">
        <f>TableauSuiviSprint[[#This Row],[J8]]</f>
        <v>0</v>
      </c>
      <c r="BD37">
        <f>TableauSuiviSprint[[#This Row],[J9]]</f>
        <v>0</v>
      </c>
      <c r="BE37" s="66"/>
      <c r="BH37" s="6"/>
    </row>
    <row r="38" spans="2:60" x14ac:dyDescent="0.25">
      <c r="B38" s="3" t="s">
        <v>175</v>
      </c>
      <c r="C38" s="3"/>
      <c r="D38" s="3"/>
      <c r="E38" s="3"/>
      <c r="F38" s="3"/>
      <c r="G38" s="3"/>
      <c r="H38" s="3"/>
      <c r="I38" s="3"/>
      <c r="J38" s="248">
        <f>SUM(G5:G25)</f>
        <v>18.25</v>
      </c>
      <c r="K38" s="249"/>
      <c r="L38" s="248">
        <f>J38*HEURES</f>
        <v>109.5</v>
      </c>
      <c r="M38" s="249"/>
      <c r="N38" s="248">
        <f>TableauSuiviSprint[[#Totals],[H. Qualif]]</f>
        <v>87</v>
      </c>
      <c r="O38" s="249"/>
      <c r="P38" s="256">
        <f>N38/L38</f>
        <v>0.79452054794520544</v>
      </c>
      <c r="Q38" s="257"/>
      <c r="AE38" t="s">
        <v>80</v>
      </c>
      <c r="AF38" t="s">
        <v>81</v>
      </c>
      <c r="AG38" t="s">
        <v>105</v>
      </c>
      <c r="AH38" t="s">
        <v>176</v>
      </c>
      <c r="AJ38" s="11" t="str">
        <f>IF(TableauSuiviSprint[[#This Row],[N° feature]]&lt;&gt;"",VLOOKUP(TableauSuiviSprint[[#This Row],[N° feature]],SSG_Features[[#All],[ID]:[Tags]],3,FALSE),"")</f>
        <v/>
      </c>
      <c r="AK38" s="6"/>
      <c r="AL38" s="7"/>
      <c r="AM38" s="11" t="s">
        <v>177</v>
      </c>
      <c r="AN38" s="32"/>
      <c r="AO38" s="50"/>
      <c r="AP38" s="50"/>
      <c r="AQ38" s="30">
        <f>TableauSuiviSprint[[#This Row],[Dev]]+TableauSuiviSprint[[#This Row],[TC / MR]]</f>
        <v>0</v>
      </c>
      <c r="AR38" s="88"/>
      <c r="AT38" s="9">
        <f>TableauSuiviSprint[[#This Row],[H. Dev]]+TableauSuiviSprint[[#This Row],[H. Qualif]]</f>
        <v>0</v>
      </c>
      <c r="AU38">
        <f>TableauSuiviSprint[[#This Row],[Init]]</f>
        <v>0</v>
      </c>
      <c r="AV38">
        <f>TableauSuiviSprint[[#This Row],[Init]]</f>
        <v>0</v>
      </c>
      <c r="AW38">
        <f>TableauSuiviSprint[[#This Row],[J2]]</f>
        <v>0</v>
      </c>
      <c r="AX38">
        <f>TableauSuiviSprint[[#This Row],[J3]]</f>
        <v>0</v>
      </c>
      <c r="AY38">
        <f>TableauSuiviSprint[[#This Row],[J4]]</f>
        <v>0</v>
      </c>
      <c r="AZ38">
        <f>TableauSuiviSprint[[#This Row],[J5]]</f>
        <v>0</v>
      </c>
      <c r="BA38">
        <f>TableauSuiviSprint[[#This Row],[J6]]</f>
        <v>0</v>
      </c>
      <c r="BB38">
        <f>TableauSuiviSprint[[#This Row],[J7]]</f>
        <v>0</v>
      </c>
      <c r="BC38">
        <f>TableauSuiviSprint[[#This Row],[J8]]</f>
        <v>0</v>
      </c>
      <c r="BD38">
        <f>TableauSuiviSprint[[#This Row],[J9]]</f>
        <v>0</v>
      </c>
      <c r="BH38" s="6"/>
    </row>
    <row r="39" spans="2:60" ht="22.5" customHeight="1" x14ac:dyDescent="0.25">
      <c r="B39" s="4" t="s">
        <v>178</v>
      </c>
      <c r="C39" s="4"/>
      <c r="D39" s="4"/>
      <c r="E39" s="4"/>
      <c r="F39" s="4"/>
      <c r="G39" s="4"/>
      <c r="H39" s="4"/>
      <c r="I39" s="4"/>
      <c r="J39" s="248">
        <f>(COUNTIF($J$6:$AC$20,"O")/2)</f>
        <v>52</v>
      </c>
      <c r="K39" s="249"/>
      <c r="L39" s="248">
        <f>J39*HEURES</f>
        <v>312</v>
      </c>
      <c r="M39" s="249"/>
      <c r="N39" s="248" t="s">
        <v>168</v>
      </c>
      <c r="O39" s="249"/>
      <c r="P39" s="258" t="s">
        <v>168</v>
      </c>
      <c r="Q39" s="259"/>
      <c r="AE39" t="s">
        <v>80</v>
      </c>
      <c r="AF39" t="s">
        <v>81</v>
      </c>
      <c r="AG39" t="s">
        <v>124</v>
      </c>
      <c r="AH39" t="s">
        <v>159</v>
      </c>
      <c r="AJ39" s="11" t="str">
        <f>IF(TableauSuiviSprint[[#This Row],[N° feature]]&lt;&gt;"",VLOOKUP(TableauSuiviSprint[[#This Row],[N° feature]],SSG_Features[[#All],[ID]:[Tags]],3,FALSE),"")</f>
        <v/>
      </c>
      <c r="AK39" s="6"/>
      <c r="AL39" s="7"/>
      <c r="AM39" s="11" t="s">
        <v>179</v>
      </c>
      <c r="AN39" s="32"/>
      <c r="AO39" s="50"/>
      <c r="AP39" s="50"/>
      <c r="AQ39" s="30">
        <f>TableauSuiviSprint[[#This Row],[Dev]]+TableauSuiviSprint[[#This Row],[TC / MR]]</f>
        <v>0</v>
      </c>
      <c r="AR39" s="88"/>
      <c r="AT39" s="9">
        <f>TableauSuiviSprint[[#This Row],[H. Dev]]+TableauSuiviSprint[[#This Row],[H. Qualif]]</f>
        <v>0</v>
      </c>
      <c r="AU39">
        <f>TableauSuiviSprint[[#This Row],[Init]]</f>
        <v>0</v>
      </c>
      <c r="AV39">
        <f>TableauSuiviSprint[[#This Row],[Init]]</f>
        <v>0</v>
      </c>
      <c r="AW39">
        <f>TableauSuiviSprint[[#This Row],[J2]]</f>
        <v>0</v>
      </c>
      <c r="AX39">
        <f>TableauSuiviSprint[[#This Row],[J3]]</f>
        <v>0</v>
      </c>
      <c r="AY39">
        <f>TableauSuiviSprint[[#This Row],[J4]]</f>
        <v>0</v>
      </c>
      <c r="AZ39">
        <f>TableauSuiviSprint[[#This Row],[J5]]</f>
        <v>0</v>
      </c>
      <c r="BA39">
        <f>TableauSuiviSprint[[#This Row],[J6]]</f>
        <v>0</v>
      </c>
      <c r="BB39">
        <f>TableauSuiviSprint[[#This Row],[J7]]</f>
        <v>0</v>
      </c>
      <c r="BC39">
        <f>TableauSuiviSprint[[#This Row],[J8]]</f>
        <v>0</v>
      </c>
      <c r="BD39">
        <f>TableauSuiviSprint[[#This Row],[J9]]</f>
        <v>0</v>
      </c>
      <c r="BG39" s="6"/>
    </row>
    <row r="40" spans="2:60" ht="27.75" customHeight="1" x14ac:dyDescent="0.25">
      <c r="B40" s="46" t="s">
        <v>180</v>
      </c>
      <c r="C40" s="46"/>
      <c r="D40" s="46"/>
      <c r="E40" s="46"/>
      <c r="F40" s="46"/>
      <c r="G40" s="46"/>
      <c r="H40" s="46"/>
      <c r="I40" s="46"/>
      <c r="J40" s="248">
        <f>(COUNTIF($J$6:$AC$20,"A")/2)</f>
        <v>9</v>
      </c>
      <c r="K40" s="249"/>
      <c r="AJ40" s="11" t="str">
        <f>IF(TableauSuiviSprint[[#This Row],[N° feature]]&lt;&gt;"",VLOOKUP(TableauSuiviSprint[[#This Row],[N° feature]],SSG_Features[[#All],[ID]:[Tags]],3,FALSE),"")</f>
        <v/>
      </c>
      <c r="AK40" s="6"/>
      <c r="AL40" s="7"/>
      <c r="AM40" s="11"/>
      <c r="AN40" s="32"/>
      <c r="AO40" s="50"/>
      <c r="AP40" s="50"/>
      <c r="AQ40" s="30">
        <f>TableauSuiviSprint[[#This Row],[Dev]]+TableauSuiviSprint[[#This Row],[TC / MR]]</f>
        <v>0</v>
      </c>
      <c r="AR40" s="88"/>
      <c r="AT40" s="9">
        <f>TableauSuiviSprint[[#This Row],[H. Dev]]+TableauSuiviSprint[[#This Row],[H. Qualif]]</f>
        <v>0</v>
      </c>
      <c r="AU40">
        <f>TableauSuiviSprint[[#This Row],[Init]]</f>
        <v>0</v>
      </c>
      <c r="AV40">
        <f>TableauSuiviSprint[[#This Row],[Init]]</f>
        <v>0</v>
      </c>
      <c r="AW40">
        <f>TableauSuiviSprint[[#This Row],[J2]]</f>
        <v>0</v>
      </c>
      <c r="AX40">
        <f>TableauSuiviSprint[[#This Row],[J3]]</f>
        <v>0</v>
      </c>
      <c r="AY40">
        <f>TableauSuiviSprint[[#This Row],[J4]]</f>
        <v>0</v>
      </c>
      <c r="AZ40">
        <f>TableauSuiviSprint[[#This Row],[J5]]</f>
        <v>0</v>
      </c>
      <c r="BA40">
        <f>TableauSuiviSprint[[#This Row],[J6]]</f>
        <v>0</v>
      </c>
      <c r="BB40">
        <f>TableauSuiviSprint[[#This Row],[J7]]</f>
        <v>0</v>
      </c>
      <c r="BC40">
        <f>TableauSuiviSprint[[#This Row],[J8]]</f>
        <v>0</v>
      </c>
      <c r="BD40">
        <f>TableauSuiviSprint[[#This Row],[J9]]</f>
        <v>0</v>
      </c>
    </row>
    <row r="41" spans="2:60" x14ac:dyDescent="0.25">
      <c r="B41" s="250" t="s">
        <v>181</v>
      </c>
      <c r="C41" s="250"/>
      <c r="D41" s="250"/>
      <c r="E41" s="250"/>
      <c r="F41" s="250"/>
      <c r="G41" s="250"/>
      <c r="H41" s="250"/>
      <c r="I41" s="250"/>
      <c r="J41" s="251">
        <f>SUM(D6:D25)</f>
        <v>127</v>
      </c>
      <c r="K41" s="252"/>
      <c r="AJ41" s="11" t="str">
        <f>IF(TableauSuiviSprint[[#This Row],[N° feature]]&lt;&gt;"",VLOOKUP(TableauSuiviSprint[[#This Row],[N° feature]],SSG_Features[[#All],[ID]:[Tags]],3,FALSE),"")</f>
        <v/>
      </c>
      <c r="AK41" s="6"/>
      <c r="AL41" s="7"/>
      <c r="AM41" s="11"/>
      <c r="AN41" s="32"/>
      <c r="AO41" s="50"/>
      <c r="AP41" s="50"/>
      <c r="AQ41" s="30">
        <f>TableauSuiviSprint[[#This Row],[Dev]]+TableauSuiviSprint[[#This Row],[TC / MR]]</f>
        <v>0</v>
      </c>
      <c r="AR41" s="88"/>
      <c r="AT41" s="9">
        <f>TableauSuiviSprint[[#This Row],[H. Dev]]+TableauSuiviSprint[[#This Row],[H. Qualif]]</f>
        <v>0</v>
      </c>
      <c r="AU41">
        <f>TableauSuiviSprint[[#This Row],[Init]]</f>
        <v>0</v>
      </c>
      <c r="AV41">
        <f>TableauSuiviSprint[[#This Row],[Init]]</f>
        <v>0</v>
      </c>
      <c r="AW41">
        <f>TableauSuiviSprint[[#This Row],[J2]]</f>
        <v>0</v>
      </c>
      <c r="AX41">
        <f>TableauSuiviSprint[[#This Row],[J3]]</f>
        <v>0</v>
      </c>
      <c r="AY41">
        <f>TableauSuiviSprint[[#This Row],[J4]]</f>
        <v>0</v>
      </c>
      <c r="AZ41">
        <f>TableauSuiviSprint[[#This Row],[J5]]</f>
        <v>0</v>
      </c>
      <c r="BA41">
        <f>TableauSuiviSprint[[#This Row],[J6]]</f>
        <v>0</v>
      </c>
      <c r="BB41">
        <f>TableauSuiviSprint[[#This Row],[J7]]</f>
        <v>0</v>
      </c>
      <c r="BC41">
        <f>TableauSuiviSprint[[#This Row],[J8]]</f>
        <v>0</v>
      </c>
      <c r="BD41">
        <f>TableauSuiviSprint[[#This Row],[J9]]</f>
        <v>0</v>
      </c>
      <c r="BG41" s="6"/>
    </row>
    <row r="42" spans="2:60" x14ac:dyDescent="0.25">
      <c r="B42" s="21" t="s">
        <v>182</v>
      </c>
      <c r="C42" s="108" t="str">
        <f>IF(Total_jour_presence=J43,"OK","KO")</f>
        <v>OK</v>
      </c>
      <c r="AJ42" t="str">
        <f>IF(TableauSuiviSprint[[#This Row],[N° feature]]&lt;&gt;"",VLOOKUP(TableauSuiviSprint[[#This Row],[N° feature]],SSG_Features[[#All],[ID]:[Tags]],3,FALSE),"")</f>
        <v/>
      </c>
      <c r="AK42" s="6"/>
      <c r="AL42" s="7"/>
      <c r="AM42" s="11"/>
      <c r="AN42" s="32"/>
      <c r="AO42" s="50"/>
      <c r="AP42" s="50"/>
      <c r="AQ42" s="30">
        <f>TableauSuiviSprint[[#This Row],[Dev]]+TableauSuiviSprint[[#This Row],[TC / MR]]</f>
        <v>0</v>
      </c>
      <c r="AR42" s="88"/>
      <c r="AT42" s="9">
        <f>TableauSuiviSprint[[#This Row],[H. Dev]]+TableauSuiviSprint[[#This Row],[H. Qualif]]</f>
        <v>0</v>
      </c>
      <c r="AU42">
        <f>TableauSuiviSprint[[#This Row],[Init]]</f>
        <v>0</v>
      </c>
      <c r="AV42">
        <f>TableauSuiviSprint[[#This Row],[Init]]</f>
        <v>0</v>
      </c>
      <c r="AW42">
        <f>TableauSuiviSprint[[#This Row],[J2]]</f>
        <v>0</v>
      </c>
      <c r="AX42">
        <f>TableauSuiviSprint[[#This Row],[J3]]</f>
        <v>0</v>
      </c>
      <c r="AY42">
        <f>TableauSuiviSprint[[#This Row],[J4]]</f>
        <v>0</v>
      </c>
      <c r="AZ42">
        <f>TableauSuiviSprint[[#This Row],[J5]]</f>
        <v>0</v>
      </c>
      <c r="BA42">
        <f>TableauSuiviSprint[[#This Row],[J6]]</f>
        <v>0</v>
      </c>
      <c r="BB42">
        <f>TableauSuiviSprint[[#This Row],[J7]]</f>
        <v>0</v>
      </c>
      <c r="BC42">
        <f>TableauSuiviSprint[[#This Row],[J8]]</f>
        <v>0</v>
      </c>
      <c r="BD42">
        <f>TableauSuiviSprint[[#This Row],[J9]]</f>
        <v>0</v>
      </c>
      <c r="BG42" s="6"/>
    </row>
    <row r="43" spans="2:60" x14ac:dyDescent="0.25">
      <c r="J43" s="117">
        <f>[1]Planning!$PZ$33</f>
        <v>127</v>
      </c>
      <c r="K43" s="30"/>
      <c r="AJ43" t="str">
        <f>IF(TableauSuiviSprint[[#This Row],[N° feature]]&lt;&gt;"",VLOOKUP(TableauSuiviSprint[[#This Row],[N° feature]],SSG_Features[[#All],[ID]:[Tags]],3,FALSE),"")</f>
        <v/>
      </c>
      <c r="AK43" s="6"/>
      <c r="AL43" s="7"/>
      <c r="AM43" s="11"/>
      <c r="AN43" s="32"/>
      <c r="AO43" s="50"/>
      <c r="AP43" s="50"/>
      <c r="AQ43" s="30">
        <f>TableauSuiviSprint[[#This Row],[Dev]]+TableauSuiviSprint[[#This Row],[TC / MR]]</f>
        <v>0</v>
      </c>
      <c r="AR43" s="88"/>
      <c r="AT43" s="9">
        <f>TableauSuiviSprint[[#This Row],[H. Dev]]+TableauSuiviSprint[[#This Row],[H. Qualif]]</f>
        <v>0</v>
      </c>
      <c r="AU43">
        <f>TableauSuiviSprint[[#This Row],[Init]]</f>
        <v>0</v>
      </c>
      <c r="AV43">
        <f>TableauSuiviSprint[[#This Row],[Init]]</f>
        <v>0</v>
      </c>
      <c r="AW43">
        <f>TableauSuiviSprint[[#This Row],[J2]]</f>
        <v>0</v>
      </c>
      <c r="AX43">
        <f>TableauSuiviSprint[[#This Row],[J3]]</f>
        <v>0</v>
      </c>
      <c r="AY43">
        <f>TableauSuiviSprint[[#This Row],[J4]]</f>
        <v>0</v>
      </c>
      <c r="AZ43">
        <f>TableauSuiviSprint[[#This Row],[J5]]</f>
        <v>0</v>
      </c>
      <c r="BA43">
        <f>TableauSuiviSprint[[#This Row],[J6]]</f>
        <v>0</v>
      </c>
      <c r="BB43">
        <f>TableauSuiviSprint[[#This Row],[J7]]</f>
        <v>0</v>
      </c>
      <c r="BC43">
        <f>TableauSuiviSprint[[#This Row],[J8]]</f>
        <v>0</v>
      </c>
      <c r="BD43">
        <f>TableauSuiviSprint[[#This Row],[J9]]</f>
        <v>0</v>
      </c>
      <c r="BG43" s="6"/>
    </row>
    <row r="44" spans="2:60" x14ac:dyDescent="0.25">
      <c r="B44" s="10"/>
      <c r="C44" s="10"/>
      <c r="D44" s="10"/>
      <c r="E44" s="10"/>
      <c r="F44" s="10"/>
      <c r="G44" s="10"/>
      <c r="H44" s="10"/>
      <c r="I44" s="10"/>
      <c r="K44" s="56"/>
      <c r="N44" s="21"/>
      <c r="O44" s="21"/>
      <c r="P44" s="21"/>
      <c r="Q44" s="45"/>
      <c r="AH44" t="s">
        <v>183</v>
      </c>
      <c r="AJ44" t="str">
        <f>IF(TableauSuiviSprint[[#This Row],[N° feature]]&lt;&gt;"",VLOOKUP(TableauSuiviSprint[[#This Row],[N° feature]],SSG_Features[[#All],[ID]:[Tags]],3,FALSE),"")</f>
        <v/>
      </c>
      <c r="AK44" s="6"/>
      <c r="AL44" s="7"/>
      <c r="AM44" s="11" t="s">
        <v>184</v>
      </c>
      <c r="AO44" s="41"/>
      <c r="AP44" s="41"/>
      <c r="AQ44" s="21">
        <f>MAX(AH59-SUM(AQ5:AQ43),0)</f>
        <v>0</v>
      </c>
      <c r="AR44" s="21"/>
      <c r="AT44" s="9">
        <f>TableauSuiviSprint[[#This Row],[H. Dev]]+TableauSuiviSprint[[#This Row],[H. Qualif]]</f>
        <v>0</v>
      </c>
      <c r="AU44">
        <f>TableauSuiviSprint[[#This Row],[Init]]</f>
        <v>0</v>
      </c>
      <c r="AV44">
        <f>TableauSuiviSprint[[#This Row],[Init]]</f>
        <v>0</v>
      </c>
      <c r="AW44">
        <f>TableauSuiviSprint[[#This Row],[J2]]</f>
        <v>0</v>
      </c>
      <c r="AX44">
        <f>TableauSuiviSprint[[#This Row],[J3]]</f>
        <v>0</v>
      </c>
      <c r="AY44">
        <f>TableauSuiviSprint[[#This Row],[J4]]</f>
        <v>0</v>
      </c>
      <c r="AZ44">
        <f>TableauSuiviSprint[[#This Row],[J5]]</f>
        <v>0</v>
      </c>
      <c r="BA44">
        <f>TableauSuiviSprint[[#This Row],[J6]]</f>
        <v>0</v>
      </c>
      <c r="BB44">
        <f>TableauSuiviSprint[[#This Row],[J7]]</f>
        <v>0</v>
      </c>
      <c r="BC44">
        <f>TableauSuiviSprint[[#This Row],[J8]]</f>
        <v>0</v>
      </c>
      <c r="BD44">
        <f>TableauSuiviSprint[[#This Row],[J9]]</f>
        <v>0</v>
      </c>
    </row>
    <row r="45" spans="2:60" x14ac:dyDescent="0.25">
      <c r="B45" s="67"/>
      <c r="C45" s="67"/>
      <c r="D45" s="67"/>
      <c r="E45" s="67"/>
      <c r="F45" s="67"/>
      <c r="G45" s="67"/>
      <c r="H45" s="67"/>
      <c r="I45" s="67"/>
      <c r="K45" s="68"/>
      <c r="L45" s="6"/>
      <c r="M45" s="56"/>
      <c r="AE45" t="s">
        <v>185</v>
      </c>
      <c r="AF45" t="s">
        <v>185</v>
      </c>
      <c r="AG45" t="s">
        <v>185</v>
      </c>
      <c r="AH45" t="s">
        <v>186</v>
      </c>
      <c r="AI45" t="s">
        <v>185</v>
      </c>
      <c r="AJ45" t="s">
        <v>185</v>
      </c>
      <c r="AK45" t="s">
        <v>185</v>
      </c>
      <c r="AL45" t="s">
        <v>185</v>
      </c>
      <c r="AM45" t="s">
        <v>185</v>
      </c>
      <c r="AN45">
        <f>SUBTOTAL(109,TableauSuiviSprint[SP])</f>
        <v>46</v>
      </c>
      <c r="AO45" t="s">
        <v>185</v>
      </c>
      <c r="AP45" t="s">
        <v>185</v>
      </c>
      <c r="AQ45" s="6">
        <f>SUBTOTAL(109,TableauSuiviSprint[H. Dev])</f>
        <v>319</v>
      </c>
      <c r="AR45" s="6">
        <f>SUBTOTAL(109,TableauSuiviSprint[Heure tot DEV
 Consommé])</f>
        <v>274</v>
      </c>
      <c r="AS45">
        <f>SUBTOTAL(109,TableauSuiviSprint[H. Qualif])</f>
        <v>87</v>
      </c>
      <c r="AT45">
        <f>SUBTOTAL(109,TableauSuiviSprint[Init])</f>
        <v>406</v>
      </c>
      <c r="AU45">
        <f>SUBTOTAL(109,TableauSuiviSprint[J1])</f>
        <v>406</v>
      </c>
      <c r="AV45">
        <f>SUBTOTAL(109,TableauSuiviSprint[J2])</f>
        <v>406</v>
      </c>
      <c r="AW45">
        <f>SUBTOTAL(109,TableauSuiviSprint[J3])</f>
        <v>406</v>
      </c>
      <c r="AX45">
        <f>SUBTOTAL(109,TableauSuiviSprint[J4])</f>
        <v>406</v>
      </c>
      <c r="AY45">
        <f>SUBTOTAL(109,TableauSuiviSprint[J5])</f>
        <v>406</v>
      </c>
      <c r="AZ45">
        <f>SUBTOTAL(109,TableauSuiviSprint[J6])</f>
        <v>406</v>
      </c>
      <c r="BA45">
        <f>SUBTOTAL(109,TableauSuiviSprint[J7])</f>
        <v>406</v>
      </c>
      <c r="BB45">
        <f>SUBTOTAL(109,TableauSuiviSprint[J8])-BB23</f>
        <v>371</v>
      </c>
      <c r="BC45">
        <f>SUBTOTAL(109,TableauSuiviSprint[J9])-BC23</f>
        <v>371</v>
      </c>
      <c r="BD45">
        <f>SUBTOTAL(109,TableauSuiviSprint[J10])-BD23</f>
        <v>371</v>
      </c>
    </row>
    <row r="46" spans="2:60" x14ac:dyDescent="0.25">
      <c r="K46" s="12"/>
      <c r="L46" s="67"/>
      <c r="M46" s="69"/>
      <c r="AH46" s="21" t="s">
        <v>187</v>
      </c>
      <c r="AI46" s="21"/>
      <c r="AJ46" s="21"/>
      <c r="AN46">
        <f>SUMIF(TableauSuiviSprint[Techno],".NET",TableauSuiviSprint[SP])</f>
        <v>22</v>
      </c>
      <c r="AQ46" s="6">
        <f>SUMIF(TableauSuiviSprint[Techno],".NET",TableauSuiviSprint[H. Dev])</f>
        <v>184</v>
      </c>
      <c r="AR46" s="6">
        <f>L36-(SUMIF(TableauSuiviSprint[Techno],".NET",TableauSuiviSprint[Heure tot DEV
 Consommé]))</f>
        <v>-40</v>
      </c>
      <c r="AS46">
        <f>SUMIF(TableauSuiviSprint[Techno],".NET",TableauSuiviSprint[H. Qualif])</f>
        <v>46</v>
      </c>
      <c r="AT46">
        <f>SUMIF(TableauSuiviSprint[Techno],".NET",TableauSuiviSprint[Init])</f>
        <v>230</v>
      </c>
      <c r="AU46">
        <f>SUMIF(TableauSuiviSprint[Techno],".NET",TableauSuiviSprint[J1])</f>
        <v>230</v>
      </c>
      <c r="AV46">
        <f>SUMIF(TableauSuiviSprint[Techno],".NET",TableauSuiviSprint[J2])</f>
        <v>230</v>
      </c>
      <c r="AW46">
        <f>SUMIF(TableauSuiviSprint[Techno],".NET",TableauSuiviSprint[J3])</f>
        <v>230</v>
      </c>
      <c r="AX46">
        <f>SUMIF(TableauSuiviSprint[Techno],".NET",TableauSuiviSprint[J4])</f>
        <v>230</v>
      </c>
      <c r="AY46">
        <f>SUMIF(TableauSuiviSprint[Techno],".NET",TableauSuiviSprint[J5])</f>
        <v>230</v>
      </c>
      <c r="AZ46">
        <f>SUMIF(TableauSuiviSprint[Techno],".NET",TableauSuiviSprint[J6])</f>
        <v>230</v>
      </c>
      <c r="BA46">
        <f>SUMIF(TableauSuiviSprint[Techno],".NET",TableauSuiviSprint[J7])</f>
        <v>230</v>
      </c>
      <c r="BB46">
        <f>SUMIF(TableauSuiviSprint[Techno],".NET",TableauSuiviSprint[J8])-BB23</f>
        <v>195</v>
      </c>
      <c r="BC46">
        <f>SUMIF(TableauSuiviSprint[Techno],".NET",TableauSuiviSprint[J9])-BC23</f>
        <v>195</v>
      </c>
      <c r="BD46">
        <f>SUMIF(TableauSuiviSprint[Techno],".NET",TableauSuiviSprint[J10])-BD23</f>
        <v>195</v>
      </c>
    </row>
    <row r="47" spans="2:60" x14ac:dyDescent="0.25">
      <c r="K47" s="12"/>
      <c r="M47" s="39"/>
      <c r="AH47" s="21" t="s">
        <v>188</v>
      </c>
      <c r="AI47" s="21"/>
      <c r="AJ47" s="21"/>
      <c r="AN47">
        <f>SUMIF(TableauSuiviSprint[Techno],"Designer",TableauSuiviSprint[SP]) + SUMIF(TableauSuiviSprint[Techno],"Apex",TableauSuiviSprint[SP]) + SUMIF(TableauSuiviSprint[Techno],"Java",TableauSuiviSprint[SP])</f>
        <v>24</v>
      </c>
      <c r="AO47" s="21"/>
      <c r="AP47" s="21"/>
      <c r="AQ47" s="6">
        <f>SUMIF(TableauSuiviSprint[Techno],"Designer",TableauSuiviSprint[H. Dev]) + SUMIF(TableauSuiviSprint[Techno],"Apex",TableauSuiviSprint[H. Dev]) + SUMIF(TableauSuiviSprint[Techno],"Java",TableauSuiviSprint[H. Dev])</f>
        <v>135</v>
      </c>
      <c r="AR47" s="6">
        <f>L37-(SUMIF(TableauSuiviSprint[Techno],"Designer",TableauSuiviSprint[Heure tot DEV
 Consommé]) + SUMIF(TableauSuiviSprint[Techno],"Apex",TableauSuiviSprint[Heure tot DEV
 Consommé]) + SUMIF(TableauSuiviSprint[Techno],"Java",TableauSuiviSprint[Heure tot DEV
 Consommé]))</f>
        <v>42.75</v>
      </c>
      <c r="AS47">
        <f>SUMIF(TableauSuiviSprint[Techno],"Designer",TableauSuiviSprint[H. Qualif]) + SUMIF(TableauSuiviSprint[Techno],"Apex",TableauSuiviSprint[H. Qualif])</f>
        <v>38</v>
      </c>
      <c r="AT47">
        <f>SUMIF(TableauSuiviSprint[Techno],"Designer",TableauSuiviSprint[Init]) + SUMIF(TableauSuiviSprint[Techno],"Apex",TableauSuiviSprint[Init]) + SUMIF(TableauSuiviSprint[Techno],"Java",TableauSuiviSprint[Init])</f>
        <v>176</v>
      </c>
      <c r="AU47">
        <f>SUMIF(TableauSuiviSprint[Techno],"Designer",TableauSuiviSprint[J1]) + SUMIF(TableauSuiviSprint[Techno],"Apex",TableauSuiviSprint[J1]) + SUMIF(TableauSuiviSprint[Techno],"Java",TableauSuiviSprint[J1])</f>
        <v>176</v>
      </c>
      <c r="AV47">
        <f>SUMIF(TableauSuiviSprint[Techno],"Designer",TableauSuiviSprint[J2]) + SUMIF(TableauSuiviSprint[Techno],"Apex",TableauSuiviSprint[J2]) + SUMIF(TableauSuiviSprint[Techno],"Java",TableauSuiviSprint[J2])</f>
        <v>176</v>
      </c>
      <c r="AW47">
        <f>SUMIF(TableauSuiviSprint[Techno],"Designer",TableauSuiviSprint[J3]) + SUMIF(TableauSuiviSprint[Techno],"Apex",TableauSuiviSprint[J3]) + SUMIF(TableauSuiviSprint[Techno],"Java",TableauSuiviSprint[J3])</f>
        <v>176</v>
      </c>
      <c r="AX47">
        <f>SUMIF(TableauSuiviSprint[Techno],"Designer",TableauSuiviSprint[J4]) + SUMIF(TableauSuiviSprint[Techno],"Apex",TableauSuiviSprint[J4]) + SUMIF(TableauSuiviSprint[Techno],"Java",TableauSuiviSprint[J4])</f>
        <v>176</v>
      </c>
      <c r="AY47">
        <f>SUMIF(TableauSuiviSprint[Techno],"Designer",TableauSuiviSprint[J5]) + SUMIF(TableauSuiviSprint[Techno],"Apex",TableauSuiviSprint[J5]) + SUMIF(TableauSuiviSprint[Techno],"Java",TableauSuiviSprint[J5])</f>
        <v>176</v>
      </c>
      <c r="AZ47">
        <f>SUMIF(TableauSuiviSprint[Techno],"Designer",TableauSuiviSprint[J6]) + SUMIF(TableauSuiviSprint[Techno],"Apex",TableauSuiviSprint[J6]) + SUMIF(TableauSuiviSprint[Techno],"Java",TableauSuiviSprint[J6])</f>
        <v>176</v>
      </c>
      <c r="BA47">
        <f>SUMIF(TableauSuiviSprint[Techno],"Designer",TableauSuiviSprint[J7]) + SUMIF(TableauSuiviSprint[Techno],"Apex",TableauSuiviSprint[J7]) + SUMIF(TableauSuiviSprint[Techno],"Java",TableauSuiviSprint[J7])</f>
        <v>176</v>
      </c>
      <c r="BB47">
        <f>SUMIF(TableauSuiviSprint[Techno],"Designer",TableauSuiviSprint[J8]) + SUMIF(TableauSuiviSprint[Techno],"Apex",TableauSuiviSprint[J8]) + SUMIF(TableauSuiviSprint[Techno],"Java",TableauSuiviSprint[J8])</f>
        <v>176</v>
      </c>
      <c r="BC47">
        <f>SUMIF(TableauSuiviSprint[Techno],"Designer",TableauSuiviSprint[J9]) + SUMIF(TableauSuiviSprint[Techno],"Apex",TableauSuiviSprint[J9]) + SUMIF(TableauSuiviSprint[Techno],"Java",TableauSuiviSprint[J9])</f>
        <v>176</v>
      </c>
      <c r="BD47">
        <f>SUMIF(TableauSuiviSprint[Techno],"Designer",TableauSuiviSprint[J10]) + SUMIF(TableauSuiviSprint[Techno],"Apex",TableauSuiviSprint[J10]) + SUMIF(TableauSuiviSprint[Techno],"Java",TableauSuiviSprint[J10])</f>
        <v>176</v>
      </c>
    </row>
    <row r="48" spans="2:60" ht="15.75" thickBot="1" x14ac:dyDescent="0.3">
      <c r="K48" s="66"/>
      <c r="M48" s="39"/>
      <c r="AQ48" s="6"/>
      <c r="AR48" s="6"/>
    </row>
    <row r="49" spans="2:57" ht="15.75" thickBot="1" x14ac:dyDescent="0.3">
      <c r="M49" s="39"/>
      <c r="AE49" s="253" t="s">
        <v>189</v>
      </c>
      <c r="AF49" s="253"/>
      <c r="AG49" s="253"/>
      <c r="AH49" s="58">
        <f ca="1">AH50+AH51</f>
        <v>32.432581991971972</v>
      </c>
      <c r="AI49" s="80"/>
      <c r="AJ49" s="80"/>
      <c r="AL49" s="44" t="s">
        <v>190</v>
      </c>
      <c r="AQ49" s="6"/>
      <c r="AR49" s="6"/>
      <c r="AS49" s="66"/>
      <c r="AU49" s="34" t="s">
        <v>6</v>
      </c>
      <c r="AV49" s="35" t="s">
        <v>7</v>
      </c>
      <c r="AW49" s="35" t="s">
        <v>8</v>
      </c>
      <c r="AX49" s="35" t="s">
        <v>9</v>
      </c>
      <c r="AY49" s="35" t="s">
        <v>10</v>
      </c>
      <c r="AZ49" s="36" t="s">
        <v>6</v>
      </c>
      <c r="BA49" s="37" t="s">
        <v>8</v>
      </c>
      <c r="BB49" s="37" t="s">
        <v>8</v>
      </c>
      <c r="BC49" s="37" t="s">
        <v>9</v>
      </c>
      <c r="BD49" s="38" t="s">
        <v>10</v>
      </c>
      <c r="BE49" s="57"/>
    </row>
    <row r="50" spans="2:57" x14ac:dyDescent="0.25">
      <c r="M50" s="39"/>
      <c r="AE50" s="254" t="s">
        <v>191</v>
      </c>
      <c r="AF50" s="254"/>
      <c r="AG50" s="254"/>
      <c r="AH50" s="59">
        <f ca="1">AH54*0.8</f>
        <v>12.598067421199952</v>
      </c>
      <c r="AI50" s="80"/>
      <c r="AJ50" s="80"/>
      <c r="AL50" s="133"/>
      <c r="AM50" t="s">
        <v>192</v>
      </c>
      <c r="AP50" s="66"/>
      <c r="AQ50" s="66"/>
      <c r="AR50" s="66"/>
      <c r="AS50" s="10" t="s">
        <v>193</v>
      </c>
      <c r="AU50" s="45">
        <f>J26+J29</f>
        <v>1.625</v>
      </c>
      <c r="AV50" s="45">
        <f>L26+L29</f>
        <v>4</v>
      </c>
      <c r="AW50" s="45">
        <f>N26+N29</f>
        <v>5</v>
      </c>
      <c r="AX50" s="45">
        <f>P26+P29</f>
        <v>6.75</v>
      </c>
      <c r="AY50" s="45">
        <f>R26+R29</f>
        <v>7</v>
      </c>
      <c r="AZ50" s="45">
        <f>T26+T29</f>
        <v>7.75</v>
      </c>
      <c r="BA50" s="45">
        <f>V26+V29</f>
        <v>8.75</v>
      </c>
      <c r="BB50" s="45">
        <f>X26+X29</f>
        <v>8.875</v>
      </c>
      <c r="BC50" s="45">
        <f>Z26+Z29</f>
        <v>10</v>
      </c>
      <c r="BD50" s="45">
        <f>AB26+AB29</f>
        <v>4.625</v>
      </c>
      <c r="BE50" s="57"/>
    </row>
    <row r="51" spans="2:57" ht="15.75" thickBot="1" x14ac:dyDescent="0.3">
      <c r="W51" t="s">
        <v>194</v>
      </c>
      <c r="AE51" s="255" t="s">
        <v>195</v>
      </c>
      <c r="AF51" s="255"/>
      <c r="AG51" s="255"/>
      <c r="AH51" s="60">
        <f ca="1">AH56*0.8</f>
        <v>19.834514570772019</v>
      </c>
      <c r="AI51" s="80"/>
      <c r="AJ51" s="80"/>
      <c r="AL51" s="134"/>
      <c r="AM51" t="s">
        <v>196</v>
      </c>
      <c r="AS51" s="10" t="s">
        <v>197</v>
      </c>
      <c r="AU51" s="45">
        <f>J27+(J29/2)</f>
        <v>0.875</v>
      </c>
      <c r="AV51" s="45">
        <f>L27+(L29/2)</f>
        <v>1.75</v>
      </c>
      <c r="AW51" s="45">
        <f>N27+(N29/2)</f>
        <v>2.5</v>
      </c>
      <c r="AX51" s="45">
        <f>P27+(P29/2)</f>
        <v>2.75</v>
      </c>
      <c r="AY51" s="45">
        <f>R27+(R29/2)</f>
        <v>3.375</v>
      </c>
      <c r="AZ51" s="45">
        <f>T27+(T29/2)</f>
        <v>3.75</v>
      </c>
      <c r="BA51" s="45">
        <f>V27+(V29/2)</f>
        <v>4.25</v>
      </c>
      <c r="BB51" s="45">
        <f>X27+(X29/2)</f>
        <v>4.625</v>
      </c>
      <c r="BC51" s="45">
        <f>Z27+(Z29/2)</f>
        <v>6</v>
      </c>
      <c r="BD51" s="45">
        <f>AB27+(AB29/2)</f>
        <v>2.375</v>
      </c>
    </row>
    <row r="52" spans="2:57" ht="15.75" thickBot="1" x14ac:dyDescent="0.3">
      <c r="B52" t="s">
        <v>198</v>
      </c>
      <c r="L52" s="243" t="s">
        <v>48</v>
      </c>
      <c r="M52" s="243"/>
      <c r="N52" s="243" t="s">
        <v>55</v>
      </c>
      <c r="O52" s="243"/>
      <c r="P52" s="243" t="s">
        <v>72</v>
      </c>
      <c r="Q52" s="243"/>
      <c r="R52" s="243"/>
      <c r="S52" s="243"/>
      <c r="T52" s="243"/>
      <c r="U52" s="243"/>
      <c r="V52" s="243"/>
      <c r="W52" s="243"/>
      <c r="X52" s="243"/>
      <c r="Y52" s="243"/>
      <c r="AA52" s="21" t="s">
        <v>199</v>
      </c>
      <c r="AE52" s="77"/>
      <c r="AF52" s="78"/>
      <c r="AG52" s="78"/>
      <c r="AH52" s="59"/>
      <c r="AI52" s="80"/>
      <c r="AJ52" s="80"/>
      <c r="AL52" s="95"/>
      <c r="AM52" t="s">
        <v>200</v>
      </c>
      <c r="AS52" s="10" t="s">
        <v>201</v>
      </c>
      <c r="AU52" s="45">
        <f>J28+(J29/2)</f>
        <v>0.75</v>
      </c>
      <c r="AV52" s="45">
        <f>L28+(L29/2)</f>
        <v>2.25</v>
      </c>
      <c r="AW52" s="45">
        <f>N28+(N29/2)</f>
        <v>2.5</v>
      </c>
      <c r="AX52" s="45">
        <f>P28+(P29/2)</f>
        <v>4</v>
      </c>
      <c r="AY52" s="45">
        <f>R28+(R29/2)</f>
        <v>3.625</v>
      </c>
      <c r="AZ52" s="45">
        <f>T28+(T29/2)</f>
        <v>4</v>
      </c>
      <c r="BA52" s="45">
        <f>V28+(V29/2)</f>
        <v>4.5</v>
      </c>
      <c r="BB52" s="45">
        <f>X28+(X29/2)</f>
        <v>4.25</v>
      </c>
      <c r="BC52" s="45">
        <f>Z28+(Z29/2)</f>
        <v>4</v>
      </c>
      <c r="BD52" s="45">
        <f>AB28+(AB29/2)</f>
        <v>2.25</v>
      </c>
      <c r="BE52" s="57"/>
    </row>
    <row r="53" spans="2:57" ht="15.75" thickBot="1" x14ac:dyDescent="0.3">
      <c r="B53" s="10" t="s">
        <v>202</v>
      </c>
      <c r="C53" s="10"/>
      <c r="D53" s="10"/>
      <c r="E53" s="10"/>
      <c r="F53" s="10"/>
      <c r="G53" s="10"/>
      <c r="H53" s="10"/>
      <c r="I53" s="10"/>
      <c r="J53" s="33">
        <v>10</v>
      </c>
      <c r="L53" s="15" t="s">
        <v>60</v>
      </c>
      <c r="M53" s="20" t="s">
        <v>9</v>
      </c>
      <c r="N53" s="15" t="s">
        <v>60</v>
      </c>
      <c r="O53" s="20" t="s">
        <v>9</v>
      </c>
      <c r="P53" s="15" t="s">
        <v>60</v>
      </c>
      <c r="Q53" s="20" t="s">
        <v>9</v>
      </c>
      <c r="R53" s="15" t="s">
        <v>60</v>
      </c>
      <c r="S53" s="20" t="s">
        <v>9</v>
      </c>
      <c r="T53" s="15" t="s">
        <v>60</v>
      </c>
      <c r="U53" s="20" t="s">
        <v>9</v>
      </c>
      <c r="V53" s="15" t="s">
        <v>60</v>
      </c>
      <c r="W53" s="20" t="s">
        <v>9</v>
      </c>
      <c r="X53" s="15" t="s">
        <v>60</v>
      </c>
      <c r="Y53" s="20" t="s">
        <v>9</v>
      </c>
      <c r="AA53" s="21"/>
      <c r="AE53" s="244" t="s">
        <v>203</v>
      </c>
      <c r="AF53" s="244"/>
      <c r="AG53" s="244"/>
      <c r="AH53" s="61">
        <f ca="1">AH54+AH56</f>
        <v>40.540727489964965</v>
      </c>
      <c r="AI53" s="80"/>
      <c r="AJ53" s="80"/>
      <c r="AM53" t="s">
        <v>204</v>
      </c>
      <c r="AS53" s="10" t="s">
        <v>205</v>
      </c>
      <c r="AU53" s="7">
        <f t="shared" ref="AU53:BD55" si="6">AU50*HEURES</f>
        <v>9.75</v>
      </c>
      <c r="AV53" s="7">
        <f t="shared" si="6"/>
        <v>24</v>
      </c>
      <c r="AW53" s="7">
        <f t="shared" si="6"/>
        <v>30</v>
      </c>
      <c r="AX53" s="7">
        <f t="shared" si="6"/>
        <v>40.5</v>
      </c>
      <c r="AY53" s="7">
        <f t="shared" si="6"/>
        <v>42</v>
      </c>
      <c r="AZ53" s="7">
        <f t="shared" si="6"/>
        <v>46.5</v>
      </c>
      <c r="BA53" s="7">
        <f t="shared" si="6"/>
        <v>52.5</v>
      </c>
      <c r="BB53" s="7">
        <f t="shared" si="6"/>
        <v>53.25</v>
      </c>
      <c r="BC53" s="7">
        <f t="shared" si="6"/>
        <v>60</v>
      </c>
      <c r="BD53" s="7">
        <f t="shared" si="6"/>
        <v>27.75</v>
      </c>
    </row>
    <row r="54" spans="2:57" ht="15.75" thickBot="1" x14ac:dyDescent="0.3">
      <c r="B54" s="10" t="s">
        <v>206</v>
      </c>
      <c r="C54" s="10"/>
      <c r="D54" s="10"/>
      <c r="E54" s="10"/>
      <c r="F54" s="10"/>
      <c r="G54" s="10"/>
      <c r="H54" s="10"/>
      <c r="I54" s="10"/>
      <c r="J54" s="12">
        <f>AH57/J53</f>
        <v>22.14</v>
      </c>
      <c r="L54" s="23">
        <v>63</v>
      </c>
      <c r="M54" s="24">
        <f>L54/$J$53</f>
        <v>6.3</v>
      </c>
      <c r="N54" s="23">
        <v>66</v>
      </c>
      <c r="O54" s="24">
        <f>N54/$J$53</f>
        <v>6.6</v>
      </c>
      <c r="P54" s="23">
        <v>6</v>
      </c>
      <c r="Q54" s="24">
        <f>P54/$J$53</f>
        <v>0.6</v>
      </c>
      <c r="R54" s="23"/>
      <c r="S54" s="24">
        <f>R54/$J$53</f>
        <v>0</v>
      </c>
      <c r="T54" s="23"/>
      <c r="U54" s="24">
        <f>T54/$J$53</f>
        <v>0</v>
      </c>
      <c r="V54" s="23"/>
      <c r="W54" s="24">
        <f>V54/$J$53</f>
        <v>0</v>
      </c>
      <c r="X54" s="42">
        <f>(J54-M54-O54-Q54-S54-U54-W54)*J$54</f>
        <v>191.28960000000001</v>
      </c>
      <c r="Y54" s="19">
        <f>X54/$J$54</f>
        <v>8.64</v>
      </c>
      <c r="AA54" s="22">
        <f>J54-(M54+O54+Q54+Y54)</f>
        <v>0</v>
      </c>
      <c r="AE54" s="245" t="s">
        <v>191</v>
      </c>
      <c r="AF54" s="245"/>
      <c r="AG54" s="245"/>
      <c r="AH54" s="62">
        <f ca="1">HLOOKUP(Param!$A$23,'[2]suivi .NET'!$B$2:$AB22,5,0)</f>
        <v>15.747584276499939</v>
      </c>
      <c r="AI54" s="80"/>
      <c r="AJ54" s="80"/>
      <c r="AS54" s="10" t="s">
        <v>207</v>
      </c>
      <c r="AU54" s="7">
        <f t="shared" si="6"/>
        <v>5.25</v>
      </c>
      <c r="AV54" s="7">
        <f t="shared" si="6"/>
        <v>10.5</v>
      </c>
      <c r="AW54" s="7">
        <f t="shared" si="6"/>
        <v>15</v>
      </c>
      <c r="AX54" s="7">
        <f t="shared" si="6"/>
        <v>16.5</v>
      </c>
      <c r="AY54" s="7">
        <f t="shared" si="6"/>
        <v>20.25</v>
      </c>
      <c r="AZ54" s="7">
        <f t="shared" si="6"/>
        <v>22.5</v>
      </c>
      <c r="BA54" s="7">
        <f t="shared" si="6"/>
        <v>25.5</v>
      </c>
      <c r="BB54" s="7">
        <f t="shared" si="6"/>
        <v>27.75</v>
      </c>
      <c r="BC54" s="7">
        <f t="shared" si="6"/>
        <v>36</v>
      </c>
      <c r="BD54" s="7">
        <f t="shared" si="6"/>
        <v>14.25</v>
      </c>
    </row>
    <row r="55" spans="2:57" ht="15.75" thickBot="1" x14ac:dyDescent="0.3">
      <c r="B55" s="10" t="s">
        <v>208</v>
      </c>
      <c r="C55" s="10"/>
      <c r="D55" s="10"/>
      <c r="E55" s="10"/>
      <c r="F55" s="10"/>
      <c r="G55" s="10"/>
      <c r="H55" s="10"/>
      <c r="I55" s="10"/>
      <c r="J55" s="12">
        <f>TableauSuiviSprint[[#Totals],[H. Qualif]]/J53</f>
        <v>8.6999999999999993</v>
      </c>
      <c r="L55" s="25">
        <v>16</v>
      </c>
      <c r="M55" s="26">
        <f>L55/$J$53</f>
        <v>1.6</v>
      </c>
      <c r="N55" s="25">
        <v>20</v>
      </c>
      <c r="O55" s="26">
        <f>N55/$J$53</f>
        <v>2</v>
      </c>
      <c r="P55" s="25">
        <v>2</v>
      </c>
      <c r="Q55" s="26">
        <f>P55/$J$53</f>
        <v>0.2</v>
      </c>
      <c r="R55" s="25"/>
      <c r="S55" s="26">
        <f>R55/$J$53</f>
        <v>0</v>
      </c>
      <c r="T55" s="25"/>
      <c r="U55" s="26">
        <f>T55/$J$53</f>
        <v>0</v>
      </c>
      <c r="V55" s="25"/>
      <c r="W55" s="26">
        <f>V55/$J$53</f>
        <v>0</v>
      </c>
      <c r="X55" s="42">
        <f>(J55-M55-O55-Q55-S55-U55-W55)*J$54</f>
        <v>108.48599999999999</v>
      </c>
      <c r="Y55" s="18">
        <f>X55/$J$54</f>
        <v>4.8999999999999995</v>
      </c>
      <c r="AA55" s="22">
        <f>J55-(M55+O55+Q55+Y55)</f>
        <v>0</v>
      </c>
      <c r="AE55" s="75"/>
      <c r="AF55" s="76"/>
      <c r="AG55" s="76"/>
      <c r="AH55" s="62"/>
      <c r="AI55" s="80"/>
      <c r="AJ55" s="80"/>
      <c r="AL55" s="96"/>
      <c r="AM55" t="s">
        <v>209</v>
      </c>
      <c r="AS55" s="10" t="s">
        <v>210</v>
      </c>
      <c r="AU55" s="7">
        <f t="shared" si="6"/>
        <v>4.5</v>
      </c>
      <c r="AV55" s="7">
        <f t="shared" si="6"/>
        <v>13.5</v>
      </c>
      <c r="AW55" s="7">
        <f t="shared" si="6"/>
        <v>15</v>
      </c>
      <c r="AX55" s="7">
        <f t="shared" si="6"/>
        <v>24</v>
      </c>
      <c r="AY55" s="7">
        <f t="shared" si="6"/>
        <v>21.75</v>
      </c>
      <c r="AZ55" s="7">
        <f t="shared" si="6"/>
        <v>24</v>
      </c>
      <c r="BA55" s="7">
        <f t="shared" si="6"/>
        <v>27</v>
      </c>
      <c r="BB55" s="7">
        <f t="shared" si="6"/>
        <v>25.5</v>
      </c>
      <c r="BC55" s="7">
        <f t="shared" si="6"/>
        <v>24</v>
      </c>
      <c r="BD55" s="7">
        <f t="shared" si="6"/>
        <v>13.5</v>
      </c>
    </row>
    <row r="56" spans="2:57" ht="15.75" thickBot="1" x14ac:dyDescent="0.3">
      <c r="AE56" s="246" t="s">
        <v>195</v>
      </c>
      <c r="AF56" s="246"/>
      <c r="AG56" s="246"/>
      <c r="AH56" s="63">
        <f ca="1">HLOOKUP(Param!$A$23,'[2]suivi Autre'!$B$2:$AB22,5,0)</f>
        <v>24.793143213465022</v>
      </c>
      <c r="AI56" s="80"/>
      <c r="AJ56" s="80"/>
      <c r="AL56" s="97"/>
      <c r="AM56" t="s">
        <v>211</v>
      </c>
      <c r="AS56" s="10" t="s">
        <v>212</v>
      </c>
      <c r="AT56" s="7">
        <f>BE69</f>
        <v>386.25</v>
      </c>
      <c r="AU56" s="7">
        <f t="shared" ref="AU56:BD58" si="7">AT56-AU53</f>
        <v>376.5</v>
      </c>
      <c r="AV56" s="7">
        <f t="shared" si="7"/>
        <v>352.5</v>
      </c>
      <c r="AW56" s="7">
        <f t="shared" si="7"/>
        <v>322.5</v>
      </c>
      <c r="AX56" s="7">
        <f t="shared" si="7"/>
        <v>282</v>
      </c>
      <c r="AY56" s="7">
        <f t="shared" si="7"/>
        <v>240</v>
      </c>
      <c r="AZ56" s="7">
        <f t="shared" si="7"/>
        <v>193.5</v>
      </c>
      <c r="BA56" s="7">
        <f t="shared" si="7"/>
        <v>141</v>
      </c>
      <c r="BB56" s="7">
        <f t="shared" si="7"/>
        <v>87.75</v>
      </c>
      <c r="BC56" s="7">
        <f t="shared" si="7"/>
        <v>27.75</v>
      </c>
      <c r="BD56" s="7">
        <f t="shared" si="7"/>
        <v>0</v>
      </c>
    </row>
    <row r="57" spans="2:57" ht="15.75" thickBot="1" x14ac:dyDescent="0.3">
      <c r="AE57" s="247" t="s">
        <v>213</v>
      </c>
      <c r="AF57" s="247"/>
      <c r="AG57" s="247"/>
      <c r="AH57" s="64">
        <f>(L36+L37)*80%</f>
        <v>221.4</v>
      </c>
      <c r="AI57" s="91"/>
      <c r="AJ57" s="91"/>
      <c r="AS57" s="10" t="s">
        <v>214</v>
      </c>
      <c r="AT57" s="7">
        <f>BE70</f>
        <v>193.5</v>
      </c>
      <c r="AU57" s="7">
        <f t="shared" si="7"/>
        <v>188.25</v>
      </c>
      <c r="AV57" s="7">
        <f t="shared" si="7"/>
        <v>177.75</v>
      </c>
      <c r="AW57" s="7">
        <f t="shared" si="7"/>
        <v>162.75</v>
      </c>
      <c r="AX57" s="7">
        <f t="shared" si="7"/>
        <v>146.25</v>
      </c>
      <c r="AY57" s="7">
        <f t="shared" si="7"/>
        <v>126</v>
      </c>
      <c r="AZ57" s="7">
        <f t="shared" si="7"/>
        <v>103.5</v>
      </c>
      <c r="BA57" s="7">
        <f t="shared" si="7"/>
        <v>78</v>
      </c>
      <c r="BB57" s="7">
        <f t="shared" si="7"/>
        <v>50.25</v>
      </c>
      <c r="BC57" s="7">
        <f t="shared" si="7"/>
        <v>14.25</v>
      </c>
      <c r="BD57" s="7">
        <f t="shared" si="7"/>
        <v>0</v>
      </c>
      <c r="BE57">
        <f>SUM(AU50:BD50)</f>
        <v>64.375</v>
      </c>
    </row>
    <row r="58" spans="2:57" ht="15.75" thickBot="1" x14ac:dyDescent="0.3">
      <c r="J58" s="30"/>
      <c r="M58" s="6"/>
      <c r="AE58" s="247" t="s">
        <v>215</v>
      </c>
      <c r="AF58" s="247"/>
      <c r="AG58" s="247"/>
      <c r="AH58" s="112">
        <f>+L35+L38</f>
        <v>186.75</v>
      </c>
      <c r="AI58" s="91"/>
      <c r="AJ58" s="91"/>
      <c r="AL58" s="135"/>
      <c r="AM58" t="s">
        <v>216</v>
      </c>
      <c r="AS58" s="10" t="s">
        <v>217</v>
      </c>
      <c r="AT58" s="7">
        <f>BE71</f>
        <v>192.75</v>
      </c>
      <c r="AU58" s="7">
        <f t="shared" si="7"/>
        <v>188.25</v>
      </c>
      <c r="AV58" s="7">
        <f t="shared" si="7"/>
        <v>174.75</v>
      </c>
      <c r="AW58" s="7">
        <f t="shared" si="7"/>
        <v>159.75</v>
      </c>
      <c r="AX58" s="7">
        <f t="shared" si="7"/>
        <v>135.75</v>
      </c>
      <c r="AY58" s="7">
        <f t="shared" si="7"/>
        <v>114</v>
      </c>
      <c r="AZ58" s="7">
        <f t="shared" si="7"/>
        <v>90</v>
      </c>
      <c r="BA58" s="7">
        <f t="shared" si="7"/>
        <v>63</v>
      </c>
      <c r="BB58" s="7">
        <f t="shared" si="7"/>
        <v>37.5</v>
      </c>
      <c r="BC58" s="7">
        <f t="shared" si="7"/>
        <v>13.5</v>
      </c>
      <c r="BD58" s="7">
        <f t="shared" si="7"/>
        <v>0</v>
      </c>
      <c r="BE58">
        <f>SUM(AU51:BD51)</f>
        <v>32.25</v>
      </c>
    </row>
    <row r="59" spans="2:57" ht="15.75" thickBot="1" x14ac:dyDescent="0.3">
      <c r="J59" s="30"/>
      <c r="M59" s="6"/>
      <c r="N59" s="30"/>
      <c r="AE59" s="242" t="s">
        <v>218</v>
      </c>
      <c r="AF59" s="242"/>
      <c r="AG59" s="242"/>
      <c r="AH59" s="65">
        <f>+L36+L37</f>
        <v>276.75</v>
      </c>
      <c r="AI59" s="80"/>
      <c r="AJ59" s="80"/>
      <c r="AL59" s="98"/>
      <c r="AM59" t="s">
        <v>219</v>
      </c>
      <c r="AS59" s="10" t="s">
        <v>220</v>
      </c>
      <c r="AU59" s="7">
        <f t="shared" ref="AU59:BD59" si="8">($AT$45*AU$50/$BE$57)</f>
        <v>10.248543689320389</v>
      </c>
      <c r="AV59" s="7">
        <f t="shared" si="8"/>
        <v>25.227184466019416</v>
      </c>
      <c r="AW59" s="7">
        <f t="shared" si="8"/>
        <v>31.533980582524272</v>
      </c>
      <c r="AX59" s="7">
        <f t="shared" si="8"/>
        <v>42.570873786407766</v>
      </c>
      <c r="AY59" s="7">
        <f t="shared" si="8"/>
        <v>44.147572815533984</v>
      </c>
      <c r="AZ59" s="7">
        <f t="shared" si="8"/>
        <v>48.877669902912622</v>
      </c>
      <c r="BA59" s="7">
        <f t="shared" si="8"/>
        <v>55.184466019417478</v>
      </c>
      <c r="BB59" s="7">
        <f t="shared" si="8"/>
        <v>55.97281553398058</v>
      </c>
      <c r="BC59" s="7">
        <f t="shared" si="8"/>
        <v>63.067961165048544</v>
      </c>
      <c r="BD59" s="7">
        <f t="shared" si="8"/>
        <v>29.168932038834953</v>
      </c>
      <c r="BE59">
        <f>SUM(AU52:BD52)</f>
        <v>32.125</v>
      </c>
    </row>
    <row r="60" spans="2:57" ht="15.75" thickBot="1" x14ac:dyDescent="0.3">
      <c r="J60" s="30"/>
      <c r="M60" s="6"/>
      <c r="AD60" s="6"/>
      <c r="AE60" s="242" t="s">
        <v>221</v>
      </c>
      <c r="AF60" s="242"/>
      <c r="AG60" s="242"/>
      <c r="AH60" s="65">
        <f>+L38</f>
        <v>109.5</v>
      </c>
      <c r="AI60" s="80"/>
      <c r="AJ60" s="80"/>
      <c r="AS60" s="10" t="s">
        <v>222</v>
      </c>
      <c r="AU60" s="7">
        <f t="shared" ref="AU60:BD60" si="9">($AT$47*AU$51/$BE$58)</f>
        <v>4.775193798449612</v>
      </c>
      <c r="AV60" s="7">
        <f t="shared" si="9"/>
        <v>9.550387596899224</v>
      </c>
      <c r="AW60" s="7">
        <f t="shared" si="9"/>
        <v>13.643410852713178</v>
      </c>
      <c r="AX60" s="7">
        <f t="shared" si="9"/>
        <v>15.007751937984496</v>
      </c>
      <c r="AY60" s="7">
        <f t="shared" si="9"/>
        <v>18.418604651162791</v>
      </c>
      <c r="AZ60" s="7">
        <f t="shared" si="9"/>
        <v>20.465116279069768</v>
      </c>
      <c r="BA60" s="7">
        <f t="shared" si="9"/>
        <v>23.193798449612402</v>
      </c>
      <c r="BB60" s="7">
        <f t="shared" si="9"/>
        <v>25.240310077519378</v>
      </c>
      <c r="BC60" s="7">
        <f t="shared" si="9"/>
        <v>32.744186046511629</v>
      </c>
      <c r="BD60" s="7">
        <f t="shared" si="9"/>
        <v>12.961240310077519</v>
      </c>
    </row>
    <row r="61" spans="2:57" x14ac:dyDescent="0.25">
      <c r="J61" s="30"/>
      <c r="M61" s="6"/>
      <c r="N61" s="30"/>
      <c r="AE61" s="79"/>
      <c r="AF61" s="79"/>
      <c r="AG61" s="79"/>
      <c r="AH61" s="80"/>
      <c r="AI61" s="80"/>
      <c r="AJ61" s="80"/>
      <c r="AL61" s="99"/>
      <c r="AM61" t="s">
        <v>223</v>
      </c>
      <c r="AS61" s="10" t="s">
        <v>224</v>
      </c>
      <c r="AU61" s="7">
        <f t="shared" ref="AU61:BD61" si="10">($AT$46*AU$52/$BE$59)</f>
        <v>5.3696498054474704</v>
      </c>
      <c r="AV61" s="7">
        <f t="shared" si="10"/>
        <v>16.108949416342412</v>
      </c>
      <c r="AW61" s="7">
        <f t="shared" si="10"/>
        <v>17.898832684824903</v>
      </c>
      <c r="AX61" s="7">
        <f t="shared" si="10"/>
        <v>28.638132295719846</v>
      </c>
      <c r="AY61" s="7">
        <f t="shared" si="10"/>
        <v>25.953307392996109</v>
      </c>
      <c r="AZ61" s="7">
        <f t="shared" si="10"/>
        <v>28.638132295719846</v>
      </c>
      <c r="BA61" s="7">
        <f t="shared" si="10"/>
        <v>32.217898832684824</v>
      </c>
      <c r="BB61" s="7">
        <f t="shared" si="10"/>
        <v>30.428015564202333</v>
      </c>
      <c r="BC61" s="7">
        <f t="shared" si="10"/>
        <v>28.638132295719846</v>
      </c>
      <c r="BD61" s="7">
        <f t="shared" si="10"/>
        <v>16.108949416342412</v>
      </c>
      <c r="BE61">
        <f>SUM(AU54:BD54)</f>
        <v>193.5</v>
      </c>
    </row>
    <row r="62" spans="2:57" x14ac:dyDescent="0.25">
      <c r="J62" s="30"/>
      <c r="M62" s="6"/>
      <c r="AL62" s="159"/>
      <c r="AM62" t="s">
        <v>225</v>
      </c>
      <c r="AS62" s="10" t="s">
        <v>226</v>
      </c>
      <c r="AT62" s="7">
        <f>TableauSuiviSprint[[#Totals],[Init]]-AT59</f>
        <v>406</v>
      </c>
      <c r="AU62" s="7">
        <f t="shared" ref="AU62:BD64" si="11">AT62-AU59</f>
        <v>395.7514563106796</v>
      </c>
      <c r="AV62" s="7">
        <f t="shared" si="11"/>
        <v>370.52427184466018</v>
      </c>
      <c r="AW62" s="7">
        <f t="shared" si="11"/>
        <v>338.99029126213588</v>
      </c>
      <c r="AX62" s="7">
        <f t="shared" si="11"/>
        <v>296.4194174757281</v>
      </c>
      <c r="AY62" s="7">
        <f t="shared" si="11"/>
        <v>252.27184466019412</v>
      </c>
      <c r="AZ62" s="7">
        <f t="shared" si="11"/>
        <v>203.39417475728149</v>
      </c>
      <c r="BA62" s="7">
        <f t="shared" si="11"/>
        <v>148.20970873786402</v>
      </c>
      <c r="BB62" s="7">
        <f t="shared" si="11"/>
        <v>92.23689320388344</v>
      </c>
      <c r="BC62" s="7">
        <f t="shared" si="11"/>
        <v>29.168932038834896</v>
      </c>
      <c r="BD62" s="7">
        <f t="shared" si="11"/>
        <v>-5.6843418860808015E-14</v>
      </c>
    </row>
    <row r="63" spans="2:57" x14ac:dyDescent="0.25">
      <c r="J63" s="30"/>
      <c r="M63" s="6"/>
      <c r="AS63" s="10" t="s">
        <v>227</v>
      </c>
      <c r="AT63" s="7">
        <f>AT47-AT60</f>
        <v>176</v>
      </c>
      <c r="AU63" s="7">
        <f t="shared" si="11"/>
        <v>171.22480620155039</v>
      </c>
      <c r="AV63" s="7">
        <f t="shared" si="11"/>
        <v>161.67441860465118</v>
      </c>
      <c r="AW63" s="7">
        <f t="shared" si="11"/>
        <v>148.03100775193801</v>
      </c>
      <c r="AX63" s="7">
        <f t="shared" si="11"/>
        <v>133.02325581395351</v>
      </c>
      <c r="AY63" s="7">
        <f t="shared" si="11"/>
        <v>114.60465116279072</v>
      </c>
      <c r="AZ63" s="7">
        <f t="shared" si="11"/>
        <v>94.139534883720955</v>
      </c>
      <c r="BA63" s="7">
        <f t="shared" si="11"/>
        <v>70.945736434108554</v>
      </c>
      <c r="BB63" s="7">
        <f t="shared" si="11"/>
        <v>45.705426356589172</v>
      </c>
      <c r="BC63" s="7">
        <f t="shared" si="11"/>
        <v>12.961240310077542</v>
      </c>
      <c r="BD63" s="7">
        <f t="shared" si="11"/>
        <v>2.3092638912203256E-14</v>
      </c>
    </row>
    <row r="64" spans="2:57" x14ac:dyDescent="0.25">
      <c r="J64" s="30"/>
      <c r="M64" s="6"/>
      <c r="N64" s="30"/>
      <c r="AL64" s="100"/>
      <c r="AM64" t="s">
        <v>228</v>
      </c>
      <c r="AS64" s="10" t="s">
        <v>229</v>
      </c>
      <c r="AT64" s="7">
        <f>AT46-AT61</f>
        <v>230</v>
      </c>
      <c r="AU64" s="7">
        <f t="shared" si="11"/>
        <v>224.63035019455253</v>
      </c>
      <c r="AV64" s="7">
        <f t="shared" si="11"/>
        <v>208.52140077821014</v>
      </c>
      <c r="AW64" s="7">
        <f t="shared" si="11"/>
        <v>190.62256809338524</v>
      </c>
      <c r="AX64" s="7">
        <f t="shared" si="11"/>
        <v>161.98443579766538</v>
      </c>
      <c r="AY64" s="7">
        <f t="shared" si="11"/>
        <v>136.03112840466929</v>
      </c>
      <c r="AZ64" s="7">
        <f t="shared" si="11"/>
        <v>107.39299610894945</v>
      </c>
      <c r="BA64" s="7">
        <f t="shared" si="11"/>
        <v>75.175097276264623</v>
      </c>
      <c r="BB64" s="7">
        <f t="shared" si="11"/>
        <v>44.74708171206229</v>
      </c>
      <c r="BC64" s="7">
        <f t="shared" si="11"/>
        <v>16.108949416342444</v>
      </c>
      <c r="BD64" s="7">
        <f t="shared" si="11"/>
        <v>3.1974423109204508E-14</v>
      </c>
    </row>
    <row r="65" spans="10:57" x14ac:dyDescent="0.25">
      <c r="J65" s="30"/>
      <c r="M65" s="6"/>
      <c r="AS65" s="10" t="s">
        <v>230</v>
      </c>
      <c r="AT65" s="31">
        <f>TableauSuiviSprint[[#Totals],[Init]]</f>
        <v>406</v>
      </c>
      <c r="AU65" s="31">
        <f>TableauSuiviSprint[[#Totals],[J1]]</f>
        <v>406</v>
      </c>
      <c r="AV65" s="31">
        <f>TableauSuiviSprint[[#Totals],[J2]]</f>
        <v>406</v>
      </c>
      <c r="AW65" s="31">
        <f>TableauSuiviSprint[[#Totals],[J3]]</f>
        <v>406</v>
      </c>
      <c r="AX65" s="31">
        <f>TableauSuiviSprint[[#Totals],[J4]]</f>
        <v>406</v>
      </c>
      <c r="AY65" s="31">
        <f>TableauSuiviSprint[[#Totals],[J5]]</f>
        <v>406</v>
      </c>
      <c r="AZ65" s="31">
        <f>TableauSuiviSprint[[#Totals],[J6]]</f>
        <v>406</v>
      </c>
      <c r="BA65" s="31">
        <f>TableauSuiviSprint[[#Totals],[J7]]</f>
        <v>406</v>
      </c>
      <c r="BB65" s="31">
        <f>TableauSuiviSprint[[#Totals],[J8]]</f>
        <v>371</v>
      </c>
      <c r="BC65" s="31">
        <f>TableauSuiviSprint[[#Totals],[J9]]</f>
        <v>371</v>
      </c>
      <c r="BD65" s="31">
        <f>TableauSuiviSprint[[#Totals],[J10]]</f>
        <v>371</v>
      </c>
    </row>
    <row r="66" spans="10:57" x14ac:dyDescent="0.25">
      <c r="J66" s="30"/>
      <c r="M66" s="6"/>
      <c r="AS66" s="10" t="s">
        <v>231</v>
      </c>
      <c r="AT66" s="31">
        <f>AT47</f>
        <v>176</v>
      </c>
      <c r="AU66" s="31">
        <f t="shared" ref="AU66:AZ66" si="12">AU47</f>
        <v>176</v>
      </c>
      <c r="AV66" s="31">
        <f t="shared" si="12"/>
        <v>176</v>
      </c>
      <c r="AW66" s="31">
        <f t="shared" si="12"/>
        <v>176</v>
      </c>
      <c r="AX66" s="31">
        <f t="shared" si="12"/>
        <v>176</v>
      </c>
      <c r="AY66" s="31">
        <f t="shared" si="12"/>
        <v>176</v>
      </c>
      <c r="AZ66" s="31">
        <f t="shared" si="12"/>
        <v>176</v>
      </c>
      <c r="BA66" s="31">
        <f>BA47</f>
        <v>176</v>
      </c>
      <c r="BB66" s="31">
        <f>BB47</f>
        <v>176</v>
      </c>
      <c r="BC66" s="31">
        <f>BC47</f>
        <v>176</v>
      </c>
      <c r="BD66" s="31">
        <f>BD47</f>
        <v>176</v>
      </c>
    </row>
    <row r="67" spans="10:57" x14ac:dyDescent="0.25">
      <c r="J67" s="30"/>
      <c r="M67" s="6"/>
      <c r="AS67" s="10" t="s">
        <v>232</v>
      </c>
      <c r="AT67" s="31">
        <f>AT46</f>
        <v>230</v>
      </c>
      <c r="AU67" s="31">
        <f t="shared" ref="AU67:AZ67" si="13">AU46</f>
        <v>230</v>
      </c>
      <c r="AV67" s="31">
        <f t="shared" si="13"/>
        <v>230</v>
      </c>
      <c r="AW67" s="31">
        <f t="shared" si="13"/>
        <v>230</v>
      </c>
      <c r="AX67" s="31">
        <f t="shared" si="13"/>
        <v>230</v>
      </c>
      <c r="AY67" s="31">
        <f t="shared" si="13"/>
        <v>230</v>
      </c>
      <c r="AZ67" s="31">
        <f t="shared" si="13"/>
        <v>230</v>
      </c>
      <c r="BA67" s="31">
        <f>BA46</f>
        <v>230</v>
      </c>
      <c r="BB67" s="31">
        <f>BB46</f>
        <v>195</v>
      </c>
      <c r="BC67" s="31">
        <f>BC46</f>
        <v>195</v>
      </c>
      <c r="BD67" s="31">
        <f>BD46</f>
        <v>195</v>
      </c>
    </row>
    <row r="68" spans="10:57" x14ac:dyDescent="0.25">
      <c r="J68" s="30"/>
      <c r="M68" s="6"/>
    </row>
    <row r="69" spans="10:57" x14ac:dyDescent="0.25">
      <c r="J69" s="30"/>
      <c r="M69" s="6"/>
      <c r="N69" s="30"/>
      <c r="BE69" s="7">
        <f>SUM(AU53:BD53)</f>
        <v>386.25</v>
      </c>
    </row>
    <row r="70" spans="10:57" x14ac:dyDescent="0.25">
      <c r="J70" s="30"/>
      <c r="M70" s="6"/>
      <c r="BE70">
        <f>SUM(AU54:BD54)</f>
        <v>193.5</v>
      </c>
    </row>
    <row r="71" spans="10:57" x14ac:dyDescent="0.25">
      <c r="BE71" s="7">
        <f>SUM(AU55:BD55)</f>
        <v>192.75</v>
      </c>
    </row>
    <row r="72" spans="10:57" x14ac:dyDescent="0.25">
      <c r="AE72" s="6"/>
    </row>
  </sheetData>
  <protectedRanges>
    <protectedRange sqref="AN38:AO43 AO26:AO37 AR23:BD23 AE4:BD22 AP26:AX26 AP27:AW43 AX27:AX44 AY26:BD43 AN24:AN35 AE30:AM43 AE24:AM27 AO24:BD25 AJ28" name="Modif" securityDescriptor="O:WDG:WDD:(A;;CC;;;WD)"/>
    <protectedRange algorithmName="SHA-512" hashValue="Km4lDB06YUgTyHi1nPExIlOtqmv/dLbcMwb8l9VU/CNvqzWLSrzyA6mWp04vwT972L9jp2PvFIcpBZjc2COXNA==" saltValue="JOb8dRwdkbjIgujr4A9ddw==" spinCount="100000" sqref="K25:AC43 B42:I42 B25:J41 D43:J43 AC2:AC11 AC14:AC15 A16:AC21 A22:A43 B2:AB15 A2:A13 A15" name="Ressources_30_30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2:AC22 D23:AC24" name="Ressources_30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C23:C24" name="Ressources_30_1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3" name="Ressources_30_1_1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4" name="Ressources_30_1_1_1_1_1" securityDescriptor="O:WDG:WDD:(A;;CC;;;S-1-5-21-1248577188-10479689-3873521419-256576)(A;;CC;;;S-1-5-21-1248577188-10479689-3873521419-887198)(A;;CC;;;S-1-5-21-1248577188-10479689-3873521419-72230)"/>
  </protectedRanges>
  <mergeCells count="160">
    <mergeCell ref="AE59:AG59"/>
    <mergeCell ref="AE60:AG60"/>
    <mergeCell ref="X52:Y52"/>
    <mergeCell ref="AE53:AG53"/>
    <mergeCell ref="AE54:AG54"/>
    <mergeCell ref="AE56:AG56"/>
    <mergeCell ref="AE57:AG57"/>
    <mergeCell ref="AE58:AG58"/>
    <mergeCell ref="L52:M52"/>
    <mergeCell ref="N52:O52"/>
    <mergeCell ref="P52:Q52"/>
    <mergeCell ref="R52:S52"/>
    <mergeCell ref="T52:U52"/>
    <mergeCell ref="V52:W52"/>
    <mergeCell ref="J40:K40"/>
    <mergeCell ref="B41:I41"/>
    <mergeCell ref="J41:K41"/>
    <mergeCell ref="AE49:AG49"/>
    <mergeCell ref="AE50:AG50"/>
    <mergeCell ref="AE51:AG51"/>
    <mergeCell ref="J38:K38"/>
    <mergeCell ref="L38:M38"/>
    <mergeCell ref="N38:O38"/>
    <mergeCell ref="P38:Q38"/>
    <mergeCell ref="J39:K39"/>
    <mergeCell ref="L39:M39"/>
    <mergeCell ref="N39:O39"/>
    <mergeCell ref="P39:Q39"/>
    <mergeCell ref="AA36:AB36"/>
    <mergeCell ref="J37:K37"/>
    <mergeCell ref="L37:M37"/>
    <mergeCell ref="N37:O37"/>
    <mergeCell ref="P37:Q37"/>
    <mergeCell ref="T37:U37"/>
    <mergeCell ref="W35:X35"/>
    <mergeCell ref="Y35:Z35"/>
    <mergeCell ref="J36:K36"/>
    <mergeCell ref="L36:M36"/>
    <mergeCell ref="N36:O36"/>
    <mergeCell ref="P36:Q36"/>
    <mergeCell ref="R36:R37"/>
    <mergeCell ref="T36:U36"/>
    <mergeCell ref="W36:X36"/>
    <mergeCell ref="Y36:Z36"/>
    <mergeCell ref="T34:U34"/>
    <mergeCell ref="J35:K35"/>
    <mergeCell ref="L35:M35"/>
    <mergeCell ref="N35:O35"/>
    <mergeCell ref="P35:Q35"/>
    <mergeCell ref="T35:U35"/>
    <mergeCell ref="B33:D33"/>
    <mergeCell ref="E33:I33"/>
    <mergeCell ref="J34:K34"/>
    <mergeCell ref="L34:M34"/>
    <mergeCell ref="N34:O34"/>
    <mergeCell ref="P34:Q34"/>
    <mergeCell ref="R32:S32"/>
    <mergeCell ref="T32:U32"/>
    <mergeCell ref="V32:W32"/>
    <mergeCell ref="X32:Y32"/>
    <mergeCell ref="Z32:AA32"/>
    <mergeCell ref="AB32:AC32"/>
    <mergeCell ref="B32:D32"/>
    <mergeCell ref="E32:I32"/>
    <mergeCell ref="J32:K32"/>
    <mergeCell ref="L32:M32"/>
    <mergeCell ref="N32:O32"/>
    <mergeCell ref="P32:Q32"/>
    <mergeCell ref="R31:S31"/>
    <mergeCell ref="T31:U31"/>
    <mergeCell ref="V31:W31"/>
    <mergeCell ref="X31:Y31"/>
    <mergeCell ref="Z31:AA31"/>
    <mergeCell ref="AB31:AC31"/>
    <mergeCell ref="B31:D31"/>
    <mergeCell ref="E31:I31"/>
    <mergeCell ref="J31:K31"/>
    <mergeCell ref="L31:M31"/>
    <mergeCell ref="N31:O31"/>
    <mergeCell ref="P31:Q31"/>
    <mergeCell ref="R30:S30"/>
    <mergeCell ref="T30:U30"/>
    <mergeCell ref="V30:W30"/>
    <mergeCell ref="X30:Y30"/>
    <mergeCell ref="Z30:AA30"/>
    <mergeCell ref="AB30:AC30"/>
    <mergeCell ref="B30:D30"/>
    <mergeCell ref="E30:I30"/>
    <mergeCell ref="J30:K30"/>
    <mergeCell ref="L30:M30"/>
    <mergeCell ref="N30:O30"/>
    <mergeCell ref="P30:Q30"/>
    <mergeCell ref="R29:S29"/>
    <mergeCell ref="T29:U29"/>
    <mergeCell ref="V29:W29"/>
    <mergeCell ref="X29:Y29"/>
    <mergeCell ref="Z29:AA29"/>
    <mergeCell ref="AB29:AC29"/>
    <mergeCell ref="B29:D29"/>
    <mergeCell ref="E29:I29"/>
    <mergeCell ref="J29:K29"/>
    <mergeCell ref="L29:M29"/>
    <mergeCell ref="N29:O29"/>
    <mergeCell ref="P29:Q29"/>
    <mergeCell ref="R28:S28"/>
    <mergeCell ref="T28:U28"/>
    <mergeCell ref="V28:W28"/>
    <mergeCell ref="X28:Y28"/>
    <mergeCell ref="Z28:AA28"/>
    <mergeCell ref="AB28:AC28"/>
    <mergeCell ref="B28:D28"/>
    <mergeCell ref="E28:I28"/>
    <mergeCell ref="J28:K28"/>
    <mergeCell ref="L28:M28"/>
    <mergeCell ref="N28:O28"/>
    <mergeCell ref="P28:Q28"/>
    <mergeCell ref="R27:S27"/>
    <mergeCell ref="T27:U27"/>
    <mergeCell ref="V27:W27"/>
    <mergeCell ref="X27:Y27"/>
    <mergeCell ref="Z27:AA27"/>
    <mergeCell ref="AB27:AC27"/>
    <mergeCell ref="V26:W26"/>
    <mergeCell ref="X26:Y26"/>
    <mergeCell ref="Z26:AA26"/>
    <mergeCell ref="AB26:AC26"/>
    <mergeCell ref="B27:D27"/>
    <mergeCell ref="E27:I27"/>
    <mergeCell ref="J27:K27"/>
    <mergeCell ref="L27:M27"/>
    <mergeCell ref="N27:O27"/>
    <mergeCell ref="P27:Q27"/>
    <mergeCell ref="J26:K26"/>
    <mergeCell ref="L26:M26"/>
    <mergeCell ref="N26:O26"/>
    <mergeCell ref="P26:Q26"/>
    <mergeCell ref="R26:S26"/>
    <mergeCell ref="T26:U26"/>
    <mergeCell ref="A6:A7"/>
    <mergeCell ref="A10:A11"/>
    <mergeCell ref="A13:A14"/>
    <mergeCell ref="A19:A20"/>
    <mergeCell ref="B26:D26"/>
    <mergeCell ref="E26:I26"/>
    <mergeCell ref="R4:S4"/>
    <mergeCell ref="T4:U4"/>
    <mergeCell ref="V4:W4"/>
    <mergeCell ref="X4:Y4"/>
    <mergeCell ref="Z4:AA4"/>
    <mergeCell ref="AB4:AC4"/>
    <mergeCell ref="J2:AC2"/>
    <mergeCell ref="AF2:AP2"/>
    <mergeCell ref="AU2:BD2"/>
    <mergeCell ref="E3:AC3"/>
    <mergeCell ref="AO3:AP3"/>
    <mergeCell ref="E4:I4"/>
    <mergeCell ref="J4:K4"/>
    <mergeCell ref="L4:M4"/>
    <mergeCell ref="N4:O4"/>
    <mergeCell ref="P4:Q4"/>
  </mergeCells>
  <conditionalFormatting sqref="AB25:AC25 AB19:AC21 J10:AC14 J17:AC18">
    <cfRule type="expression" dxfId="188" priority="159">
      <formula>(J10="O")</formula>
    </cfRule>
    <cfRule type="expression" dxfId="187" priority="160">
      <formula>(J10="Q")</formula>
    </cfRule>
    <cfRule type="expression" dxfId="186" priority="161">
      <formula>(J10="D")</formula>
    </cfRule>
    <cfRule type="expression" dxfId="185" priority="162">
      <formula>(J10="S")</formula>
    </cfRule>
  </conditionalFormatting>
  <conditionalFormatting sqref="AF71 AF69">
    <cfRule type="expression" dxfId="184" priority="155">
      <formula>(AF69="O")</formula>
    </cfRule>
    <cfRule type="expression" dxfId="183" priority="156">
      <formula>(AF69="Q")</formula>
    </cfRule>
    <cfRule type="expression" dxfId="182" priority="157">
      <formula>(AF69="D")</formula>
    </cfRule>
    <cfRule type="expression" dxfId="181" priority="158">
      <formula>(AF69="S")</formula>
    </cfRule>
  </conditionalFormatting>
  <conditionalFormatting sqref="T25:Y25">
    <cfRule type="expression" dxfId="180" priority="151">
      <formula>(T25="O")</formula>
    </cfRule>
    <cfRule type="expression" dxfId="179" priority="152">
      <formula>(T25="Q")</formula>
    </cfRule>
    <cfRule type="expression" dxfId="178" priority="153">
      <formula>(T25="D")</formula>
    </cfRule>
    <cfRule type="expression" dxfId="177" priority="154">
      <formula>(T25="S")</formula>
    </cfRule>
  </conditionalFormatting>
  <conditionalFormatting sqref="Z25:AA25">
    <cfRule type="expression" dxfId="176" priority="147">
      <formula>(Z25="O")</formula>
    </cfRule>
    <cfRule type="expression" dxfId="175" priority="148">
      <formula>(Z25="Q")</formula>
    </cfRule>
    <cfRule type="expression" dxfId="174" priority="149">
      <formula>(Z25="D")</formula>
    </cfRule>
    <cfRule type="expression" dxfId="173" priority="150">
      <formula>(Z25="S")</formula>
    </cfRule>
  </conditionalFormatting>
  <conditionalFormatting sqref="R25:S25">
    <cfRule type="expression" dxfId="172" priority="143">
      <formula>(R25="O")</formula>
    </cfRule>
    <cfRule type="expression" dxfId="171" priority="144">
      <formula>(R25="Q")</formula>
    </cfRule>
    <cfRule type="expression" dxfId="170" priority="145">
      <formula>(R25="D")</formula>
    </cfRule>
    <cfRule type="expression" dxfId="169" priority="146">
      <formula>(R25="S")</formula>
    </cfRule>
  </conditionalFormatting>
  <conditionalFormatting sqref="J25:O25">
    <cfRule type="expression" dxfId="168" priority="139">
      <formula>(J25="O")</formula>
    </cfRule>
    <cfRule type="expression" dxfId="167" priority="140">
      <formula>(J25="Q")</formula>
    </cfRule>
    <cfRule type="expression" dxfId="166" priority="141">
      <formula>(J25="D")</formula>
    </cfRule>
    <cfRule type="expression" dxfId="165" priority="142">
      <formula>(J25="S")</formula>
    </cfRule>
  </conditionalFormatting>
  <conditionalFormatting sqref="P25:Q25">
    <cfRule type="expression" dxfId="164" priority="135">
      <formula>(P25="O")</formula>
    </cfRule>
    <cfRule type="expression" dxfId="163" priority="136">
      <formula>(P25="Q")</formula>
    </cfRule>
    <cfRule type="expression" dxfId="162" priority="137">
      <formula>(P25="D")</formula>
    </cfRule>
    <cfRule type="expression" dxfId="161" priority="138">
      <formula>(P25="S")</formula>
    </cfRule>
  </conditionalFormatting>
  <conditionalFormatting sqref="J25:AC25 J6:AC15 J17:AC21">
    <cfRule type="expression" dxfId="160" priority="134">
      <formula>(J6="T")</formula>
    </cfRule>
  </conditionalFormatting>
  <conditionalFormatting sqref="L34 N34">
    <cfRule type="expression" dxfId="159" priority="130">
      <formula>(L34="O")</formula>
    </cfRule>
    <cfRule type="expression" dxfId="158" priority="131">
      <formula>(L34="Q")</formula>
    </cfRule>
    <cfRule type="expression" dxfId="157" priority="132">
      <formula>(L34="D")</formula>
    </cfRule>
    <cfRule type="expression" dxfId="156" priority="133">
      <formula>(L34="S")</formula>
    </cfRule>
  </conditionalFormatting>
  <conditionalFormatting sqref="J34">
    <cfRule type="expression" dxfId="155" priority="126">
      <formula>(J34="O")</formula>
    </cfRule>
    <cfRule type="expression" dxfId="154" priority="127">
      <formula>(J34="Q")</formula>
    </cfRule>
    <cfRule type="expression" dxfId="153" priority="128">
      <formula>(J34="D")</formula>
    </cfRule>
    <cfRule type="expression" dxfId="152" priority="129">
      <formula>(J34="S")</formula>
    </cfRule>
  </conditionalFormatting>
  <conditionalFormatting sqref="T20:AA21">
    <cfRule type="expression" dxfId="151" priority="122">
      <formula>(T20="O")</formula>
    </cfRule>
    <cfRule type="expression" dxfId="150" priority="123">
      <formula>(T20="Q")</formula>
    </cfRule>
    <cfRule type="expression" dxfId="149" priority="124">
      <formula>(T20="D")</formula>
    </cfRule>
    <cfRule type="expression" dxfId="148" priority="125">
      <formula>(T20="S")</formula>
    </cfRule>
  </conditionalFormatting>
  <conditionalFormatting sqref="Z20:AA21">
    <cfRule type="expression" dxfId="147" priority="118">
      <formula>(Z20="O")</formula>
    </cfRule>
    <cfRule type="expression" dxfId="146" priority="119">
      <formula>(Z20="Q")</formula>
    </cfRule>
    <cfRule type="expression" dxfId="145" priority="120">
      <formula>(Z20="D")</formula>
    </cfRule>
    <cfRule type="expression" dxfId="144" priority="121">
      <formula>(Z20="S")</formula>
    </cfRule>
  </conditionalFormatting>
  <conditionalFormatting sqref="R20:S21">
    <cfRule type="expression" dxfId="143" priority="114">
      <formula>(R20="O")</formula>
    </cfRule>
    <cfRule type="expression" dxfId="142" priority="115">
      <formula>(R20="Q")</formula>
    </cfRule>
    <cfRule type="expression" dxfId="141" priority="116">
      <formula>(R20="D")</formula>
    </cfRule>
    <cfRule type="expression" dxfId="140" priority="117">
      <formula>(R20="S")</formula>
    </cfRule>
  </conditionalFormatting>
  <conditionalFormatting sqref="J20:S21 T21:Z21">
    <cfRule type="expression" dxfId="139" priority="110">
      <formula>(J20="O")</formula>
    </cfRule>
    <cfRule type="expression" dxfId="138" priority="111">
      <formula>(J20="Q")</formula>
    </cfRule>
    <cfRule type="expression" dxfId="137" priority="112">
      <formula>(J20="D")</formula>
    </cfRule>
    <cfRule type="expression" dxfId="136" priority="113">
      <formula>(J20="S")</formula>
    </cfRule>
  </conditionalFormatting>
  <conditionalFormatting sqref="P20:Q21">
    <cfRule type="expression" dxfId="135" priority="106">
      <formula>(P20="O")</formula>
    </cfRule>
    <cfRule type="expression" dxfId="134" priority="107">
      <formula>(P20="Q")</formula>
    </cfRule>
    <cfRule type="expression" dxfId="133" priority="108">
      <formula>(P20="D")</formula>
    </cfRule>
    <cfRule type="expression" dxfId="132" priority="109">
      <formula>(P20="S")</formula>
    </cfRule>
  </conditionalFormatting>
  <conditionalFormatting sqref="J6:AC9 J15:AC16">
    <cfRule type="expression" dxfId="131" priority="102">
      <formula>(J6="O")</formula>
    </cfRule>
    <cfRule type="expression" dxfId="130" priority="103">
      <formula>(J6="Q")</formula>
    </cfRule>
    <cfRule type="expression" dxfId="129" priority="104">
      <formula>(J6="D")</formula>
    </cfRule>
    <cfRule type="expression" dxfId="128" priority="105">
      <formula>(J6="S")</formula>
    </cfRule>
  </conditionalFormatting>
  <conditionalFormatting sqref="T11:AA11">
    <cfRule type="expression" dxfId="127" priority="98">
      <formula>(T11="O")</formula>
    </cfRule>
    <cfRule type="expression" dxfId="126" priority="99">
      <formula>(T11="Q")</formula>
    </cfRule>
    <cfRule type="expression" dxfId="125" priority="100">
      <formula>(T11="D")</formula>
    </cfRule>
    <cfRule type="expression" dxfId="124" priority="101">
      <formula>(T11="S")</formula>
    </cfRule>
  </conditionalFormatting>
  <conditionalFormatting sqref="J16:AC16">
    <cfRule type="expression" dxfId="123" priority="97">
      <formula>(J16="T")</formula>
    </cfRule>
  </conditionalFormatting>
  <conditionalFormatting sqref="S10:S11">
    <cfRule type="expression" dxfId="122" priority="93">
      <formula>(S10="O")</formula>
    </cfRule>
    <cfRule type="expression" dxfId="121" priority="94">
      <formula>(S10="Q")</formula>
    </cfRule>
    <cfRule type="expression" dxfId="120" priority="95">
      <formula>(S10="D")</formula>
    </cfRule>
    <cfRule type="expression" dxfId="119" priority="96">
      <formula>(S10="S")</formula>
    </cfRule>
  </conditionalFormatting>
  <conditionalFormatting sqref="W16:AC16">
    <cfRule type="expression" dxfId="118" priority="89">
      <formula>(W16="O")</formula>
    </cfRule>
    <cfRule type="expression" dxfId="117" priority="90">
      <formula>(W16="Q")</formula>
    </cfRule>
    <cfRule type="expression" dxfId="116" priority="91">
      <formula>(W16="D")</formula>
    </cfRule>
    <cfRule type="expression" dxfId="115" priority="92">
      <formula>(W16="S")</formula>
    </cfRule>
  </conditionalFormatting>
  <conditionalFormatting sqref="W16:AC16">
    <cfRule type="expression" dxfId="114" priority="88">
      <formula>(W16="T")</formula>
    </cfRule>
  </conditionalFormatting>
  <conditionalFormatting sqref="V10">
    <cfRule type="expression" dxfId="113" priority="84">
      <formula>(V10="O")</formula>
    </cfRule>
    <cfRule type="expression" dxfId="112" priority="85">
      <formula>(V10="Q")</formula>
    </cfRule>
    <cfRule type="expression" dxfId="111" priority="86">
      <formula>(V10="D")</formula>
    </cfRule>
    <cfRule type="expression" dxfId="110" priority="87">
      <formula>(V10="S")</formula>
    </cfRule>
  </conditionalFormatting>
  <conditionalFormatting sqref="V15">
    <cfRule type="expression" dxfId="109" priority="80">
      <formula>(V15="O")</formula>
    </cfRule>
    <cfRule type="expression" dxfId="108" priority="81">
      <formula>(V15="Q")</formula>
    </cfRule>
    <cfRule type="expression" dxfId="107" priority="82">
      <formula>(V15="D")</formula>
    </cfRule>
    <cfRule type="expression" dxfId="106" priority="83">
      <formula>(V15="S")</formula>
    </cfRule>
  </conditionalFormatting>
  <conditionalFormatting sqref="V15">
    <cfRule type="expression" dxfId="105" priority="76">
      <formula>(V15="O")</formula>
    </cfRule>
    <cfRule type="expression" dxfId="104" priority="77">
      <formula>(V15="Q")</formula>
    </cfRule>
    <cfRule type="expression" dxfId="103" priority="78">
      <formula>(V15="D")</formula>
    </cfRule>
    <cfRule type="expression" dxfId="102" priority="79">
      <formula>(V15="S")</formula>
    </cfRule>
  </conditionalFormatting>
  <conditionalFormatting sqref="V16:Y16">
    <cfRule type="expression" dxfId="101" priority="72">
      <formula>(V16="O")</formula>
    </cfRule>
    <cfRule type="expression" dxfId="100" priority="73">
      <formula>(V16="Q")</formula>
    </cfRule>
    <cfRule type="expression" dxfId="99" priority="74">
      <formula>(V16="D")</formula>
    </cfRule>
    <cfRule type="expression" dxfId="98" priority="75">
      <formula>(V16="S")</formula>
    </cfRule>
  </conditionalFormatting>
  <conditionalFormatting sqref="V16:Y16">
    <cfRule type="expression" dxfId="97" priority="71">
      <formula>(V16="T")</formula>
    </cfRule>
  </conditionalFormatting>
  <conditionalFormatting sqref="V16:Y16">
    <cfRule type="expression" dxfId="96" priority="67">
      <formula>(V16="O")</formula>
    </cfRule>
    <cfRule type="expression" dxfId="95" priority="68">
      <formula>(V16="Q")</formula>
    </cfRule>
    <cfRule type="expression" dxfId="94" priority="69">
      <formula>(V16="D")</formula>
    </cfRule>
    <cfRule type="expression" dxfId="93" priority="70">
      <formula>(V16="S")</formula>
    </cfRule>
  </conditionalFormatting>
  <conditionalFormatting sqref="V12:V14">
    <cfRule type="expression" dxfId="92" priority="63">
      <formula>(V12="O")</formula>
    </cfRule>
    <cfRule type="expression" dxfId="91" priority="64">
      <formula>(V12="Q")</formula>
    </cfRule>
    <cfRule type="expression" dxfId="90" priority="65">
      <formula>(V12="D")</formula>
    </cfRule>
    <cfRule type="expression" dxfId="89" priority="66">
      <formula>(V12="S")</formula>
    </cfRule>
  </conditionalFormatting>
  <conditionalFormatting sqref="V12:V14">
    <cfRule type="expression" dxfId="88" priority="59">
      <formula>(V12="O")</formula>
    </cfRule>
    <cfRule type="expression" dxfId="87" priority="60">
      <formula>(V12="Q")</formula>
    </cfRule>
    <cfRule type="expression" dxfId="86" priority="61">
      <formula>(V12="D")</formula>
    </cfRule>
    <cfRule type="expression" dxfId="85" priority="62">
      <formula>(V12="S")</formula>
    </cfRule>
  </conditionalFormatting>
  <conditionalFormatting sqref="J25:AC25 J6:AC21">
    <cfRule type="expression" dxfId="84" priority="58">
      <formula>(J6="A")</formula>
    </cfRule>
  </conditionalFormatting>
  <conditionalFormatting sqref="AR46">
    <cfRule type="cellIs" dxfId="83" priority="57" operator="lessThan">
      <formula>0</formula>
    </cfRule>
  </conditionalFormatting>
  <conditionalFormatting sqref="AR47">
    <cfRule type="cellIs" dxfId="82" priority="56" operator="lessThan">
      <formula>0</formula>
    </cfRule>
  </conditionalFormatting>
  <conditionalFormatting sqref="AR5:AR43">
    <cfRule type="expression" dxfId="81" priority="55">
      <formula>(AR5 &gt; AQ5)</formula>
    </cfRule>
  </conditionalFormatting>
  <conditionalFormatting sqref="C42">
    <cfRule type="containsText" dxfId="80" priority="53" operator="containsText" text="OK">
      <formula>NOT(ISERROR(SEARCH("OK",C42)))</formula>
    </cfRule>
    <cfRule type="containsText" dxfId="79" priority="54" operator="containsText" text="KO">
      <formula>NOT(ISERROR(SEARCH("KO",C42)))</formula>
    </cfRule>
  </conditionalFormatting>
  <conditionalFormatting sqref="AU3:BD3">
    <cfRule type="expression" dxfId="78" priority="52">
      <formula>IF(AU$1=TODAY(),TRUE,FALSE)</formula>
    </cfRule>
  </conditionalFormatting>
  <conditionalFormatting sqref="D15:D18 D21:D24 D12">
    <cfRule type="expression" dxfId="77" priority="51">
      <formula>$D12&lt;&gt;$A12</formula>
    </cfRule>
  </conditionalFormatting>
  <conditionalFormatting sqref="D10:D11">
    <cfRule type="expression" dxfId="76" priority="50">
      <formula>($D$10+$D$11)&lt;&gt;$A$10</formula>
    </cfRule>
  </conditionalFormatting>
  <conditionalFormatting sqref="AU49:BD49">
    <cfRule type="expression" dxfId="75" priority="49">
      <formula>IF(AU$1=TODAY(),TRUE,FALSE)</formula>
    </cfRule>
  </conditionalFormatting>
  <conditionalFormatting sqref="AB22:AC24">
    <cfRule type="expression" dxfId="74" priority="45">
      <formula>(AB22="O")</formula>
    </cfRule>
    <cfRule type="expression" dxfId="73" priority="46">
      <formula>(AB22="Q")</formula>
    </cfRule>
    <cfRule type="expression" dxfId="72" priority="47">
      <formula>(AB22="D")</formula>
    </cfRule>
    <cfRule type="expression" dxfId="71" priority="48">
      <formula>(AB22="S")</formula>
    </cfRule>
  </conditionalFormatting>
  <conditionalFormatting sqref="J22:AC24">
    <cfRule type="expression" dxfId="70" priority="44">
      <formula>(J22="T")</formula>
    </cfRule>
  </conditionalFormatting>
  <conditionalFormatting sqref="T22:Y24 Z23:AC24">
    <cfRule type="expression" dxfId="69" priority="40">
      <formula>(T22="O")</formula>
    </cfRule>
    <cfRule type="expression" dxfId="68" priority="41">
      <formula>(T22="Q")</formula>
    </cfRule>
    <cfRule type="expression" dxfId="67" priority="42">
      <formula>(T22="D")</formula>
    </cfRule>
    <cfRule type="expression" dxfId="66" priority="43">
      <formula>(T22="S")</formula>
    </cfRule>
  </conditionalFormatting>
  <conditionalFormatting sqref="Z22:AA24">
    <cfRule type="expression" dxfId="65" priority="36">
      <formula>(Z22="O")</formula>
    </cfRule>
    <cfRule type="expression" dxfId="64" priority="37">
      <formula>(Z22="Q")</formula>
    </cfRule>
    <cfRule type="expression" dxfId="63" priority="38">
      <formula>(Z22="D")</formula>
    </cfRule>
    <cfRule type="expression" dxfId="62" priority="39">
      <formula>(Z22="S")</formula>
    </cfRule>
  </conditionalFormatting>
  <conditionalFormatting sqref="R22:S24">
    <cfRule type="expression" dxfId="61" priority="32">
      <formula>(R22="O")</formula>
    </cfRule>
    <cfRule type="expression" dxfId="60" priority="33">
      <formula>(R22="Q")</formula>
    </cfRule>
    <cfRule type="expression" dxfId="59" priority="34">
      <formula>(R22="D")</formula>
    </cfRule>
    <cfRule type="expression" dxfId="58" priority="35">
      <formula>(R22="S")</formula>
    </cfRule>
  </conditionalFormatting>
  <conditionalFormatting sqref="J22:O24">
    <cfRule type="expression" dxfId="57" priority="28">
      <formula>(J22="O")</formula>
    </cfRule>
    <cfRule type="expression" dxfId="56" priority="29">
      <formula>(J22="Q")</formula>
    </cfRule>
    <cfRule type="expression" dxfId="55" priority="30">
      <formula>(J22="D")</formula>
    </cfRule>
    <cfRule type="expression" dxfId="54" priority="31">
      <formula>(J22="S")</formula>
    </cfRule>
  </conditionalFormatting>
  <conditionalFormatting sqref="P22:Q24">
    <cfRule type="expression" dxfId="53" priority="24">
      <formula>(P22="O")</formula>
    </cfRule>
    <cfRule type="expression" dxfId="52" priority="25">
      <formula>(P22="Q")</formula>
    </cfRule>
    <cfRule type="expression" dxfId="51" priority="26">
      <formula>(P22="D")</formula>
    </cfRule>
    <cfRule type="expression" dxfId="50" priority="27">
      <formula>(P22="S")</formula>
    </cfRule>
  </conditionalFormatting>
  <conditionalFormatting sqref="J22:AC24">
    <cfRule type="expression" dxfId="49" priority="23">
      <formula>(J22="A")</formula>
    </cfRule>
  </conditionalFormatting>
  <conditionalFormatting sqref="T19:AA19">
    <cfRule type="expression" dxfId="48" priority="19">
      <formula>(T19="O")</formula>
    </cfRule>
    <cfRule type="expression" dxfId="47" priority="20">
      <formula>(T19="Q")</formula>
    </cfRule>
    <cfRule type="expression" dxfId="46" priority="21">
      <formula>(T19="D")</formula>
    </cfRule>
    <cfRule type="expression" dxfId="45" priority="22">
      <formula>(T19="S")</formula>
    </cfRule>
  </conditionalFormatting>
  <conditionalFormatting sqref="Z19:AA19">
    <cfRule type="expression" dxfId="44" priority="15">
      <formula>(Z19="O")</formula>
    </cfRule>
    <cfRule type="expression" dxfId="43" priority="16">
      <formula>(Z19="Q")</formula>
    </cfRule>
    <cfRule type="expression" dxfId="42" priority="17">
      <formula>(Z19="D")</formula>
    </cfRule>
    <cfRule type="expression" dxfId="41" priority="18">
      <formula>(Z19="S")</formula>
    </cfRule>
  </conditionalFormatting>
  <conditionalFormatting sqref="R19:S19">
    <cfRule type="expression" dxfId="40" priority="11">
      <formula>(R19="O")</formula>
    </cfRule>
    <cfRule type="expression" dxfId="39" priority="12">
      <formula>(R19="Q")</formula>
    </cfRule>
    <cfRule type="expression" dxfId="38" priority="13">
      <formula>(R19="D")</formula>
    </cfRule>
    <cfRule type="expression" dxfId="37" priority="14">
      <formula>(R19="S")</formula>
    </cfRule>
  </conditionalFormatting>
  <conditionalFormatting sqref="J19:S19">
    <cfRule type="expression" dxfId="36" priority="7">
      <formula>(J19="O")</formula>
    </cfRule>
    <cfRule type="expression" dxfId="35" priority="8">
      <formula>(J19="Q")</formula>
    </cfRule>
    <cfRule type="expression" dxfId="34" priority="9">
      <formula>(J19="D")</formula>
    </cfRule>
    <cfRule type="expression" dxfId="33" priority="10">
      <formula>(J19="S")</formula>
    </cfRule>
  </conditionalFormatting>
  <conditionalFormatting sqref="P19:Q19">
    <cfRule type="expression" dxfId="32" priority="3">
      <formula>(P19="O")</formula>
    </cfRule>
    <cfRule type="expression" dxfId="31" priority="4">
      <formula>(P19="Q")</formula>
    </cfRule>
    <cfRule type="expression" dxfId="30" priority="5">
      <formula>(P19="D")</formula>
    </cfRule>
    <cfRule type="expression" dxfId="29" priority="6">
      <formula>(P19="S")</formula>
    </cfRule>
  </conditionalFormatting>
  <conditionalFormatting sqref="D19:D20">
    <cfRule type="expression" dxfId="28" priority="2">
      <formula>($D$19+$D$20)&lt;&gt;$A$19</formula>
    </cfRule>
  </conditionalFormatting>
  <conditionalFormatting sqref="D13:D14">
    <cfRule type="expression" dxfId="27" priority="1">
      <formula>($D$13+$D$14)&lt;&gt;$A$13</formula>
    </cfRule>
  </conditionalFormatting>
  <pageMargins left="0.7" right="0.7" top="0.75" bottom="0.75" header="0.3" footer="0.3"/>
  <pageSetup paperSize="9" orientation="portrait"/>
  <headerFooter>
    <oddFooter>&amp;L&amp;1#&amp;"Tahoma"&amp;9&amp;KCF022BC2 – Usage restreint</oddFooter>
  </headerFooter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ADE4-90D9-49DE-9AF1-E32DE4960F8E}">
  <dimension ref="A1:BH72"/>
  <sheetViews>
    <sheetView topLeftCell="C2" zoomScale="60" zoomScaleNormal="60" workbookViewId="0">
      <selection activeCell="AE4" sqref="AE4"/>
    </sheetView>
  </sheetViews>
  <sheetFormatPr baseColWidth="10" defaultColWidth="11.42578125" defaultRowHeight="15" x14ac:dyDescent="0.25"/>
  <cols>
    <col min="2" max="2" width="21.7109375" bestFit="1" customWidth="1"/>
    <col min="3" max="3" width="14.28515625" customWidth="1"/>
    <col min="4" max="4" width="15.28515625" customWidth="1"/>
    <col min="5" max="5" width="6.28515625" bestFit="1" customWidth="1"/>
    <col min="6" max="6" width="6.7109375" bestFit="1" customWidth="1"/>
    <col min="7" max="7" width="5.28515625" bestFit="1" customWidth="1"/>
    <col min="8" max="8" width="6.7109375" bestFit="1" customWidth="1"/>
    <col min="9" max="9" width="4.7109375" bestFit="1" customWidth="1"/>
    <col min="10" max="10" width="9" customWidth="1"/>
    <col min="11" max="12" width="4.5703125" bestFit="1" customWidth="1"/>
    <col min="13" max="13" width="7.42578125" bestFit="1" customWidth="1"/>
    <col min="14" max="14" width="4.28515625" bestFit="1" customWidth="1"/>
    <col min="15" max="15" width="7.28515625" customWidth="1"/>
    <col min="16" max="16" width="4.5703125" bestFit="1" customWidth="1"/>
    <col min="17" max="17" width="5.28515625" customWidth="1"/>
    <col min="18" max="18" width="8.5703125" bestFit="1" customWidth="1"/>
    <col min="19" max="19" width="4.7109375" bestFit="1" customWidth="1"/>
    <col min="20" max="20" width="4.5703125" bestFit="1" customWidth="1"/>
    <col min="21" max="21" width="4.7109375" bestFit="1" customWidth="1"/>
    <col min="22" max="22" width="4.5703125" bestFit="1" customWidth="1"/>
    <col min="23" max="23" width="4.5703125" customWidth="1"/>
    <col min="24" max="24" width="6" bestFit="1" customWidth="1"/>
    <col min="25" max="25" width="8.28515625" bestFit="1" customWidth="1"/>
    <col min="26" max="26" width="4.5703125" bestFit="1" customWidth="1"/>
    <col min="27" max="27" width="11.7109375" customWidth="1"/>
    <col min="28" max="28" width="4.5703125" bestFit="1" customWidth="1"/>
    <col min="29" max="29" width="6.7109375" customWidth="1"/>
    <col min="30" max="30" width="6.7109375" bestFit="1" customWidth="1"/>
    <col min="31" max="31" width="10.5703125" customWidth="1"/>
    <col min="32" max="32" width="9.7109375" bestFit="1" customWidth="1"/>
    <col min="33" max="33" width="8.5703125" bestFit="1" customWidth="1"/>
    <col min="34" max="34" width="10.28515625" customWidth="1"/>
    <col min="35" max="35" width="16" bestFit="1" customWidth="1"/>
    <col min="36" max="36" width="23.7109375" customWidth="1"/>
    <col min="37" max="37" width="10.42578125" customWidth="1"/>
    <col min="38" max="38" width="8.7109375" customWidth="1"/>
    <col min="39" max="39" width="82" customWidth="1"/>
    <col min="40" max="41" width="5.7109375" bestFit="1" customWidth="1"/>
    <col min="42" max="42" width="7" bestFit="1" customWidth="1"/>
    <col min="43" max="43" width="10.42578125" bestFit="1" customWidth="1"/>
    <col min="44" max="44" width="16.28515625" bestFit="1" customWidth="1"/>
    <col min="45" max="45" width="17" customWidth="1"/>
    <col min="46" max="46" width="11" bestFit="1" customWidth="1"/>
    <col min="47" max="56" width="7.7109375" customWidth="1"/>
    <col min="57" max="57" width="7.7109375" bestFit="1" customWidth="1"/>
    <col min="59" max="59" width="1.5703125" bestFit="1" customWidth="1"/>
  </cols>
  <sheetData>
    <row r="1" spans="1:56" hidden="1" x14ac:dyDescent="0.25">
      <c r="AU1" s="113">
        <f ca="1">Param!A32</f>
        <v>45124</v>
      </c>
      <c r="AV1" s="113">
        <f ca="1">AU1+1</f>
        <v>45125</v>
      </c>
      <c r="AW1" s="113">
        <f ca="1">AV1+1</f>
        <v>45126</v>
      </c>
      <c r="AX1" s="113">
        <f ca="1">AW1+1</f>
        <v>45127</v>
      </c>
      <c r="AY1" s="113">
        <f ca="1">AX1+1</f>
        <v>45128</v>
      </c>
      <c r="AZ1" s="113">
        <f ca="1">AY1+3</f>
        <v>45131</v>
      </c>
      <c r="BA1" s="113">
        <f ca="1">AZ1+1</f>
        <v>45132</v>
      </c>
      <c r="BB1" s="113">
        <f ca="1">BA1+1</f>
        <v>45133</v>
      </c>
      <c r="BC1" s="113">
        <f ca="1">BB1+1</f>
        <v>45134</v>
      </c>
      <c r="BD1" s="113">
        <f ca="1">BC1+1</f>
        <v>45135</v>
      </c>
    </row>
    <row r="2" spans="1:56" x14ac:dyDescent="0.25">
      <c r="B2" t="s">
        <v>0</v>
      </c>
      <c r="C2">
        <v>6</v>
      </c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F2" s="312" t="s">
        <v>1</v>
      </c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66"/>
      <c r="AR2" s="79" t="s">
        <v>2</v>
      </c>
      <c r="AS2" s="66"/>
      <c r="AU2" s="313" t="s">
        <v>3</v>
      </c>
      <c r="AV2" s="313"/>
      <c r="AW2" s="313"/>
      <c r="AX2" s="313"/>
      <c r="AY2" s="313"/>
      <c r="AZ2" s="313"/>
      <c r="BA2" s="313"/>
      <c r="BB2" s="313"/>
      <c r="BC2" s="313"/>
      <c r="BD2" s="313"/>
    </row>
    <row r="3" spans="1:56" ht="15.75" x14ac:dyDescent="0.25">
      <c r="E3" s="314" t="s">
        <v>4</v>
      </c>
      <c r="F3" s="314"/>
      <c r="G3" s="314"/>
      <c r="H3" s="314"/>
      <c r="I3" s="314"/>
      <c r="J3" s="314"/>
      <c r="K3" s="314"/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O3" s="315" t="s">
        <v>5</v>
      </c>
      <c r="AP3" s="315"/>
      <c r="AU3" s="34" t="s">
        <v>6</v>
      </c>
      <c r="AV3" s="35" t="s">
        <v>7</v>
      </c>
      <c r="AW3" s="35" t="s">
        <v>8</v>
      </c>
      <c r="AX3" s="35" t="s">
        <v>9</v>
      </c>
      <c r="AY3" s="35" t="s">
        <v>10</v>
      </c>
      <c r="AZ3" s="36" t="s">
        <v>6</v>
      </c>
      <c r="BA3" s="37" t="s">
        <v>8</v>
      </c>
      <c r="BB3" s="37" t="s">
        <v>8</v>
      </c>
      <c r="BC3" s="37" t="s">
        <v>9</v>
      </c>
      <c r="BD3" s="38" t="s">
        <v>10</v>
      </c>
    </row>
    <row r="4" spans="1:56" ht="60" x14ac:dyDescent="0.25">
      <c r="A4" s="116" t="s">
        <v>11</v>
      </c>
      <c r="D4" s="87"/>
      <c r="E4" s="316" t="s">
        <v>12</v>
      </c>
      <c r="F4" s="317"/>
      <c r="G4" s="317"/>
      <c r="H4" s="317"/>
      <c r="I4" s="318"/>
      <c r="J4" s="310">
        <f ca="1">Param!A32</f>
        <v>45124</v>
      </c>
      <c r="K4" s="308"/>
      <c r="L4" s="308" t="s">
        <v>13</v>
      </c>
      <c r="M4" s="308"/>
      <c r="N4" s="308" t="s">
        <v>14</v>
      </c>
      <c r="O4" s="308"/>
      <c r="P4" s="308" t="s">
        <v>15</v>
      </c>
      <c r="Q4" s="308"/>
      <c r="R4" s="308" t="s">
        <v>16</v>
      </c>
      <c r="S4" s="309"/>
      <c r="T4" s="310" t="s">
        <v>17</v>
      </c>
      <c r="U4" s="310"/>
      <c r="V4" s="308" t="s">
        <v>18</v>
      </c>
      <c r="W4" s="308"/>
      <c r="X4" s="308" t="s">
        <v>19</v>
      </c>
      <c r="Y4" s="308"/>
      <c r="Z4" s="308" t="s">
        <v>20</v>
      </c>
      <c r="AA4" s="308"/>
      <c r="AB4" s="308" t="s">
        <v>21</v>
      </c>
      <c r="AC4" s="309"/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s="40" t="s">
        <v>32</v>
      </c>
      <c r="AP4" s="40" t="s">
        <v>33</v>
      </c>
      <c r="AQ4" t="s">
        <v>34</v>
      </c>
      <c r="AR4" s="11" t="s">
        <v>35</v>
      </c>
      <c r="AS4" t="s">
        <v>36</v>
      </c>
      <c r="AT4" t="s">
        <v>37</v>
      </c>
      <c r="AU4" t="s">
        <v>38</v>
      </c>
      <c r="AV4" t="s">
        <v>13</v>
      </c>
      <c r="AW4" t="s">
        <v>14</v>
      </c>
      <c r="AX4" t="s">
        <v>15</v>
      </c>
      <c r="AY4" t="s">
        <v>16</v>
      </c>
      <c r="AZ4" t="s">
        <v>17</v>
      </c>
      <c r="BA4" t="s">
        <v>18</v>
      </c>
      <c r="BB4" t="s">
        <v>19</v>
      </c>
      <c r="BC4" t="s">
        <v>20</v>
      </c>
      <c r="BD4" t="s">
        <v>21</v>
      </c>
    </row>
    <row r="5" spans="1:56" ht="75" x14ac:dyDescent="0.25">
      <c r="B5" s="115"/>
      <c r="D5" s="86" t="s">
        <v>39</v>
      </c>
      <c r="E5" s="101" t="s">
        <v>40</v>
      </c>
      <c r="F5" s="102" t="s">
        <v>41</v>
      </c>
      <c r="G5" s="102" t="s">
        <v>42</v>
      </c>
      <c r="H5" s="102" t="s">
        <v>43</v>
      </c>
      <c r="I5" s="103" t="s">
        <v>44</v>
      </c>
      <c r="J5" s="104" t="s">
        <v>45</v>
      </c>
      <c r="K5" s="105" t="s">
        <v>46</v>
      </c>
      <c r="L5" s="105" t="s">
        <v>45</v>
      </c>
      <c r="M5" s="105" t="s">
        <v>46</v>
      </c>
      <c r="N5" s="105" t="s">
        <v>45</v>
      </c>
      <c r="O5" s="105" t="s">
        <v>46</v>
      </c>
      <c r="P5" s="105" t="s">
        <v>45</v>
      </c>
      <c r="Q5" s="105" t="s">
        <v>46</v>
      </c>
      <c r="R5" s="105" t="s">
        <v>45</v>
      </c>
      <c r="S5" s="106" t="s">
        <v>46</v>
      </c>
      <c r="T5" s="104" t="s">
        <v>45</v>
      </c>
      <c r="U5" s="105" t="s">
        <v>46</v>
      </c>
      <c r="V5" s="105" t="s">
        <v>45</v>
      </c>
      <c r="W5" s="105" t="s">
        <v>46</v>
      </c>
      <c r="X5" s="105" t="s">
        <v>45</v>
      </c>
      <c r="Y5" s="105" t="s">
        <v>46</v>
      </c>
      <c r="Z5" s="105" t="s">
        <v>45</v>
      </c>
      <c r="AA5" s="105" t="s">
        <v>46</v>
      </c>
      <c r="AB5" s="105" t="s">
        <v>45</v>
      </c>
      <c r="AC5" s="106" t="s">
        <v>46</v>
      </c>
      <c r="AF5" s="132" t="s">
        <v>47</v>
      </c>
      <c r="AG5" t="s">
        <v>48</v>
      </c>
      <c r="AH5">
        <v>12269</v>
      </c>
      <c r="AI5">
        <v>8554</v>
      </c>
      <c r="AJ5" s="11" t="str">
        <f>IF(TableauSuiviSprint_Init[[#This Row],[N° feature]]&lt;&gt;"",VLOOKUP(TableauSuiviSprint_Init[[#This Row],[N° feature]],SSG_Features[[#All],[ID]:[Tags]],3,FALSE),"")</f>
        <v>[Designer] S221018_040 Demande d'évolution distribution CAP-Utilisation d'une scannette</v>
      </c>
      <c r="AK5" s="6" t="s">
        <v>49</v>
      </c>
      <c r="AL5" s="7">
        <v>1</v>
      </c>
      <c r="AM5" s="90" t="s">
        <v>50</v>
      </c>
      <c r="AN5" s="32">
        <v>2</v>
      </c>
      <c r="AO5" s="50">
        <v>9</v>
      </c>
      <c r="AP5" s="50">
        <v>2</v>
      </c>
      <c r="AQ5" s="30">
        <f>TableauSuiviSprint_Init[[#This Row],[Dev]]+TableauSuiviSprint_Init[[#This Row],[TC / MR]]</f>
        <v>11</v>
      </c>
      <c r="AR5" s="88">
        <v>8.5</v>
      </c>
      <c r="AS5">
        <v>3</v>
      </c>
      <c r="AT5" s="9">
        <f>TableauSuiviSprint_Init[[#This Row],[H. Dev]]+TableauSuiviSprint_Init[[#This Row],[H. Qualif]]</f>
        <v>14</v>
      </c>
      <c r="AU5" s="9">
        <f>TableauSuiviSprint_Init[[#This Row],[Init]]</f>
        <v>14</v>
      </c>
      <c r="AV5" s="186">
        <f>TableauSuiviSprint_Init[[#This Row],[Init]]</f>
        <v>14</v>
      </c>
      <c r="AW5" s="186">
        <f>TableauSuiviSprint_Init[[#This Row],[J2]]</f>
        <v>14</v>
      </c>
      <c r="AX5" s="190">
        <f>TableauSuiviSprint_Init[[#This Row],[J3]]</f>
        <v>14</v>
      </c>
      <c r="AY5" s="191">
        <f>TableauSuiviSprint_Init[[#This Row],[J4]]</f>
        <v>14</v>
      </c>
      <c r="AZ5" s="191">
        <f>TableauSuiviSprint_Init[[#This Row],[J5]]</f>
        <v>14</v>
      </c>
      <c r="BA5" s="191">
        <f>TableauSuiviSprint_Init[[#This Row],[J6]]</f>
        <v>14</v>
      </c>
      <c r="BB5" s="191">
        <f>TableauSuiviSprint_Init[[#This Row],[J7]]</f>
        <v>14</v>
      </c>
      <c r="BC5" s="191">
        <f>TableauSuiviSprint_Init[[#This Row],[J8]]</f>
        <v>14</v>
      </c>
      <c r="BD5" s="213">
        <f>TableauSuiviSprint_Init[[#This Row],[J9]]</f>
        <v>14</v>
      </c>
    </row>
    <row r="6" spans="1:56" ht="75" x14ac:dyDescent="0.25">
      <c r="A6" s="302">
        <f>[1]Planning!$PZ$14</f>
        <v>10</v>
      </c>
      <c r="B6" s="51" t="s">
        <v>51</v>
      </c>
      <c r="C6" s="136">
        <v>0.75</v>
      </c>
      <c r="D6" s="109">
        <f>COUNTA(J6:AC6)/2 +COUNTBLANK(J6:AC6)/2 -COUNTIFS(J6:AC6,"O")/2 - COUNTIFS(J6:AC6,"A")/2</f>
        <v>10</v>
      </c>
      <c r="E6" s="125">
        <f>COUNTIF($J6:$AC6,"&lt;&gt;o" )/2*C6 -SUM($F6:$I6)</f>
        <v>0.75</v>
      </c>
      <c r="F6" s="126">
        <f>COUNTIF($J6:$AC6,"S")/2*C6</f>
        <v>0</v>
      </c>
      <c r="G6" s="126">
        <f>COUNTIF($J6:$AC6,"Q")/2*C6</f>
        <v>0</v>
      </c>
      <c r="H6" s="126">
        <f>COUNTIF($J6:$AC6,"T")/2*C6</f>
        <v>0</v>
      </c>
      <c r="I6" s="140">
        <f t="shared" ref="I6:I25" si="0">COUNTIF($J6:$AC6,"D")/2*C6</f>
        <v>6.75</v>
      </c>
      <c r="J6" s="144"/>
      <c r="K6" s="27" t="s">
        <v>52</v>
      </c>
      <c r="L6" s="27" t="s">
        <v>52</v>
      </c>
      <c r="M6" s="27" t="s">
        <v>52</v>
      </c>
      <c r="N6" s="27" t="s">
        <v>52</v>
      </c>
      <c r="O6" s="27" t="s">
        <v>52</v>
      </c>
      <c r="P6" s="27" t="s">
        <v>52</v>
      </c>
      <c r="Q6" s="27" t="s">
        <v>52</v>
      </c>
      <c r="R6" s="27" t="s">
        <v>52</v>
      </c>
      <c r="S6" s="147" t="s">
        <v>52</v>
      </c>
      <c r="T6" s="144" t="s">
        <v>52</v>
      </c>
      <c r="U6" s="27" t="s">
        <v>52</v>
      </c>
      <c r="V6" s="27" t="s">
        <v>52</v>
      </c>
      <c r="W6" s="27" t="s">
        <v>52</v>
      </c>
      <c r="X6" s="27" t="s">
        <v>52</v>
      </c>
      <c r="Y6" s="27" t="s">
        <v>52</v>
      </c>
      <c r="Z6" s="27" t="s">
        <v>52</v>
      </c>
      <c r="AA6" s="27" t="s">
        <v>52</v>
      </c>
      <c r="AB6" s="93" t="s">
        <v>52</v>
      </c>
      <c r="AC6" s="94"/>
      <c r="AF6" s="132" t="s">
        <v>47</v>
      </c>
      <c r="AG6" t="s">
        <v>48</v>
      </c>
      <c r="AH6">
        <v>12277</v>
      </c>
      <c r="AI6">
        <v>8554</v>
      </c>
      <c r="AJ6" s="11" t="str">
        <f>IF(TableauSuiviSprint_Init[[#This Row],[N° feature]]&lt;&gt;"",VLOOKUP(TableauSuiviSprint_Init[[#This Row],[N° feature]],SSG_Features[[#All],[ID]:[Tags]],3,FALSE),"")</f>
        <v>[Designer] S221018_040 Demande d'évolution distribution CAP-Utilisation d'une scannette</v>
      </c>
      <c r="AK6" s="6" t="s">
        <v>49</v>
      </c>
      <c r="AL6" s="7">
        <v>2</v>
      </c>
      <c r="AM6" s="11" t="s">
        <v>53</v>
      </c>
      <c r="AN6" s="32">
        <v>3</v>
      </c>
      <c r="AO6" s="50">
        <v>14</v>
      </c>
      <c r="AP6" s="50">
        <v>3</v>
      </c>
      <c r="AQ6" s="30">
        <f>TableauSuiviSprint_Init[[#This Row],[Dev]]+TableauSuiviSprint_Init[[#This Row],[TC / MR]]</f>
        <v>17</v>
      </c>
      <c r="AR6" s="88">
        <v>8</v>
      </c>
      <c r="AS6">
        <v>5</v>
      </c>
      <c r="AT6" s="9">
        <f>TableauSuiviSprint_Init[[#This Row],[H. Dev]]+TableauSuiviSprint_Init[[#This Row],[H. Qualif]]</f>
        <v>22</v>
      </c>
      <c r="AU6">
        <f>TableauSuiviSprint_Init[[#This Row],[Init]]</f>
        <v>22</v>
      </c>
      <c r="AV6" s="9">
        <f>TableauSuiviSprint_Init[[#This Row],[Init]]</f>
        <v>22</v>
      </c>
      <c r="AW6" s="186">
        <f>TableauSuiviSprint_Init[[#This Row],[J2]]</f>
        <v>22</v>
      </c>
      <c r="AX6" s="190">
        <f>TableauSuiviSprint_Init[[#This Row],[J3]]</f>
        <v>22</v>
      </c>
      <c r="AY6" s="191">
        <f>TableauSuiviSprint_Init[[#This Row],[J4]]</f>
        <v>22</v>
      </c>
      <c r="AZ6" s="191">
        <f>TableauSuiviSprint_Init[[#This Row],[J5]]</f>
        <v>22</v>
      </c>
      <c r="BA6" s="191">
        <f>TableauSuiviSprint_Init[[#This Row],[J6]]</f>
        <v>22</v>
      </c>
      <c r="BB6" s="191">
        <f>TableauSuiviSprint_Init[[#This Row],[J7]]</f>
        <v>22</v>
      </c>
      <c r="BC6" s="191">
        <f>TableauSuiviSprint_Init[[#This Row],[J8]]</f>
        <v>22</v>
      </c>
      <c r="BD6" s="213">
        <f>TableauSuiviSprint_Init[[#This Row],[J9]]</f>
        <v>22</v>
      </c>
    </row>
    <row r="7" spans="1:56" ht="33" customHeight="1" x14ac:dyDescent="0.25">
      <c r="A7" s="303"/>
      <c r="B7" s="53" t="s">
        <v>51</v>
      </c>
      <c r="C7" s="137">
        <v>1</v>
      </c>
      <c r="D7" s="124"/>
      <c r="E7" s="122"/>
      <c r="F7" s="123"/>
      <c r="G7" s="123"/>
      <c r="H7" s="123"/>
      <c r="I7" s="141">
        <f t="shared" si="0"/>
        <v>0</v>
      </c>
      <c r="J7" s="131" t="s">
        <v>54</v>
      </c>
      <c r="K7" s="5" t="s">
        <v>54</v>
      </c>
      <c r="L7" s="5" t="s">
        <v>54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5" t="s">
        <v>54</v>
      </c>
      <c r="S7" s="148" t="s">
        <v>54</v>
      </c>
      <c r="T7" s="131" t="s">
        <v>54</v>
      </c>
      <c r="U7" s="5" t="s">
        <v>54</v>
      </c>
      <c r="V7" s="5" t="s">
        <v>54</v>
      </c>
      <c r="W7" s="5" t="s">
        <v>54</v>
      </c>
      <c r="X7" s="5" t="s">
        <v>54</v>
      </c>
      <c r="Y7" s="5" t="s">
        <v>54</v>
      </c>
      <c r="Z7" s="5" t="s">
        <v>54</v>
      </c>
      <c r="AA7" s="5" t="s">
        <v>54</v>
      </c>
      <c r="AB7" s="29" t="s">
        <v>54</v>
      </c>
      <c r="AC7" s="73" t="s">
        <v>54</v>
      </c>
      <c r="AF7" s="132" t="s">
        <v>47</v>
      </c>
      <c r="AG7" t="s">
        <v>55</v>
      </c>
      <c r="AH7">
        <v>10679</v>
      </c>
      <c r="AI7">
        <v>9308</v>
      </c>
      <c r="AJ7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AK7" s="6" t="s">
        <v>56</v>
      </c>
      <c r="AL7" s="7">
        <v>3</v>
      </c>
      <c r="AM7" s="11" t="s">
        <v>57</v>
      </c>
      <c r="AN7" s="32">
        <v>2</v>
      </c>
      <c r="AO7" s="50">
        <v>8</v>
      </c>
      <c r="AP7" s="50">
        <v>2</v>
      </c>
      <c r="AQ7" s="30">
        <v>10</v>
      </c>
      <c r="AR7" s="88">
        <v>2</v>
      </c>
      <c r="AS7">
        <v>4</v>
      </c>
      <c r="AT7" s="9">
        <f>TableauSuiviSprint_Init[[#This Row],[H. Dev]]+TableauSuiviSprint_Init[[#This Row],[H. Qualif]]</f>
        <v>14</v>
      </c>
      <c r="AU7" s="177">
        <f>TableauSuiviSprint_Init[[#This Row],[Init]]</f>
        <v>14</v>
      </c>
      <c r="AV7" s="177">
        <f>TableauSuiviSprint_Init[[#This Row],[Init]]</f>
        <v>14</v>
      </c>
      <c r="AW7" s="177">
        <f>TableauSuiviSprint_Init[[#This Row],[J2]]</f>
        <v>14</v>
      </c>
      <c r="AX7" s="190">
        <f>TableauSuiviSprint_Init[[#This Row],[J3]]</f>
        <v>14</v>
      </c>
      <c r="AY7" s="191">
        <f>TableauSuiviSprint_Init[[#This Row],[J4]]</f>
        <v>14</v>
      </c>
      <c r="AZ7" s="191">
        <f>TableauSuiviSprint_Init[[#This Row],[J5]]</f>
        <v>14</v>
      </c>
      <c r="BA7" s="191">
        <f>TableauSuiviSprint_Init[[#This Row],[J6]]</f>
        <v>14</v>
      </c>
      <c r="BB7" s="191">
        <f>TableauSuiviSprint_Init[[#This Row],[J7]]</f>
        <v>14</v>
      </c>
      <c r="BC7" s="191">
        <f>TableauSuiviSprint_Init[[#This Row],[J8]]</f>
        <v>14</v>
      </c>
      <c r="BD7" s="213">
        <f>TableauSuiviSprint_Init[[#This Row],[J9]]</f>
        <v>14</v>
      </c>
    </row>
    <row r="8" spans="1:56" ht="34.5" customHeight="1" x14ac:dyDescent="0.25">
      <c r="A8" s="117">
        <f>[1]Planning!$PZ$14</f>
        <v>10</v>
      </c>
      <c r="B8" s="52" t="s">
        <v>58</v>
      </c>
      <c r="C8" s="137">
        <v>0.75</v>
      </c>
      <c r="D8" s="110">
        <f t="shared" ref="D8:D25" si="1">COUNTA(J8:AC8)/2 +COUNTBLANK(J8:AC8)/2 -COUNTIFS(J8:AC8,"O")/2 - COUNTIFS(J8:AC8,"A")/2</f>
        <v>10</v>
      </c>
      <c r="E8" s="82">
        <f t="shared" ref="E8:E25" si="2">COUNTIF($J8:$AC8,"&lt;&gt;o" )/2*C8 -SUM($F8:$I8)</f>
        <v>2.25</v>
      </c>
      <c r="F8" s="74">
        <f t="shared" ref="F8:F25" si="3">COUNTIF($J8:$AC8,"S")/2*C8</f>
        <v>0</v>
      </c>
      <c r="G8" s="74">
        <f t="shared" ref="G8:G25" si="4">COUNTIF($J8:$AC8,"Q")/2*C8</f>
        <v>0</v>
      </c>
      <c r="H8" s="74">
        <f t="shared" ref="H8:H25" si="5">COUNTIF($J8:$AC8,"T")/2*C8</f>
        <v>5.25</v>
      </c>
      <c r="I8" s="142">
        <f t="shared" si="0"/>
        <v>0</v>
      </c>
      <c r="J8" s="131"/>
      <c r="K8" s="5"/>
      <c r="L8" s="5"/>
      <c r="M8" s="5"/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148" t="s">
        <v>59</v>
      </c>
      <c r="T8" s="145" t="s">
        <v>59</v>
      </c>
      <c r="U8" s="29" t="s">
        <v>59</v>
      </c>
      <c r="V8" s="29" t="s">
        <v>59</v>
      </c>
      <c r="W8" s="29" t="s">
        <v>60</v>
      </c>
      <c r="X8" s="29" t="s">
        <v>59</v>
      </c>
      <c r="Y8" s="29" t="s">
        <v>59</v>
      </c>
      <c r="Z8" s="29" t="s">
        <v>59</v>
      </c>
      <c r="AA8" s="29" t="s">
        <v>59</v>
      </c>
      <c r="AB8" s="29"/>
      <c r="AC8" s="73"/>
      <c r="AF8" s="132" t="s">
        <v>47</v>
      </c>
      <c r="AG8" t="s">
        <v>55</v>
      </c>
      <c r="AH8">
        <v>10706</v>
      </c>
      <c r="AI8">
        <v>9308</v>
      </c>
      <c r="AJ8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AK8" s="6" t="s">
        <v>56</v>
      </c>
      <c r="AL8" s="7">
        <v>4</v>
      </c>
      <c r="AM8" s="11" t="s">
        <v>61</v>
      </c>
      <c r="AN8" s="32">
        <v>2</v>
      </c>
      <c r="AO8" s="50">
        <v>9</v>
      </c>
      <c r="AP8" s="50">
        <v>2</v>
      </c>
      <c r="AQ8" s="30">
        <f>TableauSuiviSprint_Init[[#This Row],[Dev]]+TableauSuiviSprint_Init[[#This Row],[TC / MR]]</f>
        <v>11</v>
      </c>
      <c r="AR8" s="88">
        <v>6</v>
      </c>
      <c r="AS8" s="30">
        <v>2</v>
      </c>
      <c r="AT8" s="9">
        <f>TableauSuiviSprint_Init[[#This Row],[H. Dev]]+TableauSuiviSprint_Init[[#This Row],[H. Qualif]]</f>
        <v>13</v>
      </c>
      <c r="AU8" s="9">
        <f>TableauSuiviSprint_Init[[#This Row],[Init]]</f>
        <v>13</v>
      </c>
      <c r="AV8" s="177">
        <f>TableauSuiviSprint_Init[[#This Row],[Init]]</f>
        <v>13</v>
      </c>
      <c r="AW8" s="177">
        <f>TableauSuiviSprint_Init[[#This Row],[J2]]</f>
        <v>13</v>
      </c>
      <c r="AX8" s="190">
        <f>TableauSuiviSprint_Init[[#This Row],[J3]]</f>
        <v>13</v>
      </c>
      <c r="AY8" s="191">
        <f>TableauSuiviSprint_Init[[#This Row],[J4]]</f>
        <v>13</v>
      </c>
      <c r="AZ8" s="191">
        <f>TableauSuiviSprint_Init[[#This Row],[J5]]</f>
        <v>13</v>
      </c>
      <c r="BA8" s="191">
        <f>TableauSuiviSprint_Init[[#This Row],[J6]]</f>
        <v>13</v>
      </c>
      <c r="BB8" s="191">
        <f>TableauSuiviSprint_Init[[#This Row],[J7]]</f>
        <v>13</v>
      </c>
      <c r="BC8" s="191">
        <f>TableauSuiviSprint_Init[[#This Row],[J8]]</f>
        <v>13</v>
      </c>
      <c r="BD8" s="213">
        <f>TableauSuiviSprint_Init[[#This Row],[J9]]</f>
        <v>13</v>
      </c>
    </row>
    <row r="9" spans="1:56" ht="30.75" customHeight="1" x14ac:dyDescent="0.25">
      <c r="A9" s="117"/>
      <c r="B9" s="53" t="s">
        <v>62</v>
      </c>
      <c r="C9" s="137">
        <v>1</v>
      </c>
      <c r="D9" s="110">
        <f t="shared" si="1"/>
        <v>10</v>
      </c>
      <c r="E9" s="82">
        <f t="shared" si="2"/>
        <v>9</v>
      </c>
      <c r="F9" s="74">
        <f t="shared" si="3"/>
        <v>0</v>
      </c>
      <c r="G9" s="74">
        <f t="shared" si="4"/>
        <v>0</v>
      </c>
      <c r="H9" s="74">
        <f t="shared" si="5"/>
        <v>0</v>
      </c>
      <c r="I9" s="142">
        <f t="shared" si="0"/>
        <v>1</v>
      </c>
      <c r="J9" s="131"/>
      <c r="K9" s="5"/>
      <c r="L9" s="5" t="s">
        <v>63</v>
      </c>
      <c r="M9" s="5" t="s">
        <v>63</v>
      </c>
      <c r="N9" s="5" t="s">
        <v>63</v>
      </c>
      <c r="O9" s="5" t="s">
        <v>63</v>
      </c>
      <c r="P9" s="5" t="s">
        <v>52</v>
      </c>
      <c r="Q9" s="5" t="s">
        <v>52</v>
      </c>
      <c r="R9" s="5"/>
      <c r="S9" s="148"/>
      <c r="T9" s="131"/>
      <c r="U9" s="5"/>
      <c r="V9" s="5" t="s">
        <v>63</v>
      </c>
      <c r="W9" s="5" t="s">
        <v>63</v>
      </c>
      <c r="X9" s="5" t="s">
        <v>63</v>
      </c>
      <c r="Y9" s="5" t="s">
        <v>63</v>
      </c>
      <c r="Z9" s="5"/>
      <c r="AA9" s="5"/>
      <c r="AB9" s="5"/>
      <c r="AC9" s="28"/>
      <c r="AF9" s="132" t="s">
        <v>47</v>
      </c>
      <c r="AG9" t="s">
        <v>55</v>
      </c>
      <c r="AH9">
        <v>10703</v>
      </c>
      <c r="AI9">
        <v>9308</v>
      </c>
      <c r="AJ9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AK9" s="6" t="s">
        <v>56</v>
      </c>
      <c r="AL9" s="7">
        <v>5</v>
      </c>
      <c r="AM9" s="11" t="s">
        <v>64</v>
      </c>
      <c r="AN9" s="32">
        <v>3</v>
      </c>
      <c r="AO9" s="50">
        <v>14</v>
      </c>
      <c r="AP9" s="50">
        <v>3</v>
      </c>
      <c r="AQ9" s="30">
        <f>TableauSuiviSprint_Init[[#This Row],[Dev]]+TableauSuiviSprint_Init[[#This Row],[TC / MR]]</f>
        <v>17</v>
      </c>
      <c r="AR9" s="88">
        <v>19.5</v>
      </c>
      <c r="AS9" s="30">
        <v>5</v>
      </c>
      <c r="AT9" s="9">
        <f>TableauSuiviSprint_Init[[#This Row],[H. Dev]]+TableauSuiviSprint_Init[[#This Row],[H. Qualif]]</f>
        <v>22</v>
      </c>
      <c r="AU9" s="9">
        <f>TableauSuiviSprint_Init[[#This Row],[Init]]</f>
        <v>22</v>
      </c>
      <c r="AV9" s="9">
        <f>TableauSuiviSprint_Init[[#This Row],[Init]]</f>
        <v>22</v>
      </c>
      <c r="AW9" s="177">
        <f>TableauSuiviSprint_Init[[#This Row],[J2]]</f>
        <v>22</v>
      </c>
      <c r="AX9" s="177">
        <f>TableauSuiviSprint_Init[[#This Row],[J3]]</f>
        <v>22</v>
      </c>
      <c r="AY9" s="177">
        <f>TableauSuiviSprint_Init[[#This Row],[J4]]</f>
        <v>22</v>
      </c>
      <c r="AZ9" s="190">
        <f>TableauSuiviSprint_Init[[#This Row],[J5]]</f>
        <v>22</v>
      </c>
      <c r="BA9" s="190">
        <f>TableauSuiviSprint_Init[[#This Row],[J6]]</f>
        <v>22</v>
      </c>
      <c r="BB9" s="191">
        <f>TableauSuiviSprint_Init[[#This Row],[J7]]</f>
        <v>22</v>
      </c>
      <c r="BC9" s="191">
        <f>TableauSuiviSprint_Init[[#This Row],[J8]]</f>
        <v>22</v>
      </c>
      <c r="BD9" s="213">
        <f>TableauSuiviSprint_Init[[#This Row],[J9]]</f>
        <v>22</v>
      </c>
    </row>
    <row r="10" spans="1:56" ht="34.5" customHeight="1" x14ac:dyDescent="0.25">
      <c r="A10" s="302">
        <f>[1]Planning!$PZ$13</f>
        <v>10</v>
      </c>
      <c r="B10" s="52" t="s">
        <v>65</v>
      </c>
      <c r="C10" s="137">
        <v>0</v>
      </c>
      <c r="D10" s="110">
        <f t="shared" si="1"/>
        <v>0</v>
      </c>
      <c r="E10" s="82">
        <f t="shared" si="2"/>
        <v>0</v>
      </c>
      <c r="F10" s="74">
        <f t="shared" si="3"/>
        <v>0</v>
      </c>
      <c r="G10" s="74">
        <f t="shared" si="4"/>
        <v>0</v>
      </c>
      <c r="H10" s="74">
        <f t="shared" si="5"/>
        <v>0</v>
      </c>
      <c r="I10" s="142">
        <f t="shared" si="0"/>
        <v>0</v>
      </c>
      <c r="J10" s="145" t="s">
        <v>54</v>
      </c>
      <c r="K10" s="29" t="s">
        <v>54</v>
      </c>
      <c r="L10" s="29" t="s">
        <v>54</v>
      </c>
      <c r="M10" s="29" t="s">
        <v>54</v>
      </c>
      <c r="N10" s="29" t="s">
        <v>54</v>
      </c>
      <c r="O10" s="29" t="s">
        <v>54</v>
      </c>
      <c r="P10" s="29" t="s">
        <v>54</v>
      </c>
      <c r="Q10" s="29" t="s">
        <v>54</v>
      </c>
      <c r="R10" s="29" t="s">
        <v>54</v>
      </c>
      <c r="S10" s="149" t="s">
        <v>54</v>
      </c>
      <c r="T10" s="145" t="s">
        <v>54</v>
      </c>
      <c r="U10" s="29" t="s">
        <v>54</v>
      </c>
      <c r="V10" s="5" t="s">
        <v>54</v>
      </c>
      <c r="W10" s="29" t="s">
        <v>54</v>
      </c>
      <c r="X10" s="29" t="s">
        <v>54</v>
      </c>
      <c r="Y10" s="29" t="s">
        <v>54</v>
      </c>
      <c r="Z10" s="29" t="s">
        <v>54</v>
      </c>
      <c r="AA10" s="29" t="s">
        <v>54</v>
      </c>
      <c r="AB10" s="29" t="s">
        <v>54</v>
      </c>
      <c r="AC10" s="73" t="s">
        <v>54</v>
      </c>
      <c r="AF10" s="132" t="s">
        <v>47</v>
      </c>
      <c r="AG10" t="s">
        <v>48</v>
      </c>
      <c r="AH10">
        <v>12043</v>
      </c>
      <c r="AI10">
        <v>11918</v>
      </c>
      <c r="AJ10" s="11" t="str">
        <f>IF(TableauSuiviSprint_Init[[#This Row],[N° feature]]&lt;&gt;"",VLOOKUP(TableauSuiviSprint_Init[[#This Row],[N° feature]],SSG_Features[[#All],[ID]:[Tags]],3,FALSE),"")</f>
        <v>[DESIGNER] [Priorité haute] Diverses évolutions N°2 du 16/06/2023</v>
      </c>
      <c r="AK10" s="6" t="s">
        <v>66</v>
      </c>
      <c r="AL10" s="7">
        <v>6</v>
      </c>
      <c r="AM10" s="11" t="s">
        <v>67</v>
      </c>
      <c r="AN10" s="32">
        <v>5</v>
      </c>
      <c r="AO10" s="50">
        <v>23</v>
      </c>
      <c r="AP10" s="50">
        <v>6</v>
      </c>
      <c r="AQ10" s="30">
        <f>TableauSuiviSprint_Init[[#This Row],[Dev]]+TableauSuiviSprint_Init[[#This Row],[TC / MR]]</f>
        <v>29</v>
      </c>
      <c r="AR10" s="88">
        <v>30</v>
      </c>
      <c r="AS10" s="30">
        <v>6</v>
      </c>
      <c r="AT10" s="9">
        <f>TableauSuiviSprint_Init[[#This Row],[H. Dev]]+TableauSuiviSprint_Init[[#This Row],[H. Qualif]]</f>
        <v>35</v>
      </c>
      <c r="AU10" s="9">
        <f>TableauSuiviSprint_Init[[#This Row],[Init]]</f>
        <v>35</v>
      </c>
      <c r="AV10" s="9">
        <f>TableauSuiviSprint_Init[[#This Row],[Init]]</f>
        <v>35</v>
      </c>
      <c r="AW10" s="9">
        <f>TableauSuiviSprint_Init[[#This Row],[J2]]</f>
        <v>35</v>
      </c>
      <c r="AX10" s="9">
        <f>TableauSuiviSprint_Init[[#This Row],[J3]]</f>
        <v>35</v>
      </c>
      <c r="AY10" s="186">
        <f>TableauSuiviSprint_Init[[#This Row],[J4]]</f>
        <v>35</v>
      </c>
      <c r="AZ10" s="186">
        <f>TableauSuiviSprint_Init[[#This Row],[J5]]</f>
        <v>35</v>
      </c>
      <c r="BA10" s="191">
        <f>TableauSuiviSprint_Init[[#This Row],[J6]]</f>
        <v>35</v>
      </c>
      <c r="BB10" s="191">
        <f>TableauSuiviSprint_Init[[#This Row],[J7]]</f>
        <v>35</v>
      </c>
      <c r="BC10" s="191">
        <f>TableauSuiviSprint_Init[[#This Row],[J8]]</f>
        <v>35</v>
      </c>
      <c r="BD10" s="213">
        <f>TableauSuiviSprint_Init[[#This Row],[J9]]</f>
        <v>35</v>
      </c>
    </row>
    <row r="11" spans="1:56" ht="36.75" customHeight="1" x14ac:dyDescent="0.25">
      <c r="A11" s="304"/>
      <c r="B11" s="53" t="s">
        <v>65</v>
      </c>
      <c r="C11" s="137">
        <v>0.75</v>
      </c>
      <c r="D11" s="110">
        <f t="shared" si="1"/>
        <v>10</v>
      </c>
      <c r="E11" s="82">
        <f t="shared" si="2"/>
        <v>1.5</v>
      </c>
      <c r="F11" s="74">
        <f t="shared" si="3"/>
        <v>0</v>
      </c>
      <c r="G11" s="74">
        <f t="shared" si="4"/>
        <v>0</v>
      </c>
      <c r="H11" s="74">
        <f t="shared" si="5"/>
        <v>0</v>
      </c>
      <c r="I11" s="142">
        <f t="shared" si="0"/>
        <v>6</v>
      </c>
      <c r="J11" s="131"/>
      <c r="K11" s="5">
        <v>0</v>
      </c>
      <c r="L11" s="5" t="s">
        <v>52</v>
      </c>
      <c r="M11" s="5" t="s">
        <v>52</v>
      </c>
      <c r="N11" s="5" t="s">
        <v>52</v>
      </c>
      <c r="O11" s="5" t="s">
        <v>52</v>
      </c>
      <c r="P11" s="5" t="s">
        <v>52</v>
      </c>
      <c r="Q11" s="5" t="s">
        <v>52</v>
      </c>
      <c r="R11" s="5" t="s">
        <v>52</v>
      </c>
      <c r="S11" s="148" t="s">
        <v>52</v>
      </c>
      <c r="T11" s="145" t="s">
        <v>52</v>
      </c>
      <c r="U11" s="29" t="s">
        <v>52</v>
      </c>
      <c r="V11" s="29" t="s">
        <v>52</v>
      </c>
      <c r="W11" s="29" t="s">
        <v>52</v>
      </c>
      <c r="X11" s="29" t="s">
        <v>52</v>
      </c>
      <c r="Y11" s="29" t="s">
        <v>52</v>
      </c>
      <c r="Z11" s="29" t="s">
        <v>52</v>
      </c>
      <c r="AA11" s="29" t="s">
        <v>52</v>
      </c>
      <c r="AB11" s="29"/>
      <c r="AC11" s="73"/>
      <c r="AF11" s="132" t="s">
        <v>47</v>
      </c>
      <c r="AG11" t="s">
        <v>48</v>
      </c>
      <c r="AH11">
        <v>12041</v>
      </c>
      <c r="AI11">
        <v>11918</v>
      </c>
      <c r="AJ11" s="11" t="str">
        <f>IF(TableauSuiviSprint_Init[[#This Row],[N° feature]]&lt;&gt;"",VLOOKUP(TableauSuiviSprint_Init[[#This Row],[N° feature]],SSG_Features[[#All],[ID]:[Tags]],3,FALSE),"")</f>
        <v>[DESIGNER] [Priorité haute] Diverses évolutions N°2 du 16/06/2023</v>
      </c>
      <c r="AK11" s="6" t="s">
        <v>66</v>
      </c>
      <c r="AL11" s="7">
        <v>7</v>
      </c>
      <c r="AM11" s="72" t="s">
        <v>68</v>
      </c>
      <c r="AN11" s="32">
        <v>1</v>
      </c>
      <c r="AO11" s="50">
        <v>5</v>
      </c>
      <c r="AP11" s="50">
        <v>1</v>
      </c>
      <c r="AQ11" s="30">
        <f>TableauSuiviSprint_Init[[#This Row],[Dev]]+TableauSuiviSprint_Init[[#This Row],[TC / MR]]</f>
        <v>6</v>
      </c>
      <c r="AR11" s="88">
        <v>5</v>
      </c>
      <c r="AS11" s="30">
        <v>4</v>
      </c>
      <c r="AT11" s="9">
        <f>TableauSuiviSprint_Init[[#This Row],[H. Dev]]+TableauSuiviSprint_Init[[#This Row],[H. Qualif]]</f>
        <v>10</v>
      </c>
      <c r="AU11">
        <f>TableauSuiviSprint_Init[[#This Row],[Init]]</f>
        <v>10</v>
      </c>
      <c r="AV11">
        <f>TableauSuiviSprint_Init[[#This Row],[Init]]</f>
        <v>10</v>
      </c>
      <c r="AW11">
        <f>TableauSuiviSprint_Init[[#This Row],[J2]]</f>
        <v>10</v>
      </c>
      <c r="AX11">
        <f>TableauSuiviSprint_Init[[#This Row],[J3]]</f>
        <v>10</v>
      </c>
      <c r="AY11" s="186">
        <f>TableauSuiviSprint_Init[[#This Row],[J4]]</f>
        <v>10</v>
      </c>
      <c r="AZ11" s="186">
        <f>TableauSuiviSprint_Init[[#This Row],[J5]]</f>
        <v>10</v>
      </c>
      <c r="BA11" s="191">
        <f>TableauSuiviSprint_Init[[#This Row],[J6]]</f>
        <v>10</v>
      </c>
      <c r="BB11" s="191">
        <f>TableauSuiviSprint_Init[[#This Row],[J7]]</f>
        <v>10</v>
      </c>
      <c r="BC11" s="191">
        <f>TableauSuiviSprint_Init[[#This Row],[J8]]</f>
        <v>10</v>
      </c>
      <c r="BD11" s="213">
        <f>TableauSuiviSprint_Init[[#This Row],[J9]]</f>
        <v>10</v>
      </c>
    </row>
    <row r="12" spans="1:56" ht="41.25" customHeight="1" x14ac:dyDescent="0.25">
      <c r="A12" s="117">
        <f>[1]Planning!$PZ$19</f>
        <v>10</v>
      </c>
      <c r="B12" s="53" t="s">
        <v>69</v>
      </c>
      <c r="C12" s="137">
        <v>1</v>
      </c>
      <c r="D12" s="110">
        <f t="shared" si="1"/>
        <v>10</v>
      </c>
      <c r="E12" s="82">
        <f t="shared" si="2"/>
        <v>1</v>
      </c>
      <c r="F12" s="74">
        <f t="shared" si="3"/>
        <v>5.5</v>
      </c>
      <c r="G12" s="74">
        <f t="shared" si="4"/>
        <v>3.5</v>
      </c>
      <c r="H12" s="74">
        <f t="shared" si="5"/>
        <v>0</v>
      </c>
      <c r="I12" s="142">
        <f t="shared" si="0"/>
        <v>0</v>
      </c>
      <c r="J12" s="131"/>
      <c r="K12" s="5" t="s">
        <v>70</v>
      </c>
      <c r="L12" s="5" t="s">
        <v>70</v>
      </c>
      <c r="M12" s="5" t="s">
        <v>70</v>
      </c>
      <c r="N12" s="5" t="s">
        <v>70</v>
      </c>
      <c r="O12" s="5" t="s">
        <v>70</v>
      </c>
      <c r="P12" s="5" t="s">
        <v>70</v>
      </c>
      <c r="Q12" s="5" t="s">
        <v>70</v>
      </c>
      <c r="R12" s="5" t="s">
        <v>70</v>
      </c>
      <c r="S12" s="148" t="s">
        <v>70</v>
      </c>
      <c r="T12" s="131" t="s">
        <v>70</v>
      </c>
      <c r="U12" s="5" t="s">
        <v>70</v>
      </c>
      <c r="V12" s="5" t="s">
        <v>71</v>
      </c>
      <c r="W12" s="5" t="s">
        <v>71</v>
      </c>
      <c r="X12" s="5" t="s">
        <v>71</v>
      </c>
      <c r="Y12" s="5" t="s">
        <v>71</v>
      </c>
      <c r="Z12" s="5" t="s">
        <v>71</v>
      </c>
      <c r="AA12" s="5" t="s">
        <v>71</v>
      </c>
      <c r="AB12" s="5" t="s">
        <v>71</v>
      </c>
      <c r="AC12" s="73"/>
      <c r="AE12" s="178"/>
      <c r="AF12" s="179" t="s">
        <v>47</v>
      </c>
      <c r="AG12" s="178" t="s">
        <v>72</v>
      </c>
      <c r="AH12" s="178">
        <v>12462</v>
      </c>
      <c r="AI12" s="178">
        <v>12179</v>
      </c>
      <c r="AJ12" s="180" t="str">
        <f>IF(TableauSuiviSprint_Init[[#This Row],[N° feature]]&lt;&gt;"",VLOOKUP(TableauSuiviSprint_Init[[#This Row],[N° feature]],SSG_Features[[#All],[ID]:[Tags]],3,FALSE),"")</f>
        <v>[DESIGNER] I230630_179 Impossibilité de rééditer une partie des courriers allocataires concernant les décisions de sanction</v>
      </c>
      <c r="AK12" s="181" t="s">
        <v>73</v>
      </c>
      <c r="AL12" s="182">
        <v>8</v>
      </c>
      <c r="AM12" s="180" t="s">
        <v>74</v>
      </c>
      <c r="AN12" s="183">
        <v>1</v>
      </c>
      <c r="AO12" s="184">
        <v>5</v>
      </c>
      <c r="AP12" s="184">
        <v>1</v>
      </c>
      <c r="AQ12" s="184">
        <f>TableauSuiviSprint_Init[[#This Row],[Dev]]+TableauSuiviSprint_Init[[#This Row],[TC / MR]]</f>
        <v>6</v>
      </c>
      <c r="AR12" s="240" t="s">
        <v>75</v>
      </c>
      <c r="AS12">
        <v>2</v>
      </c>
      <c r="AT12" s="9">
        <f>TableauSuiviSprint_Init[[#This Row],[H. Dev]]+TableauSuiviSprint_Init[[#This Row],[H. Qualif]]</f>
        <v>8</v>
      </c>
      <c r="AU12">
        <f>TableauSuiviSprint_Init[[#This Row],[Init]]</f>
        <v>8</v>
      </c>
      <c r="AV12">
        <f>TableauSuiviSprint_Init[[#This Row],[Init]]</f>
        <v>8</v>
      </c>
      <c r="AW12">
        <f>TableauSuiviSprint_Init[[#This Row],[J2]]</f>
        <v>8</v>
      </c>
      <c r="AX12">
        <f>TableauSuiviSprint_Init[[#This Row],[J3]]</f>
        <v>8</v>
      </c>
      <c r="AY12" s="216">
        <f>TableauSuiviSprint_Init[[#This Row],[J4]]</f>
        <v>8</v>
      </c>
      <c r="AZ12" s="186">
        <f>TableauSuiviSprint_Init[[#This Row],[J5]]</f>
        <v>8</v>
      </c>
      <c r="BA12" s="191">
        <f>TableauSuiviSprint_Init[[#This Row],[J6]]</f>
        <v>8</v>
      </c>
      <c r="BB12" s="191">
        <f>TableauSuiviSprint_Init[[#This Row],[J7]]</f>
        <v>8</v>
      </c>
      <c r="BC12" s="191">
        <f>TableauSuiviSprint_Init[[#This Row],[J8]]</f>
        <v>8</v>
      </c>
      <c r="BD12" s="213">
        <f>TableauSuiviSprint_Init[[#This Row],[J9]]</f>
        <v>8</v>
      </c>
    </row>
    <row r="13" spans="1:56" ht="30.75" customHeight="1" x14ac:dyDescent="0.25">
      <c r="A13" s="311">
        <f>[1]Planning!$PZ$9</f>
        <v>10</v>
      </c>
      <c r="B13" s="52" t="s">
        <v>76</v>
      </c>
      <c r="C13" s="137">
        <v>0.5</v>
      </c>
      <c r="D13" s="110">
        <f>COUNTA(J13:AC13)/2 +COUNTBLANK(J13:AC13)/2 -COUNTIFS(J13:AC13,"O")/2 - COUNTIFS(J13:AC13,"A")/2</f>
        <v>7.5</v>
      </c>
      <c r="E13" s="82">
        <f>COUNTIF($J13:$AC13,"&lt;&gt;o" )/2*C13 -SUM($F13:$I13)</f>
        <v>1.25</v>
      </c>
      <c r="F13" s="74">
        <f>COUNTIF($J13:$AC13,"S")/2*C13</f>
        <v>0</v>
      </c>
      <c r="G13" s="74">
        <f>COUNTIF($J13:$AC13,"Q")/2*C13</f>
        <v>0</v>
      </c>
      <c r="H13" s="74">
        <f>COUNTIF($J13:$AC13,"T")/2*C13</f>
        <v>0</v>
      </c>
      <c r="I13" s="142">
        <f>COUNTIF($J13:$AC13,"D")/2*C13</f>
        <v>2.5</v>
      </c>
      <c r="J13" s="131"/>
      <c r="K13" s="5"/>
      <c r="L13" s="5"/>
      <c r="M13" s="5"/>
      <c r="N13" s="5"/>
      <c r="O13" s="5" t="s">
        <v>52</v>
      </c>
      <c r="P13" s="5" t="s">
        <v>52</v>
      </c>
      <c r="Q13" s="5" t="s">
        <v>52</v>
      </c>
      <c r="R13" s="5" t="s">
        <v>52</v>
      </c>
      <c r="S13" s="148" t="s">
        <v>52</v>
      </c>
      <c r="T13" s="131" t="s">
        <v>52</v>
      </c>
      <c r="U13" s="5" t="s">
        <v>52</v>
      </c>
      <c r="V13" s="5" t="s">
        <v>52</v>
      </c>
      <c r="W13" s="5" t="s">
        <v>52</v>
      </c>
      <c r="X13" s="5" t="s">
        <v>52</v>
      </c>
      <c r="Y13" s="5" t="s">
        <v>54</v>
      </c>
      <c r="Z13" s="5" t="s">
        <v>54</v>
      </c>
      <c r="AA13" s="5" t="s">
        <v>54</v>
      </c>
      <c r="AB13" s="5" t="s">
        <v>54</v>
      </c>
      <c r="AC13" s="73" t="s">
        <v>54</v>
      </c>
      <c r="AF13" s="132" t="s">
        <v>47</v>
      </c>
      <c r="AG13" t="s">
        <v>55</v>
      </c>
      <c r="AH13">
        <v>10684</v>
      </c>
      <c r="AI13">
        <v>9308</v>
      </c>
      <c r="AJ13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AK13" s="6" t="s">
        <v>56</v>
      </c>
      <c r="AL13" s="7">
        <v>9</v>
      </c>
      <c r="AM13" s="11" t="s">
        <v>77</v>
      </c>
      <c r="AN13" s="32">
        <v>2</v>
      </c>
      <c r="AO13" s="50">
        <v>9</v>
      </c>
      <c r="AP13" s="50">
        <v>2</v>
      </c>
      <c r="AQ13" s="30">
        <f>TableauSuiviSprint_Init[[#This Row],[Dev]]+TableauSuiviSprint_Init[[#This Row],[TC / MR]]</f>
        <v>11</v>
      </c>
      <c r="AR13" s="88">
        <v>9</v>
      </c>
      <c r="AS13">
        <v>4</v>
      </c>
      <c r="AT13" s="9">
        <f>TableauSuiviSprint_Init[[#This Row],[H. Dev]]+TableauSuiviSprint_Init[[#This Row],[H. Qualif]]</f>
        <v>15</v>
      </c>
      <c r="AU13">
        <f>TableauSuiviSprint_Init[[#This Row],[Init]]</f>
        <v>15</v>
      </c>
      <c r="AV13">
        <f>TableauSuiviSprint_Init[[#This Row],[Init]]</f>
        <v>15</v>
      </c>
      <c r="AW13">
        <f>TableauSuiviSprint_Init[[#This Row],[J2]]</f>
        <v>15</v>
      </c>
      <c r="AX13" s="177">
        <f>TableauSuiviSprint_Init[[#This Row],[J3]]</f>
        <v>15</v>
      </c>
      <c r="AY13" s="177">
        <f>TableauSuiviSprint_Init[[#This Row],[J4]]</f>
        <v>15</v>
      </c>
      <c r="AZ13" s="177">
        <f>TableauSuiviSprint_Init[[#This Row],[J5]]</f>
        <v>15</v>
      </c>
      <c r="BA13" s="190">
        <f>TableauSuiviSprint_Init[[#This Row],[J6]]</f>
        <v>15</v>
      </c>
      <c r="BB13" s="190">
        <f>TableauSuiviSprint_Init[[#This Row],[J7]]</f>
        <v>15</v>
      </c>
      <c r="BC13" s="191">
        <f>TableauSuiviSprint_Init[[#This Row],[J8]]</f>
        <v>15</v>
      </c>
      <c r="BD13" s="213">
        <f>TableauSuiviSprint_Init[[#This Row],[J9]]</f>
        <v>15</v>
      </c>
    </row>
    <row r="14" spans="1:56" ht="31.5" customHeight="1" x14ac:dyDescent="0.25">
      <c r="A14" s="311"/>
      <c r="B14" s="52" t="s">
        <v>76</v>
      </c>
      <c r="C14" s="137">
        <v>0.75</v>
      </c>
      <c r="D14" s="110">
        <f>COUNTA(J14:AC14)/2 +COUNTBLANK(J14:AC14)/2 -COUNTIFS(J14:AC14,"O")/2 - COUNTIFS(J14:AC14,"A")/2</f>
        <v>2.5</v>
      </c>
      <c r="E14" s="82">
        <f>COUNTIF($J14:$AC14,"&lt;&gt;o" )/2*C14 -SUM($F14:$I14)</f>
        <v>0.75</v>
      </c>
      <c r="F14" s="74">
        <f>COUNTIF($J14:$AC14,"S")/2*C14</f>
        <v>0</v>
      </c>
      <c r="G14" s="74">
        <f>COUNTIF($J14:$AC14,"Q")/2*C14</f>
        <v>0</v>
      </c>
      <c r="H14" s="74">
        <f>COUNTIF($J14:$AC14,"T")/2*C14</f>
        <v>1.125</v>
      </c>
      <c r="I14" s="142">
        <f>COUNTIF($J14:$AC14,"D")/2*C14</f>
        <v>0</v>
      </c>
      <c r="J14" s="145" t="s">
        <v>54</v>
      </c>
      <c r="K14" s="29" t="s">
        <v>54</v>
      </c>
      <c r="L14" s="29" t="s">
        <v>54</v>
      </c>
      <c r="M14" s="29" t="s">
        <v>54</v>
      </c>
      <c r="N14" s="29" t="s">
        <v>54</v>
      </c>
      <c r="O14" s="29" t="s">
        <v>54</v>
      </c>
      <c r="P14" s="29" t="s">
        <v>54</v>
      </c>
      <c r="Q14" s="29" t="s">
        <v>54</v>
      </c>
      <c r="R14" s="29" t="s">
        <v>54</v>
      </c>
      <c r="S14" s="149" t="s">
        <v>54</v>
      </c>
      <c r="T14" s="145" t="s">
        <v>54</v>
      </c>
      <c r="U14" s="29" t="s">
        <v>54</v>
      </c>
      <c r="V14" s="5" t="s">
        <v>54</v>
      </c>
      <c r="W14" s="29" t="s">
        <v>54</v>
      </c>
      <c r="X14" s="29" t="s">
        <v>54</v>
      </c>
      <c r="Y14" s="29" t="s">
        <v>59</v>
      </c>
      <c r="Z14" s="29" t="s">
        <v>59</v>
      </c>
      <c r="AA14" s="29" t="s">
        <v>59</v>
      </c>
      <c r="AB14" s="29"/>
      <c r="AC14" s="28"/>
      <c r="AE14" s="168"/>
      <c r="AF14" s="169" t="s">
        <v>47</v>
      </c>
      <c r="AG14" s="168" t="s">
        <v>55</v>
      </c>
      <c r="AH14" s="168">
        <v>10704</v>
      </c>
      <c r="AI14" s="168">
        <v>9308</v>
      </c>
      <c r="AJ14" s="170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AK14" s="171" t="s">
        <v>56</v>
      </c>
      <c r="AL14" s="172">
        <v>10</v>
      </c>
      <c r="AM14" s="170" t="s">
        <v>78</v>
      </c>
      <c r="AN14" s="173">
        <v>2</v>
      </c>
      <c r="AO14" s="174">
        <v>9</v>
      </c>
      <c r="AP14" s="174">
        <v>2</v>
      </c>
      <c r="AQ14" s="174">
        <f>TableauSuiviSprint_Init[[#This Row],[Dev]]+TableauSuiviSprint_Init[[#This Row],[TC / MR]]</f>
        <v>11</v>
      </c>
      <c r="AR14" s="120">
        <v>8</v>
      </c>
      <c r="AS14" s="119">
        <v>3</v>
      </c>
      <c r="AT14" s="121">
        <f>TableauSuiviSprint_Init[[#This Row],[H. Dev]]+TableauSuiviSprint_Init[[#This Row],[H. Qualif]]</f>
        <v>14</v>
      </c>
      <c r="AU14" s="115">
        <f>TableauSuiviSprint_Init[[#This Row],[Init]]</f>
        <v>14</v>
      </c>
      <c r="AV14" s="115">
        <f>TableauSuiviSprint_Init[[#This Row],[Init]]</f>
        <v>14</v>
      </c>
      <c r="AW14" s="115">
        <f>TableauSuiviSprint_Init[[#This Row],[J2]]</f>
        <v>14</v>
      </c>
      <c r="AX14" s="115">
        <f>TableauSuiviSprint_Init[[#This Row],[J3]]</f>
        <v>14</v>
      </c>
      <c r="AY14" s="215">
        <f>TableauSuiviSprint_Init[[#This Row],[J4]]</f>
        <v>14</v>
      </c>
      <c r="AZ14" s="215">
        <f>TableauSuiviSprint_Init[[#This Row],[J5]]</f>
        <v>14</v>
      </c>
      <c r="BA14" s="215">
        <f>TableauSuiviSprint_Init[[#This Row],[J6]]</f>
        <v>14</v>
      </c>
      <c r="BB14" s="227">
        <f>TableauSuiviSprint_Init[[#This Row],[J7]]</f>
        <v>14</v>
      </c>
      <c r="BC14" s="228">
        <f>TableauSuiviSprint_Init[[#This Row],[J8]]</f>
        <v>14</v>
      </c>
      <c r="BD14" s="231">
        <f>TableauSuiviSprint_Init[[#This Row],[J9]]</f>
        <v>14</v>
      </c>
    </row>
    <row r="15" spans="1:56" s="30" customFormat="1" ht="29.25" customHeight="1" x14ac:dyDescent="0.25">
      <c r="A15" s="118">
        <f>[1]Planning!$PZ$16</f>
        <v>10</v>
      </c>
      <c r="B15" s="53" t="s">
        <v>79</v>
      </c>
      <c r="C15" s="137">
        <v>1</v>
      </c>
      <c r="D15" s="110">
        <f t="shared" si="1"/>
        <v>10</v>
      </c>
      <c r="E15" s="82">
        <f t="shared" si="2"/>
        <v>1</v>
      </c>
      <c r="F15" s="74">
        <f t="shared" si="3"/>
        <v>2.5</v>
      </c>
      <c r="G15" s="74">
        <f t="shared" si="4"/>
        <v>6.5</v>
      </c>
      <c r="H15" s="74">
        <f t="shared" si="5"/>
        <v>0</v>
      </c>
      <c r="I15" s="142">
        <f t="shared" si="0"/>
        <v>0</v>
      </c>
      <c r="J15" s="131"/>
      <c r="K15" s="5"/>
      <c r="L15" s="5" t="s">
        <v>70</v>
      </c>
      <c r="M15" s="5" t="s">
        <v>70</v>
      </c>
      <c r="N15" s="5" t="s">
        <v>70</v>
      </c>
      <c r="O15" s="5" t="s">
        <v>70</v>
      </c>
      <c r="P15" s="5" t="s">
        <v>70</v>
      </c>
      <c r="Q15" s="5" t="s">
        <v>71</v>
      </c>
      <c r="R15" s="5" t="s">
        <v>71</v>
      </c>
      <c r="S15" s="148" t="s">
        <v>71</v>
      </c>
      <c r="T15" s="131" t="s">
        <v>71</v>
      </c>
      <c r="U15" s="5" t="s">
        <v>71</v>
      </c>
      <c r="V15" s="5" t="s">
        <v>71</v>
      </c>
      <c r="W15" s="5" t="s">
        <v>71</v>
      </c>
      <c r="X15" s="5" t="s">
        <v>71</v>
      </c>
      <c r="Y15" s="5" t="s">
        <v>71</v>
      </c>
      <c r="Z15" s="5" t="s">
        <v>71</v>
      </c>
      <c r="AA15" s="5" t="s">
        <v>71</v>
      </c>
      <c r="AB15" s="5" t="s">
        <v>71</v>
      </c>
      <c r="AC15" s="28" t="s">
        <v>71</v>
      </c>
      <c r="AE15" s="30" t="s">
        <v>80</v>
      </c>
      <c r="AF15" s="30" t="s">
        <v>81</v>
      </c>
      <c r="AG15" s="30" t="s">
        <v>82</v>
      </c>
      <c r="AH15" s="30">
        <v>10799</v>
      </c>
      <c r="AI15" s="30">
        <v>9238</v>
      </c>
      <c r="AJ15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AK15" s="6" t="s">
        <v>83</v>
      </c>
      <c r="AL15" s="7" t="s">
        <v>84</v>
      </c>
      <c r="AM15" s="11" t="s">
        <v>85</v>
      </c>
      <c r="AN15" s="175">
        <v>2</v>
      </c>
      <c r="AO15" s="211">
        <v>14</v>
      </c>
      <c r="AP15" s="50">
        <v>4</v>
      </c>
      <c r="AQ15" s="30">
        <f>TableauSuiviSprint_Init[[#This Row],[Dev]]+TableauSuiviSprint_Init[[#This Row],[TC / MR]]</f>
        <v>18</v>
      </c>
      <c r="AR15" s="88">
        <v>10</v>
      </c>
      <c r="AS15" s="30">
        <v>0</v>
      </c>
      <c r="AT15" s="9">
        <f>TableauSuiviSprint_Init[[#This Row],[H. Dev]]+TableauSuiviSprint_Init[[#This Row],[H. Qualif]]</f>
        <v>18</v>
      </c>
      <c r="AU15" s="189">
        <f>TableauSuiviSprint_Init[[#This Row],[Init]]</f>
        <v>18</v>
      </c>
      <c r="AV15" s="185">
        <f>TableauSuiviSprint_Init[[#This Row],[Init]]</f>
        <v>18</v>
      </c>
      <c r="AW15" s="185">
        <f>TableauSuiviSprint_Init[[#This Row],[J2]]</f>
        <v>18</v>
      </c>
      <c r="AX15" s="191">
        <f>TableauSuiviSprint_Init[[#This Row],[J3]]</f>
        <v>18</v>
      </c>
      <c r="AY15" s="191">
        <f>TableauSuiviSprint_Init[[#This Row],[J4]]</f>
        <v>18</v>
      </c>
      <c r="AZ15" s="191">
        <f>TableauSuiviSprint_Init[[#This Row],[J5]]</f>
        <v>18</v>
      </c>
      <c r="BA15" s="191">
        <f>TableauSuiviSprint_Init[[#This Row],[J6]]</f>
        <v>18</v>
      </c>
      <c r="BB15" s="191">
        <f>TableauSuiviSprint_Init[[#This Row],[J7]]</f>
        <v>18</v>
      </c>
      <c r="BC15" s="191">
        <f>TableauSuiviSprint_Init[[#This Row],[J8]]</f>
        <v>18</v>
      </c>
      <c r="BD15" s="236">
        <f>TableauSuiviSprint_Init[[#This Row],[J9]]</f>
        <v>18</v>
      </c>
    </row>
    <row r="16" spans="1:56" s="30" customFormat="1" ht="60" x14ac:dyDescent="0.25">
      <c r="A16" s="118">
        <f>[1]Planning!$PZ$12</f>
        <v>1</v>
      </c>
      <c r="B16" s="53" t="s">
        <v>86</v>
      </c>
      <c r="C16" s="137">
        <v>1</v>
      </c>
      <c r="D16" s="110">
        <f t="shared" si="1"/>
        <v>1</v>
      </c>
      <c r="E16" s="82">
        <f t="shared" si="2"/>
        <v>9</v>
      </c>
      <c r="F16" s="74">
        <f t="shared" si="3"/>
        <v>0</v>
      </c>
      <c r="G16" s="74">
        <f t="shared" si="4"/>
        <v>0</v>
      </c>
      <c r="H16" s="74">
        <f t="shared" si="5"/>
        <v>1</v>
      </c>
      <c r="I16" s="142">
        <f t="shared" si="0"/>
        <v>0</v>
      </c>
      <c r="J16" s="131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148" t="s">
        <v>87</v>
      </c>
      <c r="T16" s="131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60</v>
      </c>
      <c r="AA16" s="5" t="s">
        <v>60</v>
      </c>
      <c r="AB16" s="5" t="s">
        <v>87</v>
      </c>
      <c r="AC16" s="28" t="s">
        <v>87</v>
      </c>
      <c r="AE16" s="30" t="s">
        <v>88</v>
      </c>
      <c r="AF16" s="30" t="s">
        <v>81</v>
      </c>
      <c r="AG16" s="30" t="s">
        <v>89</v>
      </c>
      <c r="AH16" s="30">
        <v>12346</v>
      </c>
      <c r="AI16" s="30">
        <v>9576</v>
      </c>
      <c r="AJ16" s="11" t="str">
        <f>IF(TableauSuiviSprint_Init[[#This Row],[N° feature]]&lt;&gt;"",VLOOKUP(TableauSuiviSprint_Init[[#This Row],[N° feature]],SSG_Features[[#All],[ID]:[Tags]],3,FALSE),"")</f>
        <v>S230109_256 : Lot 1 - Ecran statistiques + Enrichir l'écran de détail de l'adhérent</v>
      </c>
      <c r="AK16" s="6" t="s">
        <v>90</v>
      </c>
      <c r="AL16" s="7" t="s">
        <v>84</v>
      </c>
      <c r="AM16" s="11" t="s">
        <v>91</v>
      </c>
      <c r="AN16" s="127">
        <v>0</v>
      </c>
      <c r="AO16" s="50">
        <v>3</v>
      </c>
      <c r="AP16" s="50">
        <v>1</v>
      </c>
      <c r="AQ16" s="30">
        <f>TableauSuiviSprint_Init[[#This Row],[Dev]]+TableauSuiviSprint_Init[[#This Row],[TC / MR]]</f>
        <v>4</v>
      </c>
      <c r="AR16" s="88">
        <v>2</v>
      </c>
      <c r="AS16" s="30">
        <v>2</v>
      </c>
      <c r="AT16" s="9">
        <f>TableauSuiviSprint_Init[[#This Row],[H. Dev]]+TableauSuiviSprint_Init[[#This Row],[H. Qualif]]</f>
        <v>6</v>
      </c>
      <c r="AU16" s="190">
        <f>TableauSuiviSprint_Init[[#This Row],[Init]]</f>
        <v>6</v>
      </c>
      <c r="AV16" s="191">
        <f>TableauSuiviSprint_Init[[#This Row],[Init]]</f>
        <v>6</v>
      </c>
      <c r="AW16" s="191">
        <f>TableauSuiviSprint_Init[[#This Row],[J2]]</f>
        <v>6</v>
      </c>
      <c r="AX16" s="191">
        <f>TableauSuiviSprint_Init[[#This Row],[J3]]</f>
        <v>6</v>
      </c>
      <c r="AY16" s="191">
        <f>TableauSuiviSprint_Init[[#This Row],[J4]]</f>
        <v>6</v>
      </c>
      <c r="AZ16" s="191">
        <f>TableauSuiviSprint_Init[[#This Row],[J5]]</f>
        <v>6</v>
      </c>
      <c r="BA16" s="191">
        <f>TableauSuiviSprint_Init[[#This Row],[J6]]</f>
        <v>6</v>
      </c>
      <c r="BB16" s="191">
        <f>TableauSuiviSprint_Init[[#This Row],[J7]]</f>
        <v>6</v>
      </c>
      <c r="BC16" s="191">
        <f>TableauSuiviSprint_Init[[#This Row],[J8]]</f>
        <v>6</v>
      </c>
      <c r="BD16" s="236">
        <f>TableauSuiviSprint_Init[[#This Row],[J9]]</f>
        <v>6</v>
      </c>
    </row>
    <row r="17" spans="1:56" ht="30" x14ac:dyDescent="0.25">
      <c r="A17" s="117">
        <f>[1]Planning!$PZ$10</f>
        <v>0</v>
      </c>
      <c r="B17" s="53" t="s">
        <v>92</v>
      </c>
      <c r="C17" s="137">
        <v>0.75</v>
      </c>
      <c r="D17" s="110">
        <f t="shared" si="1"/>
        <v>0</v>
      </c>
      <c r="E17" s="82">
        <f t="shared" si="2"/>
        <v>0</v>
      </c>
      <c r="F17" s="74">
        <f t="shared" si="3"/>
        <v>0</v>
      </c>
      <c r="G17" s="74">
        <f t="shared" si="4"/>
        <v>0</v>
      </c>
      <c r="H17" s="74">
        <f t="shared" si="5"/>
        <v>0</v>
      </c>
      <c r="I17" s="142">
        <f t="shared" si="0"/>
        <v>0</v>
      </c>
      <c r="J17" s="131" t="s">
        <v>54</v>
      </c>
      <c r="K17" s="5" t="s">
        <v>54</v>
      </c>
      <c r="L17" s="5" t="s">
        <v>54</v>
      </c>
      <c r="M17" s="5" t="s">
        <v>54</v>
      </c>
      <c r="N17" s="5" t="s">
        <v>54</v>
      </c>
      <c r="O17" s="5" t="s">
        <v>54</v>
      </c>
      <c r="P17" s="5" t="s">
        <v>54</v>
      </c>
      <c r="Q17" s="5" t="s">
        <v>54</v>
      </c>
      <c r="R17" s="5" t="s">
        <v>54</v>
      </c>
      <c r="S17" s="148" t="s">
        <v>54</v>
      </c>
      <c r="T17" s="131" t="s">
        <v>54</v>
      </c>
      <c r="U17" s="5" t="s">
        <v>54</v>
      </c>
      <c r="V17" s="5" t="s">
        <v>54</v>
      </c>
      <c r="W17" s="5" t="s">
        <v>54</v>
      </c>
      <c r="X17" s="5" t="s">
        <v>54</v>
      </c>
      <c r="Y17" s="5" t="s">
        <v>54</v>
      </c>
      <c r="Z17" s="5" t="s">
        <v>54</v>
      </c>
      <c r="AA17" s="5" t="s">
        <v>54</v>
      </c>
      <c r="AB17" s="5" t="s">
        <v>54</v>
      </c>
      <c r="AC17" s="28" t="s">
        <v>54</v>
      </c>
      <c r="AE17" s="2" t="s">
        <v>93</v>
      </c>
      <c r="AF17" s="151" t="s">
        <v>81</v>
      </c>
      <c r="AG17" s="2" t="s">
        <v>94</v>
      </c>
      <c r="AH17" s="2">
        <v>11950</v>
      </c>
      <c r="AI17" s="2">
        <v>5159</v>
      </c>
      <c r="AJ17" s="152" t="str">
        <f>IF(TableauSuiviSprint_Init[[#This Row],[N° feature]]&lt;&gt;"",VLOOKUP(TableauSuiviSprint_Init[[#This Row],[N° feature]],SSG_Features[[#All],[ID]:[Tags]],3,FALSE),"")</f>
        <v>[WEB] GÉRER LES UTILISATEURS</v>
      </c>
      <c r="AK17" s="153" t="s">
        <v>95</v>
      </c>
      <c r="AL17" s="154" t="s">
        <v>96</v>
      </c>
      <c r="AM17" s="152" t="s">
        <v>97</v>
      </c>
      <c r="AN17" s="155">
        <v>2</v>
      </c>
      <c r="AO17" s="156">
        <v>8</v>
      </c>
      <c r="AP17" s="157">
        <v>3</v>
      </c>
      <c r="AQ17" s="158">
        <f>TableauSuiviSprint_Init[[#This Row],[Dev]]+TableauSuiviSprint_Init[[#This Row],[TC / MR]]</f>
        <v>11</v>
      </c>
      <c r="AR17" s="88">
        <v>28</v>
      </c>
      <c r="AS17">
        <v>0</v>
      </c>
      <c r="AT17" s="9">
        <f>TableauSuiviSprint_Init[[#This Row],[H. Dev]]+TableauSuiviSprint_Init[[#This Row],[H. Qualif]]</f>
        <v>11</v>
      </c>
      <c r="AU17" s="9">
        <f>TableauSuiviSprint_Init[[#This Row],[Init]]</f>
        <v>11</v>
      </c>
      <c r="AV17" s="9">
        <f>TableauSuiviSprint_Init[[#This Row],[Init]]</f>
        <v>11</v>
      </c>
      <c r="AW17" s="9">
        <f>TableauSuiviSprint_Init[[#This Row],[J2]]</f>
        <v>11</v>
      </c>
      <c r="AX17" s="9">
        <f>TableauSuiviSprint_Init[[#This Row],[J3]]</f>
        <v>11</v>
      </c>
      <c r="AY17" s="9">
        <f>TableauSuiviSprint_Init[[#This Row],[J4]]</f>
        <v>11</v>
      </c>
      <c r="AZ17" s="9">
        <f>TableauSuiviSprint_Init[[#This Row],[J5]]</f>
        <v>11</v>
      </c>
      <c r="BA17" s="216">
        <f>TableauSuiviSprint_Init[[#This Row],[J6]]</f>
        <v>11</v>
      </c>
      <c r="BB17" s="216">
        <f>TableauSuiviSprint_Init[[#This Row],[J7]]</f>
        <v>11</v>
      </c>
      <c r="BC17" s="216">
        <f>TableauSuiviSprint_Init[[#This Row],[J8]]</f>
        <v>11</v>
      </c>
      <c r="BD17" s="216">
        <f>TableauSuiviSprint_Init[[#This Row],[J9]]</f>
        <v>11</v>
      </c>
    </row>
    <row r="18" spans="1:56" ht="39" customHeight="1" x14ac:dyDescent="0.25">
      <c r="A18" s="117">
        <f>[1]Planning!$PZ$11</f>
        <v>8</v>
      </c>
      <c r="B18" s="53" t="s">
        <v>98</v>
      </c>
      <c r="C18" s="137">
        <v>1</v>
      </c>
      <c r="D18" s="110">
        <f t="shared" si="1"/>
        <v>8</v>
      </c>
      <c r="E18" s="82">
        <f t="shared" si="2"/>
        <v>8</v>
      </c>
      <c r="F18" s="74">
        <f t="shared" si="3"/>
        <v>0</v>
      </c>
      <c r="G18" s="74">
        <f t="shared" si="4"/>
        <v>0</v>
      </c>
      <c r="H18" s="74">
        <f t="shared" si="5"/>
        <v>0</v>
      </c>
      <c r="I18" s="142">
        <f t="shared" si="0"/>
        <v>0</v>
      </c>
      <c r="J18" s="131"/>
      <c r="K18" s="5"/>
      <c r="L18" s="5"/>
      <c r="M18" s="5"/>
      <c r="N18" s="5" t="s">
        <v>54</v>
      </c>
      <c r="O18" s="5" t="s">
        <v>54</v>
      </c>
      <c r="P18" s="5"/>
      <c r="Q18" s="5"/>
      <c r="R18" s="5"/>
      <c r="S18" s="148"/>
      <c r="T18" s="131"/>
      <c r="U18" s="5"/>
      <c r="V18" s="5" t="s">
        <v>99</v>
      </c>
      <c r="W18" s="5" t="s">
        <v>99</v>
      </c>
      <c r="X18" s="5" t="s">
        <v>54</v>
      </c>
      <c r="Y18" s="5" t="s">
        <v>54</v>
      </c>
      <c r="Z18" s="5" t="s">
        <v>99</v>
      </c>
      <c r="AA18" s="5" t="s">
        <v>99</v>
      </c>
      <c r="AB18" s="5"/>
      <c r="AC18" s="28"/>
      <c r="AE18" t="s">
        <v>100</v>
      </c>
      <c r="AF18" t="s">
        <v>81</v>
      </c>
      <c r="AG18" s="30" t="s">
        <v>82</v>
      </c>
      <c r="AH18">
        <v>12281</v>
      </c>
      <c r="AI18">
        <v>9238</v>
      </c>
      <c r="AJ18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AK18" s="6" t="s">
        <v>83</v>
      </c>
      <c r="AL18" s="7" t="s">
        <v>101</v>
      </c>
      <c r="AM18" s="11" t="s">
        <v>102</v>
      </c>
      <c r="AN18" s="32">
        <v>1</v>
      </c>
      <c r="AO18" s="32">
        <v>7</v>
      </c>
      <c r="AP18" s="50">
        <v>2</v>
      </c>
      <c r="AQ18" s="30">
        <f>TableauSuiviSprint_Init[[#This Row],[Dev]]+TableauSuiviSprint_Init[[#This Row],[TC / MR]]</f>
        <v>9</v>
      </c>
      <c r="AR18" s="88">
        <v>2</v>
      </c>
      <c r="AS18" s="30">
        <v>2</v>
      </c>
      <c r="AT18" s="9">
        <f>TableauSuiviSprint_Init[[#This Row],[H. Dev]]+TableauSuiviSprint_Init[[#This Row],[H. Qualif]]</f>
        <v>11</v>
      </c>
      <c r="AU18" s="185">
        <f>TableauSuiviSprint_Init[[#This Row],[Init]]</f>
        <v>11</v>
      </c>
      <c r="AV18" s="185">
        <f>TableauSuiviSprint_Init[[#This Row],[Init]]</f>
        <v>11</v>
      </c>
      <c r="AW18" s="193">
        <f>TableauSuiviSprint_Init[[#This Row],[J2]]</f>
        <v>11</v>
      </c>
      <c r="AX18" s="193">
        <f>TableauSuiviSprint_Init[[#This Row],[J3]]</f>
        <v>11</v>
      </c>
      <c r="AY18" s="193">
        <f>TableauSuiviSprint_Init[[#This Row],[J4]]</f>
        <v>11</v>
      </c>
      <c r="AZ18" s="193">
        <f>TableauSuiviSprint_Init[[#This Row],[J5]]</f>
        <v>11</v>
      </c>
      <c r="BA18" s="219">
        <f>TableauSuiviSprint_Init[[#This Row],[J6]]</f>
        <v>11</v>
      </c>
      <c r="BB18" s="191">
        <f>TableauSuiviSprint_Init[[#This Row],[J7]]</f>
        <v>11</v>
      </c>
      <c r="BC18" s="191">
        <f>TableauSuiviSprint_Init[[#This Row],[J8]]</f>
        <v>11</v>
      </c>
      <c r="BD18" s="236">
        <f>TableauSuiviSprint_Init[[#This Row],[J9]]</f>
        <v>11</v>
      </c>
    </row>
    <row r="19" spans="1:56" ht="75" x14ac:dyDescent="0.25">
      <c r="A19" s="302">
        <f>[1]Planning!$PZ$15</f>
        <v>10</v>
      </c>
      <c r="B19" s="52" t="s">
        <v>103</v>
      </c>
      <c r="C19" s="137">
        <v>0.5</v>
      </c>
      <c r="D19" s="110">
        <f>COUNTA(J19:AC19)/2 +COUNTBLANK(J19:AC19)/2 -COUNTIFS(J19:AC19,"O")/2 - COUNTIFS(J19:AC19,"A")/2</f>
        <v>0</v>
      </c>
      <c r="E19" s="107">
        <f>COUNTIF($J19:$AC19,"&lt;&gt;o" )/2*C19 -SUM($F19:$I19)</f>
        <v>0</v>
      </c>
      <c r="F19" s="74">
        <f>COUNTIF($J19:$AC19,"S")/2*C19</f>
        <v>0</v>
      </c>
      <c r="G19" s="85">
        <f>COUNTIF($J19:$AC19,"Q")/2*C19</f>
        <v>0</v>
      </c>
      <c r="H19" s="85">
        <f>COUNTIF($J19:$AC19,"T")/2*C19</f>
        <v>0</v>
      </c>
      <c r="I19" s="130">
        <f>COUNTIF($J19:$AC19,"D")/2*C19</f>
        <v>0</v>
      </c>
      <c r="J19" s="131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  <c r="Q19" s="5" t="s">
        <v>54</v>
      </c>
      <c r="R19" s="5" t="s">
        <v>54</v>
      </c>
      <c r="S19" s="148" t="s">
        <v>54</v>
      </c>
      <c r="T19" s="145" t="s">
        <v>54</v>
      </c>
      <c r="U19" s="29" t="s">
        <v>54</v>
      </c>
      <c r="V19" s="29" t="s">
        <v>54</v>
      </c>
      <c r="W19" s="29" t="s">
        <v>54</v>
      </c>
      <c r="X19" s="29" t="s">
        <v>54</v>
      </c>
      <c r="Y19" s="29" t="s">
        <v>54</v>
      </c>
      <c r="Z19" s="29" t="s">
        <v>54</v>
      </c>
      <c r="AA19" s="29" t="s">
        <v>54</v>
      </c>
      <c r="AB19" s="29" t="s">
        <v>54</v>
      </c>
      <c r="AC19" s="73" t="s">
        <v>54</v>
      </c>
      <c r="AE19" t="s">
        <v>104</v>
      </c>
      <c r="AF19" t="s">
        <v>81</v>
      </c>
      <c r="AG19" s="30" t="s">
        <v>105</v>
      </c>
      <c r="AH19">
        <v>9317</v>
      </c>
      <c r="AI19">
        <v>7936</v>
      </c>
      <c r="AJ19" s="11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AK19" s="6" t="s">
        <v>90</v>
      </c>
      <c r="AL19" s="7" t="s">
        <v>52</v>
      </c>
      <c r="AM19" s="11" t="s">
        <v>106</v>
      </c>
      <c r="AN19" s="32">
        <v>2</v>
      </c>
      <c r="AO19" s="32">
        <v>14</v>
      </c>
      <c r="AP19" s="50">
        <v>4</v>
      </c>
      <c r="AQ19" s="30">
        <f>TableauSuiviSprint_Init[[#This Row],[Dev]]+TableauSuiviSprint_Init[[#This Row],[TC / MR]]</f>
        <v>18</v>
      </c>
      <c r="AR19" s="88">
        <v>17</v>
      </c>
      <c r="AS19">
        <v>13</v>
      </c>
      <c r="AT19" s="9">
        <f>TableauSuiviSprint_Init[[#This Row],[H. Dev]]+TableauSuiviSprint_Init[[#This Row],[H. Qualif]]</f>
        <v>31</v>
      </c>
      <c r="AU19" s="133">
        <f>TableauSuiviSprint_Init[[#This Row],[Init]]</f>
        <v>31</v>
      </c>
      <c r="AV19" s="187">
        <f>TableauSuiviSprint_Init[[#This Row],[Init]]</f>
        <v>31</v>
      </c>
      <c r="AW19" s="193">
        <f>TableauSuiviSprint_Init[[#This Row],[J2]]</f>
        <v>31</v>
      </c>
      <c r="AX19" s="193">
        <f>TableauSuiviSprint_Init[[#This Row],[J3]]</f>
        <v>31</v>
      </c>
      <c r="AY19" s="193">
        <f>TableauSuiviSprint_Init[[#This Row],[J4]]</f>
        <v>31</v>
      </c>
      <c r="AZ19" s="193">
        <f>TableauSuiviSprint_Init[[#This Row],[J5]]</f>
        <v>31</v>
      </c>
      <c r="BA19" s="193">
        <f>TableauSuiviSprint_Init[[#This Row],[J6]]</f>
        <v>31</v>
      </c>
      <c r="BB19" s="193">
        <f>TableauSuiviSprint_Init[[#This Row],[J7]]</f>
        <v>31</v>
      </c>
      <c r="BC19" s="229">
        <f>TableauSuiviSprint_Init[[#This Row],[J8]]</f>
        <v>31</v>
      </c>
      <c r="BD19" s="236">
        <f>TableauSuiviSprint_Init[[#This Row],[J9]]</f>
        <v>31</v>
      </c>
    </row>
    <row r="20" spans="1:56" ht="75" x14ac:dyDescent="0.25">
      <c r="A20" s="302"/>
      <c r="B20" s="52" t="s">
        <v>103</v>
      </c>
      <c r="C20" s="137">
        <v>0.75</v>
      </c>
      <c r="D20" s="110">
        <f t="shared" si="1"/>
        <v>10</v>
      </c>
      <c r="E20" s="107">
        <f t="shared" si="2"/>
        <v>0.75</v>
      </c>
      <c r="F20" s="74">
        <f t="shared" si="3"/>
        <v>0</v>
      </c>
      <c r="G20" s="85">
        <f t="shared" si="4"/>
        <v>0</v>
      </c>
      <c r="H20" s="85">
        <f t="shared" si="5"/>
        <v>6.75</v>
      </c>
      <c r="I20" s="130">
        <f t="shared" si="0"/>
        <v>0</v>
      </c>
      <c r="J20" s="131"/>
      <c r="K20" s="5" t="s">
        <v>59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  <c r="Q20" s="5" t="s">
        <v>59</v>
      </c>
      <c r="R20" s="5" t="s">
        <v>59</v>
      </c>
      <c r="S20" s="148" t="s">
        <v>59</v>
      </c>
      <c r="T20" s="145" t="s">
        <v>59</v>
      </c>
      <c r="U20" s="29" t="s">
        <v>59</v>
      </c>
      <c r="V20" s="29" t="s">
        <v>59</v>
      </c>
      <c r="W20" s="29" t="s">
        <v>59</v>
      </c>
      <c r="X20" s="29" t="s">
        <v>59</v>
      </c>
      <c r="Y20" s="29" t="s">
        <v>59</v>
      </c>
      <c r="Z20" s="29" t="s">
        <v>59</v>
      </c>
      <c r="AA20" s="29" t="s">
        <v>59</v>
      </c>
      <c r="AB20" s="29" t="s">
        <v>59</v>
      </c>
      <c r="AC20" s="73"/>
      <c r="AE20" t="s">
        <v>107</v>
      </c>
      <c r="AF20" t="s">
        <v>81</v>
      </c>
      <c r="AG20" s="30" t="s">
        <v>105</v>
      </c>
      <c r="AH20">
        <v>9318</v>
      </c>
      <c r="AI20">
        <v>7936</v>
      </c>
      <c r="AJ20" s="11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AK20" s="6" t="s">
        <v>90</v>
      </c>
      <c r="AL20" s="7" t="s">
        <v>108</v>
      </c>
      <c r="AM20" s="11" t="s">
        <v>109</v>
      </c>
      <c r="AN20" s="32">
        <v>1</v>
      </c>
      <c r="AO20" s="32">
        <v>7</v>
      </c>
      <c r="AP20" s="50">
        <v>2</v>
      </c>
      <c r="AQ20" s="30">
        <f>TableauSuiviSprint_Init[[#This Row],[Dev]]+TableauSuiviSprint_Init[[#This Row],[TC / MR]]</f>
        <v>9</v>
      </c>
      <c r="AR20" s="88">
        <v>8</v>
      </c>
      <c r="AS20" s="30">
        <v>3</v>
      </c>
      <c r="AT20" s="9">
        <f>TableauSuiviSprint_Init[[#This Row],[H. Dev]]+TableauSuiviSprint_Init[[#This Row],[H. Qualif]]</f>
        <v>12</v>
      </c>
      <c r="AU20">
        <f>TableauSuiviSprint_Init[[#This Row],[Init]]</f>
        <v>12</v>
      </c>
      <c r="AV20" s="133">
        <f>TableauSuiviSprint_Init[[#This Row],[Init]]</f>
        <v>12</v>
      </c>
      <c r="AW20" s="187">
        <f>TableauSuiviSprint_Init[[#This Row],[J2]]</f>
        <v>12</v>
      </c>
      <c r="AX20" s="193">
        <f>TableauSuiviSprint_Init[[#This Row],[J3]]</f>
        <v>12</v>
      </c>
      <c r="AY20" s="193">
        <f>TableauSuiviSprint_Init[[#This Row],[J4]]</f>
        <v>12</v>
      </c>
      <c r="AZ20" s="193">
        <f>TableauSuiviSprint_Init[[#This Row],[J5]]</f>
        <v>12</v>
      </c>
      <c r="BA20" s="134">
        <f>TableauSuiviSprint_Init[[#This Row],[J6]]</f>
        <v>12</v>
      </c>
      <c r="BB20" s="193">
        <f>TableauSuiviSprint_Init[[#This Row],[J7]]</f>
        <v>12</v>
      </c>
      <c r="BC20" s="191">
        <f>TableauSuiviSprint_Init[[#This Row],[J8]]</f>
        <v>12</v>
      </c>
      <c r="BD20" s="236">
        <f>TableauSuiviSprint_Init[[#This Row],[J9]]</f>
        <v>12</v>
      </c>
    </row>
    <row r="21" spans="1:56" ht="30" x14ac:dyDescent="0.25">
      <c r="A21" s="117">
        <f>[1]Planning!$PZ$22</f>
        <v>10</v>
      </c>
      <c r="B21" s="52" t="s">
        <v>110</v>
      </c>
      <c r="C21" s="137">
        <v>1</v>
      </c>
      <c r="D21" s="110">
        <f t="shared" si="1"/>
        <v>10</v>
      </c>
      <c r="E21" s="107">
        <f t="shared" si="2"/>
        <v>1</v>
      </c>
      <c r="F21" s="74">
        <f t="shared" si="3"/>
        <v>0</v>
      </c>
      <c r="G21" s="85">
        <f t="shared" si="4"/>
        <v>0</v>
      </c>
      <c r="H21" s="85">
        <f t="shared" si="5"/>
        <v>9</v>
      </c>
      <c r="I21" s="130">
        <f t="shared" si="0"/>
        <v>0</v>
      </c>
      <c r="J21" s="131"/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  <c r="Q21" s="5" t="s">
        <v>59</v>
      </c>
      <c r="R21" s="5" t="s">
        <v>59</v>
      </c>
      <c r="S21" s="148" t="s">
        <v>59</v>
      </c>
      <c r="T21" s="131" t="s">
        <v>59</v>
      </c>
      <c r="U21" s="5" t="s">
        <v>59</v>
      </c>
      <c r="V21" s="5" t="s">
        <v>59</v>
      </c>
      <c r="W21" s="5" t="s">
        <v>59</v>
      </c>
      <c r="X21" s="5" t="s">
        <v>59</v>
      </c>
      <c r="Y21" s="5" t="s">
        <v>59</v>
      </c>
      <c r="Z21" s="5" t="s">
        <v>59</v>
      </c>
      <c r="AA21" s="29" t="s">
        <v>59</v>
      </c>
      <c r="AB21" s="29" t="s">
        <v>59</v>
      </c>
      <c r="AC21" s="73"/>
      <c r="AE21" t="s">
        <v>111</v>
      </c>
      <c r="AF21" t="s">
        <v>81</v>
      </c>
      <c r="AG21" s="30" t="s">
        <v>82</v>
      </c>
      <c r="AH21">
        <v>10800</v>
      </c>
      <c r="AI21">
        <v>9238</v>
      </c>
      <c r="AJ21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AK21" s="6" t="s">
        <v>83</v>
      </c>
      <c r="AL21" s="7" t="s">
        <v>112</v>
      </c>
      <c r="AM21" s="11" t="s">
        <v>113</v>
      </c>
      <c r="AN21" s="32">
        <v>2</v>
      </c>
      <c r="AO21" s="32">
        <v>14</v>
      </c>
      <c r="AP21" s="50">
        <v>4</v>
      </c>
      <c r="AQ21" s="30">
        <f>TableauSuiviSprint_Init[[#This Row],[Dev]]+TableauSuiviSprint_Init[[#This Row],[TC / MR]]</f>
        <v>18</v>
      </c>
      <c r="AR21" s="88">
        <v>6</v>
      </c>
      <c r="AS21" s="30">
        <v>4</v>
      </c>
      <c r="AT21" s="9">
        <f>TableauSuiviSprint_Init[[#This Row],[H. Dev]]+TableauSuiviSprint_Init[[#This Row],[H. Qualif]]</f>
        <v>22</v>
      </c>
      <c r="AU21">
        <f>TableauSuiviSprint_Init[[#This Row],[Init]]</f>
        <v>22</v>
      </c>
      <c r="AV21">
        <f>TableauSuiviSprint_Init[[#This Row],[Init]]</f>
        <v>22</v>
      </c>
      <c r="AW21" s="188">
        <f>TableauSuiviSprint_Init[[#This Row],[J2]]</f>
        <v>22</v>
      </c>
      <c r="AX21" s="193">
        <f>TableauSuiviSprint_Init[[#This Row],[J3]]</f>
        <v>22</v>
      </c>
      <c r="AY21" s="193">
        <f>TableauSuiviSprint_Init[[#This Row],[J4]]</f>
        <v>22</v>
      </c>
      <c r="AZ21" s="193">
        <f>TableauSuiviSprint_Init[[#This Row],[J5]]</f>
        <v>22</v>
      </c>
      <c r="BA21" s="219">
        <f>TableauSuiviSprint_Init[[#This Row],[J6]]</f>
        <v>22</v>
      </c>
      <c r="BB21" s="191">
        <f>TableauSuiviSprint_Init[[#This Row],[J7]]</f>
        <v>22</v>
      </c>
      <c r="BC21" s="191">
        <f>TableauSuiviSprint_Init[[#This Row],[J8]]</f>
        <v>22</v>
      </c>
      <c r="BD21" s="236">
        <f>TableauSuiviSprint_Init[[#This Row],[J9]]</f>
        <v>22</v>
      </c>
    </row>
    <row r="22" spans="1:56" ht="30" x14ac:dyDescent="0.25">
      <c r="A22" s="117">
        <f>[1]Planning!$PZ$21</f>
        <v>10</v>
      </c>
      <c r="B22" s="53" t="s">
        <v>114</v>
      </c>
      <c r="C22" s="137">
        <v>0.75</v>
      </c>
      <c r="D22" s="110">
        <f t="shared" si="1"/>
        <v>10</v>
      </c>
      <c r="E22" s="107">
        <f t="shared" si="2"/>
        <v>0.75</v>
      </c>
      <c r="F22" s="85">
        <f t="shared" si="3"/>
        <v>0</v>
      </c>
      <c r="G22" s="85">
        <f t="shared" si="4"/>
        <v>0</v>
      </c>
      <c r="H22" s="74">
        <f t="shared" si="5"/>
        <v>0</v>
      </c>
      <c r="I22" s="130">
        <f t="shared" si="0"/>
        <v>6.75</v>
      </c>
      <c r="J22" s="131"/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  <c r="Q22" s="5" t="s">
        <v>52</v>
      </c>
      <c r="R22" s="5" t="s">
        <v>52</v>
      </c>
      <c r="S22" s="148" t="s">
        <v>52</v>
      </c>
      <c r="T22" s="131" t="s">
        <v>52</v>
      </c>
      <c r="U22" s="5" t="s">
        <v>52</v>
      </c>
      <c r="V22" s="5" t="s">
        <v>52</v>
      </c>
      <c r="W22" s="5" t="s">
        <v>52</v>
      </c>
      <c r="X22" s="5" t="s">
        <v>52</v>
      </c>
      <c r="Y22" s="5" t="s">
        <v>52</v>
      </c>
      <c r="Z22" s="5" t="s">
        <v>52</v>
      </c>
      <c r="AA22" s="5" t="s">
        <v>52</v>
      </c>
      <c r="AB22" s="5" t="s">
        <v>52</v>
      </c>
      <c r="AC22" s="28"/>
      <c r="AE22" t="s">
        <v>115</v>
      </c>
      <c r="AF22" t="s">
        <v>81</v>
      </c>
      <c r="AG22" s="30" t="s">
        <v>82</v>
      </c>
      <c r="AH22">
        <v>10738</v>
      </c>
      <c r="AI22">
        <v>9238</v>
      </c>
      <c r="AJ22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AK22" s="6" t="s">
        <v>83</v>
      </c>
      <c r="AL22" s="7" t="s">
        <v>116</v>
      </c>
      <c r="AM22" s="11" t="s">
        <v>117</v>
      </c>
      <c r="AN22" s="32">
        <v>2</v>
      </c>
      <c r="AO22" s="32">
        <v>14</v>
      </c>
      <c r="AP22" s="50">
        <v>4</v>
      </c>
      <c r="AQ22" s="30">
        <f>TableauSuiviSprint_Init[[#This Row],[Dev]]+TableauSuiviSprint_Init[[#This Row],[TC / MR]]</f>
        <v>18</v>
      </c>
      <c r="AR22" s="88">
        <v>10</v>
      </c>
      <c r="AS22">
        <v>3</v>
      </c>
      <c r="AT22" s="9">
        <f>TableauSuiviSprint_Init[[#This Row],[H. Dev]]+TableauSuiviSprint_Init[[#This Row],[H. Qualif]]</f>
        <v>21</v>
      </c>
      <c r="AU22">
        <f>TableauSuiviSprint_Init[[#This Row],[Init]]</f>
        <v>21</v>
      </c>
      <c r="AV22">
        <f>TableauSuiviSprint_Init[[#This Row],[Init]]</f>
        <v>21</v>
      </c>
      <c r="AW22">
        <f>TableauSuiviSprint_Init[[#This Row],[J2]]</f>
        <v>21</v>
      </c>
      <c r="AX22" s="9">
        <f>TableauSuiviSprint_Init[[#This Row],[J3]]</f>
        <v>21</v>
      </c>
      <c r="AY22" s="9">
        <f>TableauSuiviSprint_Init[[#This Row],[J4]]</f>
        <v>21</v>
      </c>
      <c r="AZ22" s="186">
        <f>TableauSuiviSprint_Init[[#This Row],[J5]]</f>
        <v>21</v>
      </c>
      <c r="BA22" s="219">
        <f>TableauSuiviSprint_Init[[#This Row],[J6]]</f>
        <v>21</v>
      </c>
      <c r="BB22" s="191">
        <f>TableauSuiviSprint_Init[[#This Row],[J7]]</f>
        <v>21</v>
      </c>
      <c r="BC22" s="191">
        <f>TableauSuiviSprint_Init[[#This Row],[J8]]</f>
        <v>21</v>
      </c>
      <c r="BD22" s="236">
        <f>TableauSuiviSprint_Init[[#This Row],[J9]]</f>
        <v>21</v>
      </c>
    </row>
    <row r="23" spans="1:56" ht="75" x14ac:dyDescent="0.25">
      <c r="A23" s="117">
        <f>[1]Planning!$PZ$23</f>
        <v>10</v>
      </c>
      <c r="B23" s="53" t="s">
        <v>118</v>
      </c>
      <c r="C23" s="137">
        <v>0.75</v>
      </c>
      <c r="D23" s="110">
        <f t="shared" si="1"/>
        <v>10</v>
      </c>
      <c r="E23" s="107">
        <f t="shared" si="2"/>
        <v>0.375</v>
      </c>
      <c r="F23" s="85">
        <f t="shared" si="3"/>
        <v>2.625</v>
      </c>
      <c r="G23" s="85">
        <f t="shared" si="4"/>
        <v>4.5</v>
      </c>
      <c r="H23" s="74">
        <f t="shared" si="5"/>
        <v>0</v>
      </c>
      <c r="I23" s="130">
        <f t="shared" si="0"/>
        <v>0</v>
      </c>
      <c r="J23" s="131"/>
      <c r="K23" s="5" t="s">
        <v>70</v>
      </c>
      <c r="L23" s="5" t="s">
        <v>70</v>
      </c>
      <c r="M23" s="5" t="s">
        <v>70</v>
      </c>
      <c r="N23" s="5" t="s">
        <v>70</v>
      </c>
      <c r="O23" s="5" t="s">
        <v>70</v>
      </c>
      <c r="P23" s="5" t="s">
        <v>70</v>
      </c>
      <c r="Q23" s="5" t="s">
        <v>70</v>
      </c>
      <c r="R23" s="5" t="s">
        <v>71</v>
      </c>
      <c r="S23" s="148" t="s">
        <v>71</v>
      </c>
      <c r="T23" s="131" t="s">
        <v>71</v>
      </c>
      <c r="U23" s="5" t="s">
        <v>71</v>
      </c>
      <c r="V23" s="5" t="s">
        <v>71</v>
      </c>
      <c r="W23" s="5" t="s">
        <v>71</v>
      </c>
      <c r="X23" s="5" t="s">
        <v>71</v>
      </c>
      <c r="Y23" s="5" t="s">
        <v>71</v>
      </c>
      <c r="Z23" s="5" t="s">
        <v>71</v>
      </c>
      <c r="AA23" s="5" t="s">
        <v>71</v>
      </c>
      <c r="AB23" s="5" t="s">
        <v>71</v>
      </c>
      <c r="AC23" s="28" t="s">
        <v>71</v>
      </c>
      <c r="AE23" s="3" t="s">
        <v>119</v>
      </c>
      <c r="AF23" s="3" t="s">
        <v>81</v>
      </c>
      <c r="AG23" s="220" t="s">
        <v>105</v>
      </c>
      <c r="AH23" s="3">
        <v>9605</v>
      </c>
      <c r="AI23" s="3">
        <v>7936</v>
      </c>
      <c r="AJ23" s="221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AK23" s="222" t="s">
        <v>90</v>
      </c>
      <c r="AL23" s="223" t="s">
        <v>120</v>
      </c>
      <c r="AM23" s="221" t="s">
        <v>121</v>
      </c>
      <c r="AN23" s="224">
        <v>3</v>
      </c>
      <c r="AO23" s="224">
        <v>21</v>
      </c>
      <c r="AP23" s="225">
        <v>6</v>
      </c>
      <c r="AQ23" s="220">
        <f>TableauSuiviSprint_Init[[#This Row],[Dev]]+TableauSuiviSprint_Init[[#This Row],[TC / MR]]</f>
        <v>27</v>
      </c>
      <c r="AR23" s="88">
        <v>45</v>
      </c>
      <c r="AS23" s="30">
        <v>8</v>
      </c>
      <c r="AT23" s="9">
        <f>TableauSuiviSprint_Init[[#This Row],[H. Dev]]+TableauSuiviSprint_Init[[#This Row],[H. Qualif]]</f>
        <v>35</v>
      </c>
      <c r="AU23">
        <f>TableauSuiviSprint_Init[[#This Row],[Init]]</f>
        <v>35</v>
      </c>
      <c r="AV23" s="188">
        <f>TableauSuiviSprint_Init[[#This Row],[Init]]</f>
        <v>35</v>
      </c>
      <c r="AW23" s="188">
        <f>TableauSuiviSprint_Init[[#This Row],[J2]]</f>
        <v>35</v>
      </c>
      <c r="AX23" s="188">
        <f>TableauSuiviSprint_Init[[#This Row],[J3]]</f>
        <v>35</v>
      </c>
      <c r="AY23" s="188">
        <f>TableauSuiviSprint_Init[[#This Row],[J4]]</f>
        <v>35</v>
      </c>
      <c r="AZ23" s="188">
        <f>TableauSuiviSprint_Init[[#This Row],[J5]]</f>
        <v>35</v>
      </c>
      <c r="BA23" s="188">
        <f>TableauSuiviSprint_Init[[#This Row],[J6]]</f>
        <v>35</v>
      </c>
      <c r="BB23" s="188">
        <f>TableauSuiviSprint_Init[[#This Row],[J7]]</f>
        <v>35</v>
      </c>
      <c r="BC23" s="188">
        <f>TableauSuiviSprint_Init[[#This Row],[J8]]</f>
        <v>35</v>
      </c>
      <c r="BD23" s="188">
        <f>TableauSuiviSprint_Init[[#This Row],[J9]]</f>
        <v>35</v>
      </c>
    </row>
    <row r="24" spans="1:56" ht="60" x14ac:dyDescent="0.25">
      <c r="A24" s="117">
        <f>[1]Planning!$PZ$25</f>
        <v>8</v>
      </c>
      <c r="B24" s="53" t="s">
        <v>122</v>
      </c>
      <c r="C24" s="137">
        <v>0.75</v>
      </c>
      <c r="D24" s="110">
        <f t="shared" si="1"/>
        <v>8</v>
      </c>
      <c r="E24" s="107">
        <f t="shared" si="2"/>
        <v>0</v>
      </c>
      <c r="F24" s="85">
        <f>COUNTIF($J24:$AC24,"S")/2*C24</f>
        <v>2.25</v>
      </c>
      <c r="G24" s="85">
        <f>COUNTIF($J24:$AC24,"Q")/2*C24</f>
        <v>3.75</v>
      </c>
      <c r="H24" s="74">
        <f>COUNTIF($J24:$AC24,"T")/2*C24</f>
        <v>0</v>
      </c>
      <c r="I24" s="130">
        <f>COUNTIF($J24:$AC24,"D")/2*C24</f>
        <v>0</v>
      </c>
      <c r="J24" s="131" t="s">
        <v>70</v>
      </c>
      <c r="K24" s="5" t="s">
        <v>70</v>
      </c>
      <c r="L24" s="5" t="s">
        <v>70</v>
      </c>
      <c r="M24" s="5" t="s">
        <v>70</v>
      </c>
      <c r="N24" s="5" t="s">
        <v>70</v>
      </c>
      <c r="O24" s="5" t="s">
        <v>70</v>
      </c>
      <c r="P24" s="5" t="s">
        <v>54</v>
      </c>
      <c r="Q24" s="5" t="s">
        <v>54</v>
      </c>
      <c r="R24" s="5" t="s">
        <v>54</v>
      </c>
      <c r="S24" s="148" t="s">
        <v>54</v>
      </c>
      <c r="T24" s="131" t="s">
        <v>71</v>
      </c>
      <c r="U24" s="5" t="s">
        <v>71</v>
      </c>
      <c r="V24" s="5" t="s">
        <v>71</v>
      </c>
      <c r="W24" s="5" t="s">
        <v>71</v>
      </c>
      <c r="X24" s="5" t="s">
        <v>71</v>
      </c>
      <c r="Y24" s="5" t="s">
        <v>71</v>
      </c>
      <c r="Z24" s="5" t="s">
        <v>71</v>
      </c>
      <c r="AA24" s="5" t="s">
        <v>71</v>
      </c>
      <c r="AB24" s="5" t="s">
        <v>71</v>
      </c>
      <c r="AC24" s="28" t="s">
        <v>71</v>
      </c>
      <c r="AE24" s="46" t="s">
        <v>123</v>
      </c>
      <c r="AF24" s="46" t="s">
        <v>81</v>
      </c>
      <c r="AG24" s="200" t="s">
        <v>124</v>
      </c>
      <c r="AH24" s="46">
        <v>12547</v>
      </c>
      <c r="AI24" s="46">
        <v>12550</v>
      </c>
      <c r="AJ24" s="201" t="str">
        <f>IF(TableauSuiviSprint_Init[[#This Row],[N° feature]]&lt;&gt;"",VLOOKUP(TableauSuiviSprint_Init[[#This Row],[N° feature]],SSG_Features[[#All],[ID]:[Tags]],3,FALSE),"")</f>
        <v>[I230720_058]  Erreur génération automatique du bulletin de situation de l’agent</v>
      </c>
      <c r="AK24" s="202" t="s">
        <v>125</v>
      </c>
      <c r="AL24" s="203" t="s">
        <v>126</v>
      </c>
      <c r="AM24" s="201" t="s">
        <v>127</v>
      </c>
      <c r="AN24" s="212">
        <v>2</v>
      </c>
      <c r="AO24" s="204">
        <v>12</v>
      </c>
      <c r="AP24" s="204">
        <v>4</v>
      </c>
      <c r="AQ24" s="200">
        <f>TableauSuiviSprint_Init[[#This Row],[Dev]]+TableauSuiviSprint_Init[[#This Row],[TC / MR]]</f>
        <v>16</v>
      </c>
      <c r="AR24" s="88">
        <v>28</v>
      </c>
      <c r="AS24">
        <v>3</v>
      </c>
      <c r="AT24" s="9">
        <f>TableauSuiviSprint_Init[[#This Row],[H. Dev]]+TableauSuiviSprint_Init[[#This Row],[H. Qualif]]</f>
        <v>19</v>
      </c>
      <c r="AU24">
        <f>TableauSuiviSprint_Init[[#This Row],[Init]]</f>
        <v>19</v>
      </c>
      <c r="AV24">
        <f>TableauSuiviSprint_Init[[#This Row],[Init]]</f>
        <v>19</v>
      </c>
      <c r="AW24">
        <f>TableauSuiviSprint_Init[[#This Row],[J2]]</f>
        <v>19</v>
      </c>
      <c r="AX24" s="185">
        <f>TableauSuiviSprint_Init[[#This Row],[J3]]</f>
        <v>19</v>
      </c>
      <c r="AY24" s="193">
        <f>TableauSuiviSprint_Init[[#This Row],[J4]]</f>
        <v>19</v>
      </c>
      <c r="AZ24" s="213">
        <f>TableauSuiviSprint_Init[[#This Row],[J5]]</f>
        <v>19</v>
      </c>
      <c r="BA24" s="213">
        <f>TableauSuiviSprint_Init[[#This Row],[J6]]</f>
        <v>19</v>
      </c>
      <c r="BB24" s="213">
        <f>TableauSuiviSprint_Init[[#This Row],[J7]]</f>
        <v>19</v>
      </c>
      <c r="BC24" s="213">
        <f>TableauSuiviSprint_Init[[#This Row],[J8]]</f>
        <v>19</v>
      </c>
      <c r="BD24" s="213">
        <f>TableauSuiviSprint_Init[[#This Row],[J9]]</f>
        <v>19</v>
      </c>
    </row>
    <row r="25" spans="1:56" ht="31.5" customHeight="1" x14ac:dyDescent="0.25">
      <c r="B25" s="138" t="s">
        <v>128</v>
      </c>
      <c r="C25" s="139">
        <v>1</v>
      </c>
      <c r="D25" s="111">
        <f t="shared" si="1"/>
        <v>0</v>
      </c>
      <c r="E25" s="83">
        <f t="shared" si="2"/>
        <v>0</v>
      </c>
      <c r="F25" s="84">
        <f t="shared" si="3"/>
        <v>0</v>
      </c>
      <c r="G25" s="84">
        <f t="shared" si="4"/>
        <v>0</v>
      </c>
      <c r="H25" s="84">
        <f t="shared" si="5"/>
        <v>0</v>
      </c>
      <c r="I25" s="143">
        <f t="shared" si="0"/>
        <v>0</v>
      </c>
      <c r="J25" s="15" t="s">
        <v>54</v>
      </c>
      <c r="K25" s="146" t="s">
        <v>54</v>
      </c>
      <c r="L25" s="146" t="s">
        <v>129</v>
      </c>
      <c r="M25" s="146" t="s">
        <v>129</v>
      </c>
      <c r="N25" s="146" t="s">
        <v>129</v>
      </c>
      <c r="O25" s="146" t="s">
        <v>129</v>
      </c>
      <c r="P25" s="146" t="s">
        <v>129</v>
      </c>
      <c r="Q25" s="146" t="s">
        <v>129</v>
      </c>
      <c r="R25" s="146" t="s">
        <v>129</v>
      </c>
      <c r="S25" s="150" t="s">
        <v>129</v>
      </c>
      <c r="T25" s="15" t="s">
        <v>129</v>
      </c>
      <c r="U25" s="146" t="s">
        <v>129</v>
      </c>
      <c r="V25" s="146" t="s">
        <v>129</v>
      </c>
      <c r="W25" s="146" t="s">
        <v>129</v>
      </c>
      <c r="X25" s="146" t="s">
        <v>129</v>
      </c>
      <c r="Y25" s="146" t="s">
        <v>129</v>
      </c>
      <c r="Z25" s="146" t="s">
        <v>129</v>
      </c>
      <c r="AA25" s="146" t="s">
        <v>129</v>
      </c>
      <c r="AB25" s="146" t="s">
        <v>129</v>
      </c>
      <c r="AC25" s="20" t="s">
        <v>129</v>
      </c>
      <c r="AE25" s="46" t="s">
        <v>80</v>
      </c>
      <c r="AF25" s="46" t="s">
        <v>81</v>
      </c>
      <c r="AG25" s="200" t="s">
        <v>124</v>
      </c>
      <c r="AH25" s="46">
        <v>12597</v>
      </c>
      <c r="AI25" s="46">
        <v>12550</v>
      </c>
      <c r="AJ25" s="201" t="str">
        <f>IF(TableauSuiviSprint_Init[[#This Row],[N° feature]]&lt;&gt;"",VLOOKUP(TableauSuiviSprint_Init[[#This Row],[N° feature]],SSG_Features[[#All],[ID]:[Tags]],3,FALSE),"")</f>
        <v>[I230720_058]  Erreur génération automatique du bulletin de situation de l’agent</v>
      </c>
      <c r="AK25" s="202" t="s">
        <v>125</v>
      </c>
      <c r="AL25" s="203" t="s">
        <v>130</v>
      </c>
      <c r="AM25" s="201" t="s">
        <v>131</v>
      </c>
      <c r="AN25" s="212">
        <v>2</v>
      </c>
      <c r="AO25" s="204">
        <v>8</v>
      </c>
      <c r="AP25" s="204">
        <v>4</v>
      </c>
      <c r="AQ25" s="200">
        <f>TableauSuiviSprint_Init[[#This Row],[Dev]]+TableauSuiviSprint_Init[[#This Row],[TC / MR]]</f>
        <v>12</v>
      </c>
      <c r="AR25" s="88">
        <v>19</v>
      </c>
      <c r="AS25">
        <v>4</v>
      </c>
      <c r="AT25" s="9">
        <f>TableauSuiviSprint_Init[[#This Row],[H. Dev]]+TableauSuiviSprint_Init[[#This Row],[H. Qualif]]</f>
        <v>16</v>
      </c>
      <c r="AU25">
        <f>TableauSuiviSprint_Init[[#This Row],[Init]]</f>
        <v>16</v>
      </c>
      <c r="AV25">
        <f>TableauSuiviSprint_Init[[#This Row],[Init]]</f>
        <v>16</v>
      </c>
      <c r="AW25">
        <f>TableauSuiviSprint_Init[[#This Row],[J2]]</f>
        <v>16</v>
      </c>
      <c r="AX25" s="178">
        <f>TableauSuiviSprint_Init[[#This Row],[J3]]</f>
        <v>16</v>
      </c>
      <c r="AY25" s="178">
        <f>TableauSuiviSprint_Init[[#This Row],[J4]]</f>
        <v>16</v>
      </c>
      <c r="AZ25">
        <f>TableauSuiviSprint_Init[[#This Row],[J5]]</f>
        <v>16</v>
      </c>
      <c r="BA25">
        <f>TableauSuiviSprint_Init[[#This Row],[J6]]</f>
        <v>16</v>
      </c>
      <c r="BB25" s="193">
        <f>TableauSuiviSprint_Init[[#This Row],[J7]]</f>
        <v>16</v>
      </c>
      <c r="BC25" s="213">
        <f>TableauSuiviSprint_Init[[#This Row],[J8]]</f>
        <v>16</v>
      </c>
      <c r="BD25" s="213">
        <f>TableauSuiviSprint_Init[[#This Row],[J9]]</f>
        <v>16</v>
      </c>
    </row>
    <row r="26" spans="1:56" ht="57.6" customHeight="1" x14ac:dyDescent="0.25">
      <c r="B26" s="305" t="s">
        <v>132</v>
      </c>
      <c r="C26" s="306"/>
      <c r="D26" s="307"/>
      <c r="E26" s="300">
        <f>SUM(J26:AC26)</f>
        <v>46.125</v>
      </c>
      <c r="F26" s="300"/>
      <c r="G26" s="300"/>
      <c r="H26" s="300"/>
      <c r="I26" s="300"/>
      <c r="J26" s="301">
        <f t="array" ref="J26">SUMPRODUCT((UPPER(J$6:K$25)="D")*($C$6:$C$25)*0.5)+SUMPRODUCT((UPPER(J$6:K$25)="T")*($C$6:$C$25)*0.5)</f>
        <v>1.625</v>
      </c>
      <c r="K26" s="301"/>
      <c r="L26" s="301">
        <f t="array" ref="L26">SUMPRODUCT((UPPER(L$6:M$25)="D")*($C$6:$C$25)*0.5)+SUMPRODUCT((UPPER(L$6:M$25)="T")*($C$6:$C$25)*0.5)</f>
        <v>4</v>
      </c>
      <c r="M26" s="301"/>
      <c r="N26" s="301">
        <f t="array" ref="N26">SUMPRODUCT((UPPER(N$6:O$25)="D")*($C$6:$C$25)*0.5)+SUMPRODUCT((UPPER(N$6:O$25)="T")*($C$6:$C$25)*0.5)</f>
        <v>5</v>
      </c>
      <c r="O26" s="301"/>
      <c r="P26" s="301">
        <f t="array" ref="P26">SUMPRODUCT((UPPER(P$6:Q$25)="D")*($C$6:$C$25)*0.5)+SUMPRODUCT((UPPER(P$6:Q$25)="T")*($C$6:$C$25)*0.5)</f>
        <v>6.25</v>
      </c>
      <c r="Q26" s="301"/>
      <c r="R26" s="301">
        <f t="array" ref="R26">SUMPRODUCT((UPPER(R$6:S$25)="D")*($C$6:$C$25)*0.5)+SUMPRODUCT((UPPER(R$6:S$25)="T")*($C$6:$C$25)*0.5)</f>
        <v>5.25</v>
      </c>
      <c r="S26" s="301"/>
      <c r="T26" s="298">
        <f t="array" ref="T26">SUMPRODUCT((UPPER(T$6:U$25)="D")*($C$6:$C$25)*0.5)+SUMPRODUCT((UPPER(T$6:U$25)="T")*($C$6:$C$25)*0.5)</f>
        <v>5.25</v>
      </c>
      <c r="U26" s="298"/>
      <c r="V26" s="298">
        <f t="array" ref="V26">SUMPRODUCT((UPPER(V$6:W$25)="D")*($C$6:$C$25)*0.5)+SUMPRODUCT((UPPER(V$6:W$25)="T")*($C$6:$C$25)*0.5)</f>
        <v>5.25</v>
      </c>
      <c r="W26" s="298"/>
      <c r="X26" s="298">
        <f t="array" ref="X26">SUMPRODUCT((UPPER(X$6:Y$25)="D")*($C$6:$C$25)*0.5)+SUMPRODUCT((UPPER(X$6:Y$25)="T")*($C$6:$C$25)*0.5)</f>
        <v>5.375</v>
      </c>
      <c r="Y26" s="298"/>
      <c r="Z26" s="298">
        <f t="array" ref="Z26">SUMPRODUCT((UPPER(Z$6:AA$25)="D")*($C$6:$C$25)*0.5)+SUMPRODUCT((UPPER(Z$6:AA$25)="T")*($C$6:$C$25)*0.5)</f>
        <v>6.5</v>
      </c>
      <c r="AA26" s="298"/>
      <c r="AB26" s="298">
        <f t="array" ref="AB26">SUMPRODUCT((UPPER(AB$6:AC$25)="D")*($C$6:$C$25)*0.5)+SUMPRODUCT((UPPER(AB$6:AC$25)="T")*($C$6:$C$25)*0.5)</f>
        <v>1.625</v>
      </c>
      <c r="AC26" s="299"/>
      <c r="AE26" s="205" t="s">
        <v>133</v>
      </c>
      <c r="AF26" s="205" t="s">
        <v>81</v>
      </c>
      <c r="AG26" s="206" t="s">
        <v>105</v>
      </c>
      <c r="AH26" s="205">
        <v>9319</v>
      </c>
      <c r="AI26" s="205">
        <v>7936</v>
      </c>
      <c r="AJ26" s="207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AK26" s="208" t="s">
        <v>90</v>
      </c>
      <c r="AL26" s="209" t="s">
        <v>60</v>
      </c>
      <c r="AM26" s="207" t="s">
        <v>134</v>
      </c>
      <c r="AN26" s="210">
        <v>2</v>
      </c>
      <c r="AO26" s="206">
        <v>14</v>
      </c>
      <c r="AP26" s="206">
        <v>4</v>
      </c>
      <c r="AQ26" s="206">
        <f>TableauSuiviSprint_Init[[#This Row],[Dev]]+TableauSuiviSprint_Init[[#This Row],[TC / MR]]</f>
        <v>18</v>
      </c>
      <c r="AR26" s="88"/>
      <c r="AS26">
        <v>4</v>
      </c>
      <c r="AT26" s="9">
        <f>TableauSuiviSprint_Init[[#This Row],[H. Dev]]+TableauSuiviSprint_Init[[#This Row],[H. Qualif]]</f>
        <v>22</v>
      </c>
      <c r="AU26">
        <f>TableauSuiviSprint_Init[[#This Row],[Init]]</f>
        <v>22</v>
      </c>
      <c r="AV26">
        <f>TableauSuiviSprint_Init[[#This Row],[Init]]</f>
        <v>22</v>
      </c>
      <c r="AW26">
        <f>TableauSuiviSprint_Init[[#This Row],[J2]]</f>
        <v>22</v>
      </c>
      <c r="AX26">
        <f>TableauSuiviSprint_Init[[#This Row],[J3]]</f>
        <v>22</v>
      </c>
      <c r="AY26">
        <f>TableauSuiviSprint_Init[[#This Row],[J4]]</f>
        <v>22</v>
      </c>
      <c r="AZ26">
        <f>TableauSuiviSprint_Init[[#This Row],[J5]]</f>
        <v>22</v>
      </c>
      <c r="BA26">
        <f>TableauSuiviSprint_Init[[#This Row],[J6]]</f>
        <v>22</v>
      </c>
      <c r="BB26">
        <f>TableauSuiviSprint_Init[[#This Row],[J7]]</f>
        <v>22</v>
      </c>
      <c r="BC26">
        <f>TableauSuiviSprint_Init[[#This Row],[J8]]</f>
        <v>22</v>
      </c>
      <c r="BD26">
        <f>TableauSuiviSprint_Init[[#This Row],[J9]]</f>
        <v>22</v>
      </c>
    </row>
    <row r="27" spans="1:56" ht="75.75" x14ac:dyDescent="0.3">
      <c r="B27" s="282" t="s">
        <v>135</v>
      </c>
      <c r="C27" s="283"/>
      <c r="D27" s="284"/>
      <c r="E27" s="300">
        <f>SUM(J27:AC27)</f>
        <v>23.125</v>
      </c>
      <c r="F27" s="300"/>
      <c r="G27" s="300"/>
      <c r="H27" s="300"/>
      <c r="I27" s="300"/>
      <c r="J27" s="289">
        <f>SUMPRODUCT((UPPER(J$6:K$25)="T")*($C$6:$C$25)*0.5)</f>
        <v>0.875</v>
      </c>
      <c r="K27" s="289"/>
      <c r="L27" s="289">
        <f>SUMPRODUCT((UPPER(L$6:M$25)="T")*($C$6:$C$25)*0.5)</f>
        <v>1.75</v>
      </c>
      <c r="M27" s="289"/>
      <c r="N27" s="289">
        <f>SUMPRODUCT((UPPER(N$6:O$25)="T")*($C$6:$C$25)*0.5)</f>
        <v>2.5</v>
      </c>
      <c r="O27" s="289"/>
      <c r="P27" s="289">
        <f>SUMPRODUCT((UPPER(P$6:Q$25)="T")*($C$6:$C$25)*0.5)</f>
        <v>2.5</v>
      </c>
      <c r="Q27" s="289"/>
      <c r="R27" s="289">
        <f>SUMPRODUCT((UPPER(R$6:S$25)="T")*($C$6:$C$25)*0.5)</f>
        <v>2.5</v>
      </c>
      <c r="S27" s="289"/>
      <c r="T27" s="289">
        <f>SUMPRODUCT((UPPER(T$6:U$25)="T")*($C$6:$C$25)*0.5)</f>
        <v>2.5</v>
      </c>
      <c r="U27" s="289"/>
      <c r="V27" s="289">
        <f>SUMPRODUCT((UPPER(V$6:W$25)="T")*($C$6:$C$25)*0.5)</f>
        <v>2.5</v>
      </c>
      <c r="W27" s="289"/>
      <c r="X27" s="289">
        <f>SUMPRODUCT((UPPER(X$6:Y$25)="T")*($C$6:$C$25)*0.5)</f>
        <v>2.875</v>
      </c>
      <c r="Y27" s="289"/>
      <c r="Z27" s="289">
        <f>SUMPRODUCT((UPPER(Z$6:AA$25)="T")*($C$6:$C$25)*0.5)</f>
        <v>4.25</v>
      </c>
      <c r="AA27" s="289"/>
      <c r="AB27" s="289">
        <f>SUMPRODUCT((UPPER(AB$6:AC$25)="T")*($C$6:$C$25)*0.5)</f>
        <v>0.875</v>
      </c>
      <c r="AC27" s="290"/>
      <c r="AE27" s="192" t="s">
        <v>136</v>
      </c>
      <c r="AF27" s="192" t="s">
        <v>81</v>
      </c>
      <c r="AG27" s="192" t="s">
        <v>137</v>
      </c>
      <c r="AH27" s="199">
        <v>12531</v>
      </c>
      <c r="AI27" s="199">
        <v>12533</v>
      </c>
      <c r="AJ27" s="194" t="str">
        <f>IF(TableauSuiviSprint_Init[[#This Row],[N° feature]]&lt;&gt;"",VLOOKUP(TableauSuiviSprint_Init[[#This Row],[N° feature]],SSG_Features[[#All],[ID]:[Tags]],3,FALSE),"")</f>
        <v>[I230718_143] Problème de création du client Keycloak  lors du déploiement via la pipeline</v>
      </c>
      <c r="AK27" s="195"/>
      <c r="AL27" s="196"/>
      <c r="AM27" s="194" t="s">
        <v>138</v>
      </c>
      <c r="AN27" s="197">
        <v>1</v>
      </c>
      <c r="AO27" s="198">
        <v>6</v>
      </c>
      <c r="AP27" s="198">
        <v>0</v>
      </c>
      <c r="AQ27" s="198">
        <f>TableauSuiviSprint_Init[[#This Row],[Dev]]+TableauSuiviSprint_Init[[#This Row],[TC / MR]]</f>
        <v>6</v>
      </c>
      <c r="AR27" s="88">
        <v>3</v>
      </c>
      <c r="AS27" s="30">
        <v>0</v>
      </c>
      <c r="AT27" s="9">
        <f>TableauSuiviSprint_Init[[#This Row],[H. Dev]]+TableauSuiviSprint_Init[[#This Row],[H. Qualif]]</f>
        <v>6</v>
      </c>
      <c r="AU27">
        <f>TableauSuiviSprint_Init[[#This Row],[Init]]</f>
        <v>6</v>
      </c>
      <c r="AV27">
        <f>TableauSuiviSprint_Init[[#This Row],[Init]]</f>
        <v>6</v>
      </c>
      <c r="AW27" s="213">
        <f>TableauSuiviSprint_Init[[#This Row],[J2]]</f>
        <v>6</v>
      </c>
      <c r="AX27" s="214">
        <f>TableauSuiviSprint_Init[[#This Row],[J3]]</f>
        <v>6</v>
      </c>
      <c r="AY27" s="214">
        <f>TableauSuiviSprint_Init[[#This Row],[J4]]</f>
        <v>6</v>
      </c>
      <c r="AZ27" s="214">
        <f>TableauSuiviSprint_Init[[#This Row],[J5]]</f>
        <v>6</v>
      </c>
      <c r="BA27" s="214">
        <f>TableauSuiviSprint_Init[[#This Row],[J6]]</f>
        <v>6</v>
      </c>
      <c r="BB27" s="214">
        <f>TableauSuiviSprint_Init[[#This Row],[J7]]</f>
        <v>6</v>
      </c>
      <c r="BC27" s="214">
        <f>TableauSuiviSprint_Init[[#This Row],[J8]]</f>
        <v>6</v>
      </c>
      <c r="BD27" s="214">
        <f>TableauSuiviSprint_Init[[#This Row],[J9]]</f>
        <v>6</v>
      </c>
    </row>
    <row r="28" spans="1:56" ht="15" customHeight="1" x14ac:dyDescent="0.25">
      <c r="B28" s="282" t="s">
        <v>139</v>
      </c>
      <c r="C28" s="283"/>
      <c r="D28" s="295"/>
      <c r="E28" s="291">
        <f>SUM(J28:AC28)</f>
        <v>23</v>
      </c>
      <c r="F28" s="296"/>
      <c r="G28" s="296"/>
      <c r="H28" s="296"/>
      <c r="I28" s="297"/>
      <c r="J28" s="293">
        <f>SUMPRODUCT((UPPER(J$6:K$25)="D")*($C$6:$C$25)*0.5)</f>
        <v>0.75</v>
      </c>
      <c r="K28" s="294"/>
      <c r="L28" s="293">
        <f>SUMPRODUCT((UPPER(L$6:M$25)="D")*($C$6:$C$25)*0.5)</f>
        <v>2.25</v>
      </c>
      <c r="M28" s="294"/>
      <c r="N28" s="293">
        <f>SUMPRODUCT((UPPER(N$6:O$25)="D")*($C$6:$C$25)*0.5)</f>
        <v>2.5</v>
      </c>
      <c r="O28" s="294"/>
      <c r="P28" s="293">
        <f>SUMPRODUCT((UPPER(P$6:Q$25)="D")*($C$6:$C$25)*0.5)</f>
        <v>3.75</v>
      </c>
      <c r="Q28" s="294"/>
      <c r="R28" s="293">
        <f>SUMPRODUCT((UPPER(R$6:S$25)="D")*($C$6:$C$25)*0.5)</f>
        <v>2.75</v>
      </c>
      <c r="S28" s="294"/>
      <c r="T28" s="293">
        <f>SUMPRODUCT((UPPER(T$6:U$25)="D")*($C$6:$C$25)*0.5)</f>
        <v>2.75</v>
      </c>
      <c r="U28" s="294"/>
      <c r="V28" s="293">
        <f>SUMPRODUCT((UPPER(V$6:W$25)="D")*($C$6:$C$25)*0.5)</f>
        <v>2.75</v>
      </c>
      <c r="W28" s="294"/>
      <c r="X28" s="293">
        <f>SUMPRODUCT((UPPER(X$6:Y$25)="D")*($C$6:$C$25)*0.5)</f>
        <v>2.5</v>
      </c>
      <c r="Y28" s="294"/>
      <c r="Z28" s="293">
        <f>SUMPRODUCT((UPPER(Z$6:AA$25)="D")*($C$6:$C$25)*0.5)</f>
        <v>2.25</v>
      </c>
      <c r="AA28" s="294"/>
      <c r="AB28" s="293">
        <f>SUMPRODUCT((UPPER(AB$6:AC$25)="D")*($C$6:$C$25)*0.5)</f>
        <v>0.75</v>
      </c>
      <c r="AC28" s="294"/>
      <c r="AE28" s="46" t="s">
        <v>140</v>
      </c>
      <c r="AF28" s="46" t="s">
        <v>141</v>
      </c>
      <c r="AG28" s="46" t="s">
        <v>142</v>
      </c>
      <c r="AH28" s="46">
        <v>12603</v>
      </c>
      <c r="AI28" s="46">
        <v>12604</v>
      </c>
      <c r="AJ28" s="194" t="str">
        <f>IF(TableauSuiviSprint_Init[[#This Row],[N° feature]]&lt;&gt;"",VLOOKUP(TableauSuiviSprint_Init[[#This Row],[N° feature]],SSG_Features[[#All],[ID]:[Tags]],3,FALSE),"")</f>
        <v>Problème sur les listes des OMP</v>
      </c>
      <c r="AK28" s="202" t="s">
        <v>143</v>
      </c>
      <c r="AL28" s="203"/>
      <c r="AM28" s="201" t="s">
        <v>144</v>
      </c>
      <c r="AN28" s="226">
        <v>1</v>
      </c>
      <c r="AO28" s="226">
        <v>6</v>
      </c>
      <c r="AP28" s="204"/>
      <c r="AQ28" s="200">
        <f>TableauSuiviSprint_Init[[#This Row],[Dev]]+TableauSuiviSprint_Init[[#This Row],[TC / MR]]</f>
        <v>6</v>
      </c>
      <c r="AR28" s="241" t="s">
        <v>75</v>
      </c>
      <c r="AS28" s="30">
        <v>3</v>
      </c>
      <c r="AT28" s="9">
        <f>TableauSuiviSprint_Init[[#This Row],[H. Dev]]+TableauSuiviSprint_Init[[#This Row],[H. Qualif]]</f>
        <v>9</v>
      </c>
      <c r="AU28">
        <f>TableauSuiviSprint_Init[[#This Row],[Init]]</f>
        <v>9</v>
      </c>
      <c r="AV28">
        <f>TableauSuiviSprint_Init[[#This Row],[Init]]</f>
        <v>9</v>
      </c>
      <c r="AW28">
        <f>TableauSuiviSprint_Init[[#This Row],[J2]]</f>
        <v>9</v>
      </c>
      <c r="AX28">
        <f>TableauSuiviSprint_Init[[#This Row],[J3]]</f>
        <v>9</v>
      </c>
      <c r="AY28">
        <f>TableauSuiviSprint_Init[[#This Row],[J4]]</f>
        <v>9</v>
      </c>
      <c r="AZ28">
        <f>TableauSuiviSprint_Init[[#This Row],[J5]]</f>
        <v>9</v>
      </c>
      <c r="BA28">
        <f>TableauSuiviSprint_Init[[#This Row],[J6]]</f>
        <v>9</v>
      </c>
      <c r="BB28">
        <f>TableauSuiviSprint_Init[[#This Row],[J7]]</f>
        <v>9</v>
      </c>
      <c r="BC28">
        <f>TableauSuiviSprint_Init[[#This Row],[J8]]</f>
        <v>9</v>
      </c>
      <c r="BD28">
        <f>TableauSuiviSprint_Init[[#This Row],[J9]]</f>
        <v>9</v>
      </c>
    </row>
    <row r="29" spans="1:56" x14ac:dyDescent="0.25">
      <c r="B29" s="282" t="s">
        <v>145</v>
      </c>
      <c r="C29" s="283"/>
      <c r="D29" s="284"/>
      <c r="E29" s="292">
        <f>SUM(J29:AC29)</f>
        <v>18.25</v>
      </c>
      <c r="F29" s="292"/>
      <c r="G29" s="292"/>
      <c r="H29" s="292"/>
      <c r="I29" s="292"/>
      <c r="J29" s="289">
        <f t="array" ref="J29">SUMPRODUCT((UPPER(J$6:K$25)="Q")*($C$6:$C$25)*0.5)</f>
        <v>0</v>
      </c>
      <c r="K29" s="289"/>
      <c r="L29" s="289">
        <f t="array" ref="L29">SUMPRODUCT((UPPER(L$6:M$25)="Q")*($C$6:$C$25)*0.5)</f>
        <v>0</v>
      </c>
      <c r="M29" s="289"/>
      <c r="N29" s="289">
        <f t="array" ref="N29">SUMPRODUCT((UPPER(N$6:O$25)="Q")*($C$6:$C$25)*0.5)</f>
        <v>0</v>
      </c>
      <c r="O29" s="289"/>
      <c r="P29" s="289">
        <f t="array" ref="P29">SUMPRODUCT((UPPER(P$6:Q$25)="Q")*($C$6:$C$25)*0.5)</f>
        <v>0.5</v>
      </c>
      <c r="Q29" s="289"/>
      <c r="R29" s="289">
        <f t="array" ref="R29">SUMPRODUCT((UPPER(R$6:S$25)="Q")*($C$6:$C$25)*0.5)</f>
        <v>1.75</v>
      </c>
      <c r="S29" s="289"/>
      <c r="T29" s="289">
        <f t="array" ref="T29">SUMPRODUCT((UPPER(T$6:U$25)="Q")*($C$6:$C$25)*0.5)</f>
        <v>2.5</v>
      </c>
      <c r="U29" s="289"/>
      <c r="V29" s="289">
        <f t="array" ref="V29">SUMPRODUCT((UPPER(V$6:W$25)="Q")*($C$6:$C$25)*0.5)</f>
        <v>3.5</v>
      </c>
      <c r="W29" s="289"/>
      <c r="X29" s="289">
        <f t="array" ref="X29">SUMPRODUCT((UPPER(X$6:Y$25)="Q")*($C$6:$C$25)*0.5)</f>
        <v>3.5</v>
      </c>
      <c r="Y29" s="289"/>
      <c r="Z29" s="289">
        <f t="array" ref="Z29">SUMPRODUCT((UPPER(Z$6:AA$25)="Q")*($C$6:$C$25)*0.5)</f>
        <v>3.5</v>
      </c>
      <c r="AA29" s="289"/>
      <c r="AB29" s="289">
        <f t="array" ref="AB29">SUMPRODUCT((UPPER(AB$6:AC$25)="Q")*($C$6:$C$25)*0.5)</f>
        <v>3</v>
      </c>
      <c r="AC29" s="290"/>
      <c r="AJ29" t="str">
        <f>IF(TableauSuiviSprint_Init[[#This Row],[N° feature]]&lt;&gt;"",VLOOKUP(TableauSuiviSprint_Init[[#This Row],[N° feature]],SSG_Features[[#All],[ID]:[Tags]],3,FALSE),"")</f>
        <v/>
      </c>
      <c r="AK29" s="6"/>
      <c r="AL29" s="7"/>
      <c r="AM29" s="11"/>
      <c r="AN29" s="32"/>
      <c r="AO29" s="32"/>
      <c r="AP29" s="50"/>
      <c r="AQ29" s="30">
        <f>TableauSuiviSprint_Init[[#This Row],[Dev]]+TableauSuiviSprint_Init[[#This Row],[TC / MR]]</f>
        <v>0</v>
      </c>
      <c r="AR29" s="88"/>
      <c r="AS29" s="30"/>
      <c r="AT29" s="9">
        <f>TableauSuiviSprint_Init[[#This Row],[H. Dev]]+TableauSuiviSprint_Init[[#This Row],[H. Qualif]]</f>
        <v>0</v>
      </c>
      <c r="AU29">
        <f>TableauSuiviSprint_Init[[#This Row],[Init]]</f>
        <v>0</v>
      </c>
      <c r="AV29">
        <f>TableauSuiviSprint_Init[[#This Row],[Init]]</f>
        <v>0</v>
      </c>
      <c r="AW29">
        <f>TableauSuiviSprint_Init[[#This Row],[J2]]</f>
        <v>0</v>
      </c>
      <c r="AX29">
        <f>TableauSuiviSprint_Init[[#This Row],[J3]]</f>
        <v>0</v>
      </c>
      <c r="AY29">
        <f>TableauSuiviSprint_Init[[#This Row],[J4]]</f>
        <v>0</v>
      </c>
      <c r="AZ29">
        <f>TableauSuiviSprint_Init[[#This Row],[J5]]</f>
        <v>0</v>
      </c>
      <c r="BA29">
        <f>TableauSuiviSprint_Init[[#This Row],[J6]]</f>
        <v>0</v>
      </c>
      <c r="BB29">
        <f>TableauSuiviSprint_Init[[#This Row],[J7]]</f>
        <v>0</v>
      </c>
      <c r="BC29">
        <f>TableauSuiviSprint_Init[[#This Row],[J8]]</f>
        <v>0</v>
      </c>
      <c r="BD29">
        <f>TableauSuiviSprint_Init[[#This Row],[J9]]</f>
        <v>0</v>
      </c>
    </row>
    <row r="30" spans="1:56" ht="40.5" customHeight="1" x14ac:dyDescent="0.25">
      <c r="B30" s="282" t="s">
        <v>146</v>
      </c>
      <c r="C30" s="283"/>
      <c r="D30" s="284"/>
      <c r="E30" s="292">
        <f>SUM(J30:AC30)</f>
        <v>12.875</v>
      </c>
      <c r="F30" s="292"/>
      <c r="G30" s="292"/>
      <c r="H30" s="292"/>
      <c r="I30" s="292"/>
      <c r="J30" s="289">
        <f t="array" ref="J30">SUMPRODUCT((UPPER(J$6:K$25)="S")*($C$6:$C$25)*0.5)</f>
        <v>1.625</v>
      </c>
      <c r="K30" s="289"/>
      <c r="L30" s="289">
        <f t="array" ref="L30">SUMPRODUCT((UPPER(L$6:M$25)="S")*($C$6:$C$25)*0.5)</f>
        <v>3.5</v>
      </c>
      <c r="M30" s="289"/>
      <c r="N30" s="289">
        <f t="array" ref="N30">SUMPRODUCT((UPPER(N$6:O$25)="S")*($C$6:$C$25)*0.5)</f>
        <v>3.5</v>
      </c>
      <c r="O30" s="289"/>
      <c r="P30" s="289">
        <f t="array" ref="P30">SUMPRODUCT((UPPER(P$6:Q$25)="S")*($C$6:$C$25)*0.5)</f>
        <v>2.25</v>
      </c>
      <c r="Q30" s="289"/>
      <c r="R30" s="289">
        <f t="array" ref="R30">SUMPRODUCT((UPPER(R$6:S$25)="S")*($C$6:$C$25)*0.5)</f>
        <v>1</v>
      </c>
      <c r="S30" s="289"/>
      <c r="T30" s="289">
        <f t="array" ref="T30">SUMPRODUCT((UPPER(T$6:U$25)="S")*($C$6:$C$25)*0.5)</f>
        <v>1</v>
      </c>
      <c r="U30" s="289"/>
      <c r="V30" s="289">
        <f t="array" ref="V30">SUMPRODUCT((UPPER(V$6:W$25)="S")*($C$6:$C$25)*0.5)</f>
        <v>0</v>
      </c>
      <c r="W30" s="289"/>
      <c r="X30" s="289">
        <f t="array" ref="X30">SUMPRODUCT((UPPER(X$6:Y$25)="S")*($C$6:$C$25)*0.5)</f>
        <v>0</v>
      </c>
      <c r="Y30" s="289"/>
      <c r="Z30" s="289">
        <f t="array" ref="Z30">SUMPRODUCT((UPPER(Z$6:AA$25)="S")*($C$6:$C$25)*0.5)</f>
        <v>0</v>
      </c>
      <c r="AA30" s="289"/>
      <c r="AB30" s="289">
        <f t="array" ref="AB30">SUMPRODUCT((UPPER(AB$6:AC$25)="S")*($C$6:$C$25)*0.5)</f>
        <v>0</v>
      </c>
      <c r="AC30" s="290"/>
      <c r="AE30" t="s">
        <v>147</v>
      </c>
      <c r="AF30" t="s">
        <v>81</v>
      </c>
      <c r="AG30" t="s">
        <v>82</v>
      </c>
      <c r="AH30" t="s">
        <v>148</v>
      </c>
      <c r="AI30" t="s">
        <v>149</v>
      </c>
      <c r="AJ30" s="11" t="e">
        <f>IF(TableauSuiviSprint_Init[[#This Row],[N° feature]]&lt;&gt;"",VLOOKUP(TableauSuiviSprint_Init[[#This Row],[N° feature]],SSG_Features[[#All],[ID]:[Tags]],3,FALSE),"")</f>
        <v>#N/A</v>
      </c>
      <c r="AK30" s="6"/>
      <c r="AL30" s="7"/>
      <c r="AM30" s="11" t="s">
        <v>150</v>
      </c>
      <c r="AN30" s="32"/>
      <c r="AO30" s="32"/>
      <c r="AP30" s="50"/>
      <c r="AQ30" s="30">
        <f>TableauSuiviSprint_Init[[#This Row],[Dev]]+TableauSuiviSprint_Init[[#This Row],[TC / MR]]</f>
        <v>0</v>
      </c>
      <c r="AR30" s="88"/>
      <c r="AT30" s="9">
        <f>TableauSuiviSprint_Init[[#This Row],[H. Dev]]+TableauSuiviSprint_Init[[#This Row],[H. Qualif]]</f>
        <v>0</v>
      </c>
      <c r="AU30">
        <f>TableauSuiviSprint_Init[[#This Row],[Init]]</f>
        <v>0</v>
      </c>
      <c r="AV30">
        <f>TableauSuiviSprint_Init[[#This Row],[Init]]</f>
        <v>0</v>
      </c>
      <c r="AW30">
        <f>TableauSuiviSprint_Init[[#This Row],[J2]]</f>
        <v>0</v>
      </c>
      <c r="AX30">
        <f>TableauSuiviSprint_Init[[#This Row],[J3]]</f>
        <v>0</v>
      </c>
      <c r="AY30">
        <f>TableauSuiviSprint_Init[[#This Row],[J4]]</f>
        <v>0</v>
      </c>
      <c r="AZ30">
        <f>TableauSuiviSprint_Init[[#This Row],[J5]]</f>
        <v>0</v>
      </c>
      <c r="BA30">
        <f>TableauSuiviSprint_Init[[#This Row],[J6]]</f>
        <v>0</v>
      </c>
      <c r="BB30" s="190">
        <f>TableauSuiviSprint_Init[[#This Row],[J7]]</f>
        <v>0</v>
      </c>
      <c r="BC30" s="230">
        <f>TableauSuiviSprint_Init[[#This Row],[J8]]</f>
        <v>0</v>
      </c>
      <c r="BD30" s="236">
        <f>TableauSuiviSprint_Init[[#This Row],[J9]]</f>
        <v>0</v>
      </c>
    </row>
    <row r="31" spans="1:56" ht="33.75" customHeight="1" x14ac:dyDescent="0.25">
      <c r="B31" s="282" t="s">
        <v>151</v>
      </c>
      <c r="C31" s="283"/>
      <c r="D31" s="284"/>
      <c r="E31" s="291">
        <f>E29+E30</f>
        <v>31.125</v>
      </c>
      <c r="F31" s="291"/>
      <c r="G31" s="291"/>
      <c r="H31" s="291"/>
      <c r="I31" s="291"/>
      <c r="J31" s="289">
        <f>J29+J30</f>
        <v>1.625</v>
      </c>
      <c r="K31" s="289"/>
      <c r="L31" s="289">
        <f>L29+L30</f>
        <v>3.5</v>
      </c>
      <c r="M31" s="289"/>
      <c r="N31" s="289">
        <f>N29+N30</f>
        <v>3.5</v>
      </c>
      <c r="O31" s="289"/>
      <c r="P31" s="289">
        <f>P29+P30</f>
        <v>2.75</v>
      </c>
      <c r="Q31" s="289"/>
      <c r="R31" s="289">
        <f>R29+R30</f>
        <v>2.75</v>
      </c>
      <c r="S31" s="289"/>
      <c r="T31" s="289">
        <f>T29+T30</f>
        <v>3.5</v>
      </c>
      <c r="U31" s="289"/>
      <c r="V31" s="289">
        <f>V29+V30</f>
        <v>3.5</v>
      </c>
      <c r="W31" s="289"/>
      <c r="X31" s="289">
        <f>X29+X30</f>
        <v>3.5</v>
      </c>
      <c r="Y31" s="289"/>
      <c r="Z31" s="289">
        <f>Z29+Z30</f>
        <v>3.5</v>
      </c>
      <c r="AA31" s="289"/>
      <c r="AB31" s="289">
        <f>AB29+AB30</f>
        <v>3</v>
      </c>
      <c r="AC31" s="290"/>
      <c r="AE31" t="s">
        <v>93</v>
      </c>
      <c r="AF31" t="s">
        <v>81</v>
      </c>
      <c r="AG31" t="s">
        <v>105</v>
      </c>
      <c r="AH31" t="s">
        <v>152</v>
      </c>
      <c r="AJ31" s="11" t="str">
        <f>IF(TableauSuiviSprint_Init[[#This Row],[N° feature]]&lt;&gt;"",VLOOKUP(TableauSuiviSprint_Init[[#This Row],[N° feature]],SSG_Features[[#All],[ID]:[Tags]],3,FALSE),"")</f>
        <v/>
      </c>
      <c r="AK31" s="6"/>
      <c r="AL31" s="7"/>
      <c r="AM31" s="11" t="s">
        <v>153</v>
      </c>
      <c r="AN31" s="32"/>
      <c r="AO31" s="129"/>
      <c r="AP31" s="50"/>
      <c r="AQ31" s="30">
        <f>TableauSuiviSprint_Init[[#This Row],[Dev]]+TableauSuiviSprint_Init[[#This Row],[TC / MR]]</f>
        <v>0</v>
      </c>
      <c r="AR31" s="88"/>
      <c r="AT31" s="9">
        <f>TableauSuiviSprint_Init[[#This Row],[H. Dev]]+TableauSuiviSprint_Init[[#This Row],[H. Qualif]]</f>
        <v>0</v>
      </c>
      <c r="AU31">
        <f>TableauSuiviSprint_Init[[#This Row],[Init]]</f>
        <v>0</v>
      </c>
      <c r="AV31">
        <f>TableauSuiviSprint_Init[[#This Row],[Init]]</f>
        <v>0</v>
      </c>
      <c r="AW31">
        <f>TableauSuiviSprint_Init[[#This Row],[J2]]</f>
        <v>0</v>
      </c>
      <c r="AX31">
        <f>TableauSuiviSprint_Init[[#This Row],[J3]]</f>
        <v>0</v>
      </c>
      <c r="AY31">
        <f>TableauSuiviSprint_Init[[#This Row],[J4]]</f>
        <v>0</v>
      </c>
      <c r="AZ31">
        <f>TableauSuiviSprint_Init[[#This Row],[J5]]</f>
        <v>0</v>
      </c>
      <c r="BA31">
        <f>TableauSuiviSprint_Init[[#This Row],[J6]]</f>
        <v>0</v>
      </c>
      <c r="BB31">
        <f>TableauSuiviSprint_Init[[#This Row],[J7]]</f>
        <v>0</v>
      </c>
      <c r="BC31">
        <f>TableauSuiviSprint_Init[[#This Row],[J8]]</f>
        <v>0</v>
      </c>
      <c r="BD31">
        <f>TableauSuiviSprint_Init[[#This Row],[J9]]</f>
        <v>0</v>
      </c>
    </row>
    <row r="32" spans="1:56" ht="23.25" customHeight="1" x14ac:dyDescent="0.25">
      <c r="B32" s="282" t="s">
        <v>154</v>
      </c>
      <c r="C32" s="283"/>
      <c r="D32" s="284"/>
      <c r="E32" s="285">
        <f>SUM(J32:AC32)</f>
        <v>77.25</v>
      </c>
      <c r="F32" s="285"/>
      <c r="G32" s="285"/>
      <c r="H32" s="285"/>
      <c r="I32" s="286"/>
      <c r="J32" s="287">
        <f>J26+J29+J30</f>
        <v>3.25</v>
      </c>
      <c r="K32" s="288"/>
      <c r="L32" s="280">
        <f>L26+L29+L30</f>
        <v>7.5</v>
      </c>
      <c r="M32" s="280"/>
      <c r="N32" s="280">
        <f>N26+N29+N30</f>
        <v>8.5</v>
      </c>
      <c r="O32" s="280"/>
      <c r="P32" s="280">
        <f>P26+P29+P30</f>
        <v>9</v>
      </c>
      <c r="Q32" s="280"/>
      <c r="R32" s="280">
        <f>R26+R29+R30</f>
        <v>8</v>
      </c>
      <c r="S32" s="280"/>
      <c r="T32" s="280">
        <f>T26+T29+T30</f>
        <v>8.75</v>
      </c>
      <c r="U32" s="280"/>
      <c r="V32" s="280">
        <f>V26+V29+V30</f>
        <v>8.75</v>
      </c>
      <c r="W32" s="280"/>
      <c r="X32" s="280">
        <f>X26+X29+X30</f>
        <v>8.875</v>
      </c>
      <c r="Y32" s="280"/>
      <c r="Z32" s="280">
        <f>Z26+Z29+Z30</f>
        <v>10</v>
      </c>
      <c r="AA32" s="280"/>
      <c r="AB32" s="280">
        <f>AB26+AB29+AB30</f>
        <v>4.625</v>
      </c>
      <c r="AC32" s="281"/>
      <c r="AE32" t="s">
        <v>80</v>
      </c>
      <c r="AF32" t="s">
        <v>81</v>
      </c>
      <c r="AG32" t="s">
        <v>155</v>
      </c>
      <c r="AH32" t="s">
        <v>156</v>
      </c>
      <c r="AJ32" s="11" t="str">
        <f>IF(TableauSuiviSprint_Init[[#This Row],[N° feature]]&lt;&gt;"",VLOOKUP(TableauSuiviSprint_Init[[#This Row],[N° feature]],SSG_Features[[#All],[ID]:[Tags]],3,FALSE),"")</f>
        <v/>
      </c>
      <c r="AK32" s="6"/>
      <c r="AL32" s="7"/>
      <c r="AM32" s="11" t="s">
        <v>157</v>
      </c>
      <c r="AN32" s="175"/>
      <c r="AO32" s="175"/>
      <c r="AP32" s="50"/>
      <c r="AQ32" s="30">
        <f>TableauSuiviSprint_Init[[#This Row],[Dev]]+TableauSuiviSprint_Init[[#This Row],[TC / MR]]</f>
        <v>0</v>
      </c>
      <c r="AR32" s="88"/>
      <c r="AT32" s="9">
        <f>TableauSuiviSprint_Init[[#This Row],[H. Dev]]+TableauSuiviSprint_Init[[#This Row],[H. Qualif]]</f>
        <v>0</v>
      </c>
      <c r="AU32">
        <f>TableauSuiviSprint_Init[[#This Row],[Init]]</f>
        <v>0</v>
      </c>
      <c r="AV32">
        <f>TableauSuiviSprint_Init[[#This Row],[Init]]</f>
        <v>0</v>
      </c>
      <c r="AW32">
        <f>TableauSuiviSprint_Init[[#This Row],[J2]]</f>
        <v>0</v>
      </c>
      <c r="AX32">
        <f>TableauSuiviSprint_Init[[#This Row],[J3]]</f>
        <v>0</v>
      </c>
      <c r="AY32">
        <f>TableauSuiviSprint_Init[[#This Row],[J4]]</f>
        <v>0</v>
      </c>
      <c r="AZ32">
        <f>TableauSuiviSprint_Init[[#This Row],[J5]]</f>
        <v>0</v>
      </c>
      <c r="BA32">
        <f>TableauSuiviSprint_Init[[#This Row],[J6]]</f>
        <v>0</v>
      </c>
      <c r="BB32">
        <f>TableauSuiviSprint_Init[[#This Row],[J7]]</f>
        <v>0</v>
      </c>
      <c r="BC32">
        <f>TableauSuiviSprint_Init[[#This Row],[J8]]</f>
        <v>0</v>
      </c>
      <c r="BD32">
        <f>TableauSuiviSprint_Init[[#This Row],[J9]]</f>
        <v>0</v>
      </c>
    </row>
    <row r="33" spans="2:60" x14ac:dyDescent="0.25">
      <c r="B33" s="273" t="s">
        <v>158</v>
      </c>
      <c r="C33" s="274"/>
      <c r="D33" s="275"/>
      <c r="E33" s="276">
        <f>E32+SUM(E5:E25)</f>
        <v>114.625</v>
      </c>
      <c r="F33" s="277"/>
      <c r="G33" s="277"/>
      <c r="H33" s="277"/>
      <c r="I33" s="278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E33" t="s">
        <v>80</v>
      </c>
      <c r="AF33" t="s">
        <v>81</v>
      </c>
      <c r="AG33" t="s">
        <v>89</v>
      </c>
      <c r="AH33" t="s">
        <v>159</v>
      </c>
      <c r="AJ33" s="11" t="str">
        <f>IF(TableauSuiviSprint_Init[[#This Row],[N° feature]]&lt;&gt;"",VLOOKUP(TableauSuiviSprint_Init[[#This Row],[N° feature]],SSG_Features[[#All],[ID]:[Tags]],3,FALSE),"")</f>
        <v/>
      </c>
      <c r="AK33" s="6"/>
      <c r="AL33" s="7"/>
      <c r="AM33" s="11" t="s">
        <v>160</v>
      </c>
      <c r="AN33" s="175"/>
      <c r="AO33" s="211"/>
      <c r="AP33" s="50"/>
      <c r="AQ33" s="30">
        <f>TableauSuiviSprint_Init[[#This Row],[Dev]]+TableauSuiviSprint_Init[[#This Row],[TC / MR]]</f>
        <v>0</v>
      </c>
      <c r="AR33" s="88"/>
      <c r="AT33" s="9">
        <f>TableauSuiviSprint_Init[[#This Row],[H. Dev]]+TableauSuiviSprint_Init[[#This Row],[H. Qualif]]</f>
        <v>0</v>
      </c>
      <c r="AU33">
        <f>TableauSuiviSprint_Init[[#This Row],[Init]]</f>
        <v>0</v>
      </c>
      <c r="AV33">
        <f>TableauSuiviSprint_Init[[#This Row],[Init]]</f>
        <v>0</v>
      </c>
      <c r="AW33">
        <f>TableauSuiviSprint_Init[[#This Row],[J2]]</f>
        <v>0</v>
      </c>
      <c r="AX33">
        <f>TableauSuiviSprint_Init[[#This Row],[J3]]</f>
        <v>0</v>
      </c>
      <c r="AY33">
        <f>TableauSuiviSprint_Init[[#This Row],[J4]]</f>
        <v>0</v>
      </c>
      <c r="AZ33">
        <f>TableauSuiviSprint_Init[[#This Row],[J5]]</f>
        <v>0</v>
      </c>
      <c r="BA33">
        <f>TableauSuiviSprint_Init[[#This Row],[J6]]</f>
        <v>0</v>
      </c>
      <c r="BB33">
        <f>TableauSuiviSprint_Init[[#This Row],[J7]]</f>
        <v>0</v>
      </c>
      <c r="BC33">
        <f>TableauSuiviSprint_Init[[#This Row],[J8]]</f>
        <v>0</v>
      </c>
      <c r="BD33">
        <f>TableauSuiviSprint_Init[[#This Row],[J9]]</f>
        <v>0</v>
      </c>
    </row>
    <row r="34" spans="2:60" x14ac:dyDescent="0.25">
      <c r="J34" s="279" t="s">
        <v>161</v>
      </c>
      <c r="K34" s="279"/>
      <c r="L34" s="279" t="s">
        <v>162</v>
      </c>
      <c r="M34" s="279"/>
      <c r="N34" s="279" t="s">
        <v>163</v>
      </c>
      <c r="O34" s="279"/>
      <c r="P34" s="279" t="s">
        <v>164</v>
      </c>
      <c r="Q34" s="279"/>
      <c r="R34" s="54" t="s">
        <v>164</v>
      </c>
      <c r="T34" s="272" t="s">
        <v>165</v>
      </c>
      <c r="U34" s="272"/>
      <c r="W34" s="21" t="s">
        <v>166</v>
      </c>
      <c r="AC34" s="81"/>
      <c r="AG34" s="30"/>
      <c r="AJ34" s="11" t="str">
        <f>IF(TableauSuiviSprint_Init[[#This Row],[N° feature]]&lt;&gt;"",VLOOKUP(TableauSuiviSprint_Init[[#This Row],[N° feature]],SSG_Features[[#All],[ID]:[Tags]],3,FALSE),"")</f>
        <v/>
      </c>
      <c r="AK34" s="6"/>
      <c r="AL34" s="7"/>
      <c r="AM34" s="11"/>
      <c r="AN34" s="32"/>
      <c r="AO34" s="129"/>
      <c r="AP34" s="50"/>
      <c r="AQ34" s="30">
        <f>TableauSuiviSprint_Init[[#This Row],[Dev]]+TableauSuiviSprint_Init[[#This Row],[TC / MR]]</f>
        <v>0</v>
      </c>
      <c r="AR34" s="88"/>
      <c r="AT34" s="9">
        <f>TableauSuiviSprint_Init[[#This Row],[H. Dev]]+TableauSuiviSprint_Init[[#This Row],[H. Qualif]]</f>
        <v>0</v>
      </c>
      <c r="AU34">
        <f>TableauSuiviSprint_Init[[#This Row],[Init]]</f>
        <v>0</v>
      </c>
      <c r="AV34">
        <f>TableauSuiviSprint_Init[[#This Row],[Init]]</f>
        <v>0</v>
      </c>
      <c r="AW34">
        <f>TableauSuiviSprint_Init[[#This Row],[J2]]</f>
        <v>0</v>
      </c>
      <c r="AX34">
        <f>TableauSuiviSprint_Init[[#This Row],[J3]]</f>
        <v>0</v>
      </c>
      <c r="AY34">
        <f>TableauSuiviSprint_Init[[#This Row],[J4]]</f>
        <v>0</v>
      </c>
      <c r="AZ34">
        <f>TableauSuiviSprint_Init[[#This Row],[J5]]</f>
        <v>0</v>
      </c>
      <c r="BA34">
        <f>TableauSuiviSprint_Init[[#This Row],[J6]]</f>
        <v>0</v>
      </c>
      <c r="BB34">
        <f>TableauSuiviSprint_Init[[#This Row],[J7]]</f>
        <v>0</v>
      </c>
      <c r="BC34">
        <f>TableauSuiviSprint_Init[[#This Row],[J8]]</f>
        <v>0</v>
      </c>
      <c r="BD34">
        <f>TableauSuiviSprint_Init[[#This Row],[J9]]</f>
        <v>0</v>
      </c>
    </row>
    <row r="35" spans="2:60" x14ac:dyDescent="0.25">
      <c r="B35" s="1" t="s">
        <v>167</v>
      </c>
      <c r="C35" s="1"/>
      <c r="D35" s="1"/>
      <c r="E35" s="1"/>
      <c r="F35" s="1"/>
      <c r="G35" s="1"/>
      <c r="H35" s="1"/>
      <c r="I35" s="1"/>
      <c r="J35" s="248">
        <f>SUM(F5:F25)</f>
        <v>12.875</v>
      </c>
      <c r="K35" s="248"/>
      <c r="L35" s="248">
        <f>J35*HEURES</f>
        <v>77.25</v>
      </c>
      <c r="M35" s="248"/>
      <c r="N35" s="248" t="s">
        <v>168</v>
      </c>
      <c r="O35" s="248"/>
      <c r="P35" s="258" t="s">
        <v>168</v>
      </c>
      <c r="Q35" s="258"/>
      <c r="R35" s="55" t="s">
        <v>32</v>
      </c>
      <c r="T35" s="264">
        <f>$L35/SUM($L$36:$M$39)</f>
        <v>0.11063372717508056</v>
      </c>
      <c r="U35" s="264"/>
      <c r="W35" s="265">
        <v>0.4</v>
      </c>
      <c r="X35" s="265"/>
      <c r="Y35" s="266"/>
      <c r="Z35" s="266"/>
      <c r="AA35" s="89"/>
      <c r="AF35" t="s">
        <v>47</v>
      </c>
      <c r="AG35" t="s">
        <v>48</v>
      </c>
      <c r="AH35" t="s">
        <v>169</v>
      </c>
      <c r="AJ35" s="11" t="str">
        <f>IF(TableauSuiviSprint_Init[[#This Row],[N° feature]]&lt;&gt;"",VLOOKUP(TableauSuiviSprint_Init[[#This Row],[N° feature]],SSG_Features[[#All],[ID]:[Tags]],3,FALSE),"")</f>
        <v/>
      </c>
      <c r="AK35" s="6"/>
      <c r="AL35" s="7"/>
      <c r="AM35" s="11"/>
      <c r="AN35" s="32"/>
      <c r="AO35" s="50"/>
      <c r="AP35" s="50"/>
      <c r="AQ35" s="30">
        <f>TableauSuiviSprint_Init[[#This Row],[Dev]]+TableauSuiviSprint_Init[[#This Row],[TC / MR]]</f>
        <v>0</v>
      </c>
      <c r="AR35" s="88"/>
      <c r="AS35" s="30"/>
      <c r="AT35" s="9">
        <f>TableauSuiviSprint_Init[[#This Row],[H. Dev]]+TableauSuiviSprint_Init[[#This Row],[H. Qualif]]</f>
        <v>0</v>
      </c>
      <c r="AU35">
        <f>TableauSuiviSprint_Init[[#This Row],[Init]]</f>
        <v>0</v>
      </c>
      <c r="AV35">
        <f>TableauSuiviSprint_Init[[#This Row],[Init]]</f>
        <v>0</v>
      </c>
      <c r="AW35">
        <f>TableauSuiviSprint_Init[[#This Row],[J2]]</f>
        <v>0</v>
      </c>
      <c r="AX35">
        <f>TableauSuiviSprint_Init[[#This Row],[J3]]</f>
        <v>0</v>
      </c>
      <c r="AY35">
        <f>TableauSuiviSprint_Init[[#This Row],[J4]]</f>
        <v>0</v>
      </c>
      <c r="AZ35">
        <f>TableauSuiviSprint_Init[[#This Row],[J5]]</f>
        <v>0</v>
      </c>
      <c r="BA35">
        <f>TableauSuiviSprint_Init[[#This Row],[J6]]</f>
        <v>0</v>
      </c>
      <c r="BB35">
        <f>TableauSuiviSprint_Init[[#This Row],[J7]]</f>
        <v>0</v>
      </c>
      <c r="BC35">
        <f>TableauSuiviSprint_Init[[#This Row],[J8]]</f>
        <v>0</v>
      </c>
      <c r="BD35">
        <f>TableauSuiviSprint_Init[[#This Row],[J9]]</f>
        <v>0</v>
      </c>
      <c r="BG35" t="s">
        <v>170</v>
      </c>
    </row>
    <row r="36" spans="2:60" x14ac:dyDescent="0.25">
      <c r="B36" s="2" t="s">
        <v>171</v>
      </c>
      <c r="C36" s="2"/>
      <c r="D36" s="2"/>
      <c r="E36" s="2"/>
      <c r="F36" s="2"/>
      <c r="G36" s="2"/>
      <c r="H36" s="2"/>
      <c r="I36" s="2"/>
      <c r="J36" s="267">
        <f>SUM(I5:I25)</f>
        <v>23</v>
      </c>
      <c r="K36" s="267"/>
      <c r="L36" s="248">
        <f>J36*HEURES</f>
        <v>138</v>
      </c>
      <c r="M36" s="248"/>
      <c r="N36" s="268">
        <f>SUMIF(TableauSuiviSprint_Init[Techno],".NET",TableauSuiviSprint_Init[H. Dev])</f>
        <v>184</v>
      </c>
      <c r="O36" s="268"/>
      <c r="P36" s="256">
        <f>N36/L36</f>
        <v>1.3333333333333333</v>
      </c>
      <c r="Q36" s="256"/>
      <c r="R36" s="269">
        <f>(N36+N37)/(L36+L37)</f>
        <v>1.1526648599819331</v>
      </c>
      <c r="T36" s="264">
        <f>$L36/SUM($L$36:$M$39)</f>
        <v>0.19763694951664876</v>
      </c>
      <c r="U36" s="264"/>
      <c r="W36" s="271">
        <f>(L36+L37)*40%</f>
        <v>110.7</v>
      </c>
      <c r="X36" s="271"/>
      <c r="Y36" s="260"/>
      <c r="Z36" s="260"/>
      <c r="AA36" s="260"/>
      <c r="AB36" s="260"/>
      <c r="AJ36" s="11" t="str">
        <f>IF(TableauSuiviSprint_Init[[#This Row],[N° feature]]&lt;&gt;"",VLOOKUP(TableauSuiviSprint_Init[[#This Row],[N° feature]],SSG_Features[[#All],[ID]:[Tags]],3,FALSE),"")</f>
        <v/>
      </c>
      <c r="AK36" s="6"/>
      <c r="AL36" s="7"/>
      <c r="AM36" s="11"/>
      <c r="AN36" s="32"/>
      <c r="AO36" s="50"/>
      <c r="AP36" s="50"/>
      <c r="AQ36" s="30">
        <f>TableauSuiviSprint_Init[[#This Row],[Dev]]+TableauSuiviSprint_Init[[#This Row],[TC / MR]]</f>
        <v>0</v>
      </c>
      <c r="AR36" s="88"/>
      <c r="AS36" s="30"/>
      <c r="AT36" s="9">
        <f>TableauSuiviSprint_Init[[#This Row],[H. Dev]]+TableauSuiviSprint_Init[[#This Row],[H. Qualif]]</f>
        <v>0</v>
      </c>
      <c r="AU36">
        <f>TableauSuiviSprint_Init[[#This Row],[Init]]</f>
        <v>0</v>
      </c>
      <c r="AV36">
        <f>TableauSuiviSprint_Init[[#This Row],[Init]]</f>
        <v>0</v>
      </c>
      <c r="AW36">
        <f>TableauSuiviSprint_Init[[#This Row],[J2]]</f>
        <v>0</v>
      </c>
      <c r="AX36">
        <f>TableauSuiviSprint_Init[[#This Row],[J3]]</f>
        <v>0</v>
      </c>
      <c r="AY36">
        <f>TableauSuiviSprint_Init[[#This Row],[J4]]</f>
        <v>0</v>
      </c>
      <c r="AZ36">
        <f>TableauSuiviSprint_Init[[#This Row],[J5]]</f>
        <v>0</v>
      </c>
      <c r="BA36">
        <f>TableauSuiviSprint_Init[[#This Row],[J6]]</f>
        <v>0</v>
      </c>
      <c r="BB36">
        <f>TableauSuiviSprint_Init[[#This Row],[J7]]</f>
        <v>0</v>
      </c>
      <c r="BC36">
        <f>TableauSuiviSprint_Init[[#This Row],[J8]]</f>
        <v>0</v>
      </c>
      <c r="BD36">
        <f>TableauSuiviSprint_Init[[#This Row],[J9]]</f>
        <v>0</v>
      </c>
      <c r="BE36" s="66"/>
      <c r="BH36" s="6"/>
    </row>
    <row r="37" spans="2:60" x14ac:dyDescent="0.25">
      <c r="B37" s="47" t="s">
        <v>172</v>
      </c>
      <c r="C37" s="47"/>
      <c r="D37" s="47"/>
      <c r="E37" s="47"/>
      <c r="F37" s="47"/>
      <c r="G37" s="47"/>
      <c r="H37" s="47"/>
      <c r="I37" s="47"/>
      <c r="J37" s="261">
        <f>SUM(H5:H25)</f>
        <v>23.125</v>
      </c>
      <c r="K37" s="261"/>
      <c r="L37" s="262">
        <f>J37*HEURES</f>
        <v>138.75</v>
      </c>
      <c r="M37" s="262"/>
      <c r="N37" s="263">
        <f>SUMIF(TableauSuiviSprint_Init[Techno],"&lt;&gt;.NET",TableauSuiviSprint_Init[H. Dev])-AQ44</f>
        <v>135</v>
      </c>
      <c r="O37" s="263"/>
      <c r="P37" s="256">
        <f>N37/L37</f>
        <v>0.97297297297297303</v>
      </c>
      <c r="Q37" s="256"/>
      <c r="R37" s="270"/>
      <c r="T37" s="264">
        <f>$L38/SUM($L$36:$M$39)</f>
        <v>0.15682062298603652</v>
      </c>
      <c r="U37" s="264"/>
      <c r="AE37" t="s">
        <v>80</v>
      </c>
      <c r="AF37" t="s">
        <v>81</v>
      </c>
      <c r="AG37" t="s">
        <v>105</v>
      </c>
      <c r="AH37" t="s">
        <v>173</v>
      </c>
      <c r="AJ37" s="11" t="str">
        <f>IF(TableauSuiviSprint_Init[[#This Row],[N° feature]]&lt;&gt;"",VLOOKUP(TableauSuiviSprint_Init[[#This Row],[N° feature]],SSG_Features[[#All],[ID]:[Tags]],3,FALSE),"")</f>
        <v/>
      </c>
      <c r="AK37" s="6"/>
      <c r="AL37" s="7"/>
      <c r="AM37" s="11" t="s">
        <v>174</v>
      </c>
      <c r="AN37" s="32"/>
      <c r="AO37" s="50"/>
      <c r="AP37" s="50"/>
      <c r="AQ37" s="30">
        <f>TableauSuiviSprint_Init[[#This Row],[Dev]]+TableauSuiviSprint_Init[[#This Row],[TC / MR]]</f>
        <v>0</v>
      </c>
      <c r="AR37" s="88"/>
      <c r="AS37" s="30"/>
      <c r="AT37" s="9">
        <f>TableauSuiviSprint_Init[[#This Row],[H. Dev]]+TableauSuiviSprint_Init[[#This Row],[H. Qualif]]</f>
        <v>0</v>
      </c>
      <c r="AU37">
        <f>TableauSuiviSprint_Init[[#This Row],[Init]]</f>
        <v>0</v>
      </c>
      <c r="AV37">
        <f>TableauSuiviSprint_Init[[#This Row],[Init]]</f>
        <v>0</v>
      </c>
      <c r="AW37">
        <f>TableauSuiviSprint_Init[[#This Row],[J2]]</f>
        <v>0</v>
      </c>
      <c r="AX37">
        <f>TableauSuiviSprint_Init[[#This Row],[J3]]</f>
        <v>0</v>
      </c>
      <c r="AY37">
        <f>TableauSuiviSprint_Init[[#This Row],[J4]]</f>
        <v>0</v>
      </c>
      <c r="AZ37">
        <f>TableauSuiviSprint_Init[[#This Row],[J5]]</f>
        <v>0</v>
      </c>
      <c r="BA37">
        <f>TableauSuiviSprint_Init[[#This Row],[J6]]</f>
        <v>0</v>
      </c>
      <c r="BB37">
        <f>TableauSuiviSprint_Init[[#This Row],[J7]]</f>
        <v>0</v>
      </c>
      <c r="BC37">
        <f>TableauSuiviSprint_Init[[#This Row],[J8]]</f>
        <v>0</v>
      </c>
      <c r="BD37">
        <f>TableauSuiviSprint_Init[[#This Row],[J9]]</f>
        <v>0</v>
      </c>
      <c r="BE37" s="66"/>
      <c r="BH37" s="6"/>
    </row>
    <row r="38" spans="2:60" x14ac:dyDescent="0.25">
      <c r="B38" s="3" t="s">
        <v>175</v>
      </c>
      <c r="C38" s="3"/>
      <c r="D38" s="3"/>
      <c r="E38" s="3"/>
      <c r="F38" s="3"/>
      <c r="G38" s="3"/>
      <c r="H38" s="3"/>
      <c r="I38" s="3"/>
      <c r="J38" s="248">
        <f>SUM(G5:G25)</f>
        <v>18.25</v>
      </c>
      <c r="K38" s="249"/>
      <c r="L38" s="248">
        <f>J38*HEURES</f>
        <v>109.5</v>
      </c>
      <c r="M38" s="249"/>
      <c r="N38" s="248">
        <f>TableauSuiviSprint_Init[[#Totals],[H. Qualif]]</f>
        <v>87</v>
      </c>
      <c r="O38" s="249"/>
      <c r="P38" s="256">
        <f>N38/L38</f>
        <v>0.79452054794520544</v>
      </c>
      <c r="Q38" s="257"/>
      <c r="AE38" t="s">
        <v>80</v>
      </c>
      <c r="AF38" t="s">
        <v>81</v>
      </c>
      <c r="AG38" t="s">
        <v>105</v>
      </c>
      <c r="AH38" t="s">
        <v>176</v>
      </c>
      <c r="AJ38" s="11" t="str">
        <f>IF(TableauSuiviSprint_Init[[#This Row],[N° feature]]&lt;&gt;"",VLOOKUP(TableauSuiviSprint_Init[[#This Row],[N° feature]],SSG_Features[[#All],[ID]:[Tags]],3,FALSE),"")</f>
        <v/>
      </c>
      <c r="AK38" s="6"/>
      <c r="AL38" s="7"/>
      <c r="AM38" s="11" t="s">
        <v>177</v>
      </c>
      <c r="AN38" s="32"/>
      <c r="AO38" s="50"/>
      <c r="AP38" s="50"/>
      <c r="AQ38" s="30">
        <f>TableauSuiviSprint_Init[[#This Row],[Dev]]+TableauSuiviSprint_Init[[#This Row],[TC / MR]]</f>
        <v>0</v>
      </c>
      <c r="AR38" s="88"/>
      <c r="AT38" s="9">
        <f>TableauSuiviSprint_Init[[#This Row],[H. Dev]]+TableauSuiviSprint_Init[[#This Row],[H. Qualif]]</f>
        <v>0</v>
      </c>
      <c r="AU38">
        <f>TableauSuiviSprint_Init[[#This Row],[Init]]</f>
        <v>0</v>
      </c>
      <c r="AV38">
        <f>TableauSuiviSprint_Init[[#This Row],[Init]]</f>
        <v>0</v>
      </c>
      <c r="AW38">
        <f>TableauSuiviSprint_Init[[#This Row],[J2]]</f>
        <v>0</v>
      </c>
      <c r="AX38">
        <f>TableauSuiviSprint_Init[[#This Row],[J3]]</f>
        <v>0</v>
      </c>
      <c r="AY38">
        <f>TableauSuiviSprint_Init[[#This Row],[J4]]</f>
        <v>0</v>
      </c>
      <c r="AZ38">
        <f>TableauSuiviSprint_Init[[#This Row],[J5]]</f>
        <v>0</v>
      </c>
      <c r="BA38">
        <f>TableauSuiviSprint_Init[[#This Row],[J6]]</f>
        <v>0</v>
      </c>
      <c r="BB38">
        <f>TableauSuiviSprint_Init[[#This Row],[J7]]</f>
        <v>0</v>
      </c>
      <c r="BC38">
        <f>TableauSuiviSprint_Init[[#This Row],[J8]]</f>
        <v>0</v>
      </c>
      <c r="BD38">
        <f>TableauSuiviSprint_Init[[#This Row],[J9]]</f>
        <v>0</v>
      </c>
      <c r="BH38" s="6"/>
    </row>
    <row r="39" spans="2:60" ht="22.5" customHeight="1" x14ac:dyDescent="0.25">
      <c r="B39" s="4" t="s">
        <v>178</v>
      </c>
      <c r="C39" s="4"/>
      <c r="D39" s="4"/>
      <c r="E39" s="4"/>
      <c r="F39" s="4"/>
      <c r="G39" s="4"/>
      <c r="H39" s="4"/>
      <c r="I39" s="4"/>
      <c r="J39" s="248">
        <f>(COUNTIF($J$6:$AC$20,"O")/2)</f>
        <v>52</v>
      </c>
      <c r="K39" s="249"/>
      <c r="L39" s="248">
        <f>J39*HEURES</f>
        <v>312</v>
      </c>
      <c r="M39" s="249"/>
      <c r="N39" s="248" t="s">
        <v>168</v>
      </c>
      <c r="O39" s="249"/>
      <c r="P39" s="258" t="s">
        <v>168</v>
      </c>
      <c r="Q39" s="259"/>
      <c r="AE39" t="s">
        <v>80</v>
      </c>
      <c r="AF39" t="s">
        <v>81</v>
      </c>
      <c r="AG39" t="s">
        <v>124</v>
      </c>
      <c r="AH39" t="s">
        <v>159</v>
      </c>
      <c r="AJ39" s="11" t="str">
        <f>IF(TableauSuiviSprint_Init[[#This Row],[N° feature]]&lt;&gt;"",VLOOKUP(TableauSuiviSprint_Init[[#This Row],[N° feature]],SSG_Features[[#All],[ID]:[Tags]],3,FALSE),"")</f>
        <v/>
      </c>
      <c r="AK39" s="6"/>
      <c r="AL39" s="7"/>
      <c r="AM39" s="11" t="s">
        <v>179</v>
      </c>
      <c r="AN39" s="32"/>
      <c r="AO39" s="50"/>
      <c r="AP39" s="50"/>
      <c r="AQ39" s="30">
        <f>TableauSuiviSprint_Init[[#This Row],[Dev]]+TableauSuiviSprint_Init[[#This Row],[TC / MR]]</f>
        <v>0</v>
      </c>
      <c r="AR39" s="88"/>
      <c r="AT39" s="9">
        <f>TableauSuiviSprint_Init[[#This Row],[H. Dev]]+TableauSuiviSprint_Init[[#This Row],[H. Qualif]]</f>
        <v>0</v>
      </c>
      <c r="AU39">
        <f>TableauSuiviSprint_Init[[#This Row],[Init]]</f>
        <v>0</v>
      </c>
      <c r="AV39">
        <f>TableauSuiviSprint_Init[[#This Row],[Init]]</f>
        <v>0</v>
      </c>
      <c r="AW39">
        <f>TableauSuiviSprint_Init[[#This Row],[J2]]</f>
        <v>0</v>
      </c>
      <c r="AX39">
        <f>TableauSuiviSprint_Init[[#This Row],[J3]]</f>
        <v>0</v>
      </c>
      <c r="AY39">
        <f>TableauSuiviSprint_Init[[#This Row],[J4]]</f>
        <v>0</v>
      </c>
      <c r="AZ39">
        <f>TableauSuiviSprint_Init[[#This Row],[J5]]</f>
        <v>0</v>
      </c>
      <c r="BA39">
        <f>TableauSuiviSprint_Init[[#This Row],[J6]]</f>
        <v>0</v>
      </c>
      <c r="BB39">
        <f>TableauSuiviSprint_Init[[#This Row],[J7]]</f>
        <v>0</v>
      </c>
      <c r="BC39">
        <f>TableauSuiviSprint_Init[[#This Row],[J8]]</f>
        <v>0</v>
      </c>
      <c r="BD39">
        <f>TableauSuiviSprint_Init[[#This Row],[J9]]</f>
        <v>0</v>
      </c>
      <c r="BG39" s="6"/>
    </row>
    <row r="40" spans="2:60" ht="27.75" customHeight="1" x14ac:dyDescent="0.25">
      <c r="B40" s="46" t="s">
        <v>180</v>
      </c>
      <c r="C40" s="46"/>
      <c r="D40" s="46"/>
      <c r="E40" s="46"/>
      <c r="F40" s="46"/>
      <c r="G40" s="46"/>
      <c r="H40" s="46"/>
      <c r="I40" s="46"/>
      <c r="J40" s="248">
        <f>(COUNTIF($J$6:$AC$20,"A")/2)</f>
        <v>9</v>
      </c>
      <c r="K40" s="249"/>
      <c r="AJ40" s="11" t="str">
        <f>IF(TableauSuiviSprint_Init[[#This Row],[N° feature]]&lt;&gt;"",VLOOKUP(TableauSuiviSprint_Init[[#This Row],[N° feature]],SSG_Features[[#All],[ID]:[Tags]],3,FALSE),"")</f>
        <v/>
      </c>
      <c r="AK40" s="6"/>
      <c r="AL40" s="7"/>
      <c r="AM40" s="11"/>
      <c r="AN40" s="32"/>
      <c r="AO40" s="50"/>
      <c r="AP40" s="50"/>
      <c r="AQ40" s="30">
        <f>TableauSuiviSprint_Init[[#This Row],[Dev]]+TableauSuiviSprint_Init[[#This Row],[TC / MR]]</f>
        <v>0</v>
      </c>
      <c r="AR40" s="88"/>
      <c r="AT40" s="9">
        <f>TableauSuiviSprint_Init[[#This Row],[H. Dev]]+TableauSuiviSprint_Init[[#This Row],[H. Qualif]]</f>
        <v>0</v>
      </c>
      <c r="AU40">
        <f>TableauSuiviSprint_Init[[#This Row],[Init]]</f>
        <v>0</v>
      </c>
      <c r="AV40">
        <f>TableauSuiviSprint_Init[[#This Row],[Init]]</f>
        <v>0</v>
      </c>
      <c r="AW40">
        <f>TableauSuiviSprint_Init[[#This Row],[J2]]</f>
        <v>0</v>
      </c>
      <c r="AX40">
        <f>TableauSuiviSprint_Init[[#This Row],[J3]]</f>
        <v>0</v>
      </c>
      <c r="AY40">
        <f>TableauSuiviSprint_Init[[#This Row],[J4]]</f>
        <v>0</v>
      </c>
      <c r="AZ40">
        <f>TableauSuiviSprint_Init[[#This Row],[J5]]</f>
        <v>0</v>
      </c>
      <c r="BA40">
        <f>TableauSuiviSprint_Init[[#This Row],[J6]]</f>
        <v>0</v>
      </c>
      <c r="BB40">
        <f>TableauSuiviSprint_Init[[#This Row],[J7]]</f>
        <v>0</v>
      </c>
      <c r="BC40">
        <f>TableauSuiviSprint_Init[[#This Row],[J8]]</f>
        <v>0</v>
      </c>
      <c r="BD40">
        <f>TableauSuiviSprint_Init[[#This Row],[J9]]</f>
        <v>0</v>
      </c>
    </row>
    <row r="41" spans="2:60" x14ac:dyDescent="0.25">
      <c r="B41" s="250" t="s">
        <v>181</v>
      </c>
      <c r="C41" s="250"/>
      <c r="D41" s="250"/>
      <c r="E41" s="250"/>
      <c r="F41" s="250"/>
      <c r="G41" s="250"/>
      <c r="H41" s="250"/>
      <c r="I41" s="250"/>
      <c r="J41" s="251">
        <f>SUM(D6:D25)</f>
        <v>127</v>
      </c>
      <c r="K41" s="252"/>
      <c r="AJ41" s="11" t="str">
        <f>IF(TableauSuiviSprint_Init[[#This Row],[N° feature]]&lt;&gt;"",VLOOKUP(TableauSuiviSprint_Init[[#This Row],[N° feature]],SSG_Features[[#All],[ID]:[Tags]],3,FALSE),"")</f>
        <v/>
      </c>
      <c r="AK41" s="6"/>
      <c r="AL41" s="7"/>
      <c r="AM41" s="11"/>
      <c r="AN41" s="32"/>
      <c r="AO41" s="50"/>
      <c r="AP41" s="50"/>
      <c r="AQ41" s="30">
        <f>TableauSuiviSprint_Init[[#This Row],[Dev]]+TableauSuiviSprint_Init[[#This Row],[TC / MR]]</f>
        <v>0</v>
      </c>
      <c r="AR41" s="88"/>
      <c r="AT41" s="9">
        <f>TableauSuiviSprint_Init[[#This Row],[H. Dev]]+TableauSuiviSprint_Init[[#This Row],[H. Qualif]]</f>
        <v>0</v>
      </c>
      <c r="AU41">
        <f>TableauSuiviSprint_Init[[#This Row],[Init]]</f>
        <v>0</v>
      </c>
      <c r="AV41">
        <f>TableauSuiviSprint_Init[[#This Row],[Init]]</f>
        <v>0</v>
      </c>
      <c r="AW41">
        <f>TableauSuiviSprint_Init[[#This Row],[J2]]</f>
        <v>0</v>
      </c>
      <c r="AX41">
        <f>TableauSuiviSprint_Init[[#This Row],[J3]]</f>
        <v>0</v>
      </c>
      <c r="AY41">
        <f>TableauSuiviSprint_Init[[#This Row],[J4]]</f>
        <v>0</v>
      </c>
      <c r="AZ41">
        <f>TableauSuiviSprint_Init[[#This Row],[J5]]</f>
        <v>0</v>
      </c>
      <c r="BA41">
        <f>TableauSuiviSprint_Init[[#This Row],[J6]]</f>
        <v>0</v>
      </c>
      <c r="BB41">
        <f>TableauSuiviSprint_Init[[#This Row],[J7]]</f>
        <v>0</v>
      </c>
      <c r="BC41">
        <f>TableauSuiviSprint_Init[[#This Row],[J8]]</f>
        <v>0</v>
      </c>
      <c r="BD41">
        <f>TableauSuiviSprint_Init[[#This Row],[J9]]</f>
        <v>0</v>
      </c>
      <c r="BG41" s="6"/>
    </row>
    <row r="42" spans="2:60" x14ac:dyDescent="0.25">
      <c r="B42" s="21" t="s">
        <v>182</v>
      </c>
      <c r="C42" s="108" t="str">
        <f>IF(Total_jour_presence=J43,"OK","KO")</f>
        <v>OK</v>
      </c>
      <c r="AJ42" t="str">
        <f>IF(TableauSuiviSprint_Init[[#This Row],[N° feature]]&lt;&gt;"",VLOOKUP(TableauSuiviSprint_Init[[#This Row],[N° feature]],SSG_Features[[#All],[ID]:[Tags]],3,FALSE),"")</f>
        <v/>
      </c>
      <c r="AK42" s="6"/>
      <c r="AL42" s="7"/>
      <c r="AM42" s="11"/>
      <c r="AN42" s="32"/>
      <c r="AO42" s="50"/>
      <c r="AP42" s="50"/>
      <c r="AQ42" s="30">
        <f>TableauSuiviSprint_Init[[#This Row],[Dev]]+TableauSuiviSprint_Init[[#This Row],[TC / MR]]</f>
        <v>0</v>
      </c>
      <c r="AR42" s="88"/>
      <c r="AT42" s="9">
        <f>TableauSuiviSprint_Init[[#This Row],[H. Dev]]+TableauSuiviSprint_Init[[#This Row],[H. Qualif]]</f>
        <v>0</v>
      </c>
      <c r="AU42">
        <f>TableauSuiviSprint_Init[[#This Row],[Init]]</f>
        <v>0</v>
      </c>
      <c r="AV42">
        <f>TableauSuiviSprint_Init[[#This Row],[Init]]</f>
        <v>0</v>
      </c>
      <c r="AW42">
        <f>TableauSuiviSprint_Init[[#This Row],[J2]]</f>
        <v>0</v>
      </c>
      <c r="AX42">
        <f>TableauSuiviSprint_Init[[#This Row],[J3]]</f>
        <v>0</v>
      </c>
      <c r="AY42">
        <f>TableauSuiviSprint_Init[[#This Row],[J4]]</f>
        <v>0</v>
      </c>
      <c r="AZ42">
        <f>TableauSuiviSprint_Init[[#This Row],[J5]]</f>
        <v>0</v>
      </c>
      <c r="BA42">
        <f>TableauSuiviSprint_Init[[#This Row],[J6]]</f>
        <v>0</v>
      </c>
      <c r="BB42">
        <f>TableauSuiviSprint_Init[[#This Row],[J7]]</f>
        <v>0</v>
      </c>
      <c r="BC42">
        <f>TableauSuiviSprint_Init[[#This Row],[J8]]</f>
        <v>0</v>
      </c>
      <c r="BD42">
        <f>TableauSuiviSprint_Init[[#This Row],[J9]]</f>
        <v>0</v>
      </c>
      <c r="BG42" s="6"/>
    </row>
    <row r="43" spans="2:60" x14ac:dyDescent="0.25">
      <c r="J43" s="117">
        <f>[1]Planning!$PZ$33</f>
        <v>127</v>
      </c>
      <c r="K43" s="30"/>
      <c r="AJ43" t="str">
        <f>IF(TableauSuiviSprint_Init[[#This Row],[N° feature]]&lt;&gt;"",VLOOKUP(TableauSuiviSprint_Init[[#This Row],[N° feature]],SSG_Features[[#All],[ID]:[Tags]],3,FALSE),"")</f>
        <v/>
      </c>
      <c r="AK43" s="6"/>
      <c r="AL43" s="7"/>
      <c r="AM43" s="11"/>
      <c r="AN43" s="32"/>
      <c r="AO43" s="50"/>
      <c r="AP43" s="50"/>
      <c r="AQ43" s="30">
        <f>TableauSuiviSprint_Init[[#This Row],[Dev]]+TableauSuiviSprint_Init[[#This Row],[TC / MR]]</f>
        <v>0</v>
      </c>
      <c r="AR43" s="88"/>
      <c r="AT43" s="9">
        <f>TableauSuiviSprint_Init[[#This Row],[H. Dev]]+TableauSuiviSprint_Init[[#This Row],[H. Qualif]]</f>
        <v>0</v>
      </c>
      <c r="AU43">
        <f>TableauSuiviSprint_Init[[#This Row],[Init]]</f>
        <v>0</v>
      </c>
      <c r="AV43">
        <f>TableauSuiviSprint_Init[[#This Row],[Init]]</f>
        <v>0</v>
      </c>
      <c r="AW43">
        <f>TableauSuiviSprint_Init[[#This Row],[J2]]</f>
        <v>0</v>
      </c>
      <c r="AX43">
        <f>TableauSuiviSprint_Init[[#This Row],[J3]]</f>
        <v>0</v>
      </c>
      <c r="AY43">
        <f>TableauSuiviSprint_Init[[#This Row],[J4]]</f>
        <v>0</v>
      </c>
      <c r="AZ43">
        <f>TableauSuiviSprint_Init[[#This Row],[J5]]</f>
        <v>0</v>
      </c>
      <c r="BA43">
        <f>TableauSuiviSprint_Init[[#This Row],[J6]]</f>
        <v>0</v>
      </c>
      <c r="BB43">
        <f>TableauSuiviSprint_Init[[#This Row],[J7]]</f>
        <v>0</v>
      </c>
      <c r="BC43">
        <f>TableauSuiviSprint_Init[[#This Row],[J8]]</f>
        <v>0</v>
      </c>
      <c r="BD43">
        <f>TableauSuiviSprint_Init[[#This Row],[J9]]</f>
        <v>0</v>
      </c>
      <c r="BG43" s="6"/>
    </row>
    <row r="44" spans="2:60" x14ac:dyDescent="0.25">
      <c r="B44" s="10"/>
      <c r="C44" s="10"/>
      <c r="D44" s="10"/>
      <c r="E44" s="10"/>
      <c r="F44" s="10"/>
      <c r="G44" s="10"/>
      <c r="H44" s="10"/>
      <c r="I44" s="10"/>
      <c r="K44" s="56"/>
      <c r="N44" s="21"/>
      <c r="O44" s="21"/>
      <c r="P44" s="21"/>
      <c r="Q44" s="45"/>
      <c r="AH44" t="s">
        <v>183</v>
      </c>
      <c r="AJ44" t="str">
        <f>IF(TableauSuiviSprint_Init[[#This Row],[N° feature]]&lt;&gt;"",VLOOKUP(TableauSuiviSprint_Init[[#This Row],[N° feature]],SSG_Features[[#All],[ID]:[Tags]],3,FALSE),"")</f>
        <v/>
      </c>
      <c r="AK44" s="6"/>
      <c r="AL44" s="7"/>
      <c r="AM44" s="11" t="s">
        <v>184</v>
      </c>
      <c r="AO44" s="41"/>
      <c r="AP44" s="41"/>
      <c r="AQ44" s="21">
        <f>MAX(AH59-SUM(AQ5:AQ43),0)</f>
        <v>0</v>
      </c>
      <c r="AR44" s="21"/>
      <c r="AT44" s="9">
        <f>TableauSuiviSprint_Init[[#This Row],[H. Dev]]+TableauSuiviSprint_Init[[#This Row],[H. Qualif]]</f>
        <v>0</v>
      </c>
      <c r="AU44">
        <f>TableauSuiviSprint_Init[[#This Row],[Init]]</f>
        <v>0</v>
      </c>
      <c r="AV44">
        <f>TableauSuiviSprint_Init[[#This Row],[Init]]</f>
        <v>0</v>
      </c>
      <c r="AW44">
        <f>TableauSuiviSprint_Init[[#This Row],[J2]]</f>
        <v>0</v>
      </c>
      <c r="AX44">
        <f>TableauSuiviSprint_Init[[#This Row],[J3]]</f>
        <v>0</v>
      </c>
      <c r="AY44">
        <f>TableauSuiviSprint_Init[[#This Row],[J4]]</f>
        <v>0</v>
      </c>
      <c r="AZ44">
        <f>TableauSuiviSprint_Init[[#This Row],[J5]]</f>
        <v>0</v>
      </c>
      <c r="BA44">
        <f>TableauSuiviSprint_Init[[#This Row],[J6]]</f>
        <v>0</v>
      </c>
      <c r="BB44">
        <f>TableauSuiviSprint_Init[[#This Row],[J7]]</f>
        <v>0</v>
      </c>
      <c r="BC44">
        <f>TableauSuiviSprint_Init[[#This Row],[J8]]</f>
        <v>0</v>
      </c>
      <c r="BD44">
        <f>TableauSuiviSprint_Init[[#This Row],[J9]]</f>
        <v>0</v>
      </c>
    </row>
    <row r="45" spans="2:60" x14ac:dyDescent="0.25">
      <c r="B45" s="67"/>
      <c r="C45" s="67"/>
      <c r="D45" s="67"/>
      <c r="E45" s="67"/>
      <c r="F45" s="67"/>
      <c r="G45" s="67"/>
      <c r="H45" s="67"/>
      <c r="I45" s="67"/>
      <c r="K45" s="68"/>
      <c r="L45" s="6"/>
      <c r="M45" s="56"/>
      <c r="AE45" t="s">
        <v>185</v>
      </c>
      <c r="AF45" t="s">
        <v>185</v>
      </c>
      <c r="AG45" t="s">
        <v>185</v>
      </c>
      <c r="AH45" t="s">
        <v>186</v>
      </c>
      <c r="AI45" t="s">
        <v>185</v>
      </c>
      <c r="AJ45" t="s">
        <v>185</v>
      </c>
      <c r="AK45" t="s">
        <v>185</v>
      </c>
      <c r="AL45" t="s">
        <v>185</v>
      </c>
      <c r="AM45" t="s">
        <v>185</v>
      </c>
      <c r="AN45">
        <f>SUBTOTAL(109,TableauSuiviSprint_Init[SP])</f>
        <v>46</v>
      </c>
      <c r="AO45" t="s">
        <v>185</v>
      </c>
      <c r="AP45" t="s">
        <v>185</v>
      </c>
      <c r="AQ45" s="6">
        <f>SUBTOTAL(109,TableauSuiviSprint_Init[H. Dev])</f>
        <v>319</v>
      </c>
      <c r="AR45" s="6">
        <f>SUBTOTAL(109,TableauSuiviSprint_Init[Heure tot DEV
 Consommé])</f>
        <v>274</v>
      </c>
      <c r="AS45">
        <f>SUBTOTAL(109,TableauSuiviSprint_Init[H. Qualif])</f>
        <v>87</v>
      </c>
      <c r="AT45">
        <f>SUBTOTAL(109,TableauSuiviSprint_Init[Init])</f>
        <v>406</v>
      </c>
      <c r="AU45">
        <f>SUBTOTAL(109,TableauSuiviSprint_Init[J1])</f>
        <v>406</v>
      </c>
      <c r="AV45">
        <f>SUBTOTAL(109,TableauSuiviSprint_Init[J2])</f>
        <v>406</v>
      </c>
      <c r="AW45">
        <f>SUBTOTAL(109,TableauSuiviSprint_Init[J3])</f>
        <v>406</v>
      </c>
      <c r="AX45">
        <f>SUBTOTAL(109,TableauSuiviSprint_Init[J4])</f>
        <v>406</v>
      </c>
      <c r="AY45">
        <f>SUBTOTAL(109,TableauSuiviSprint_Init[J5])</f>
        <v>406</v>
      </c>
      <c r="AZ45">
        <f>SUBTOTAL(109,TableauSuiviSprint_Init[J6])</f>
        <v>406</v>
      </c>
      <c r="BA45">
        <f>SUBTOTAL(109,TableauSuiviSprint_Init[J7])</f>
        <v>406</v>
      </c>
      <c r="BB45">
        <f>SUBTOTAL(109,TableauSuiviSprint_Init[J8])-BB23</f>
        <v>371</v>
      </c>
      <c r="BC45">
        <f>SUBTOTAL(109,TableauSuiviSprint_Init[J9])-BC23</f>
        <v>371</v>
      </c>
      <c r="BD45">
        <f>SUBTOTAL(109,TableauSuiviSprint_Init[J10])-BD23</f>
        <v>371</v>
      </c>
    </row>
    <row r="46" spans="2:60" x14ac:dyDescent="0.25">
      <c r="K46" s="12"/>
      <c r="L46" s="67"/>
      <c r="M46" s="69"/>
      <c r="AH46" s="21" t="s">
        <v>187</v>
      </c>
      <c r="AI46" s="21"/>
      <c r="AJ46" s="21"/>
      <c r="AN46">
        <f>SUMIF(TableauSuiviSprint_Init[Techno],".NET",TableauSuiviSprint_Init[SP])</f>
        <v>22</v>
      </c>
      <c r="AQ46" s="6">
        <f>SUMIF(TableauSuiviSprint_Init[Techno],".NET",TableauSuiviSprint_Init[H. Dev])</f>
        <v>184</v>
      </c>
      <c r="AR46" s="6">
        <f>L36-(SUMIF(TableauSuiviSprint_Init[Techno],".NET",TableauSuiviSprint_Init[Heure tot DEV
 Consommé]))</f>
        <v>-40</v>
      </c>
      <c r="AS46">
        <f>SUMIF(TableauSuiviSprint_Init[Techno],".NET",TableauSuiviSprint_Init[H. Qualif])</f>
        <v>46</v>
      </c>
      <c r="AT46">
        <f>SUMIF(TableauSuiviSprint_Init[Techno],".NET",TableauSuiviSprint_Init[Init])</f>
        <v>230</v>
      </c>
      <c r="AU46">
        <f>SUMIF(TableauSuiviSprint_Init[Techno],".NET",TableauSuiviSprint_Init[J1])</f>
        <v>230</v>
      </c>
      <c r="AV46">
        <f>SUMIF(TableauSuiviSprint_Init[Techno],".NET",TableauSuiviSprint_Init[J2])</f>
        <v>230</v>
      </c>
      <c r="AW46">
        <f>SUMIF(TableauSuiviSprint_Init[Techno],".NET",TableauSuiviSprint_Init[J3])</f>
        <v>230</v>
      </c>
      <c r="AX46">
        <f>SUMIF(TableauSuiviSprint_Init[Techno],".NET",TableauSuiviSprint_Init[J4])</f>
        <v>230</v>
      </c>
      <c r="AY46">
        <f>SUMIF(TableauSuiviSprint_Init[Techno],".NET",TableauSuiviSprint_Init[J5])</f>
        <v>230</v>
      </c>
      <c r="AZ46">
        <f>SUMIF(TableauSuiviSprint_Init[Techno],".NET",TableauSuiviSprint_Init[J6])</f>
        <v>230</v>
      </c>
      <c r="BA46">
        <f>SUMIF(TableauSuiviSprint_Init[Techno],".NET",TableauSuiviSprint_Init[J7])</f>
        <v>230</v>
      </c>
      <c r="BB46">
        <f>SUMIF(TableauSuiviSprint_Init[Techno],".NET",TableauSuiviSprint_Init[J8])-BB23</f>
        <v>195</v>
      </c>
      <c r="BC46">
        <f>SUMIF(TableauSuiviSprint_Init[Techno],".NET",TableauSuiviSprint_Init[J9])-BC23</f>
        <v>195</v>
      </c>
      <c r="BD46">
        <f>SUMIF(TableauSuiviSprint_Init[Techno],".NET",TableauSuiviSprint_Init[J10])-BD23</f>
        <v>195</v>
      </c>
    </row>
    <row r="47" spans="2:60" x14ac:dyDescent="0.25">
      <c r="K47" s="12"/>
      <c r="M47" s="39"/>
      <c r="AH47" s="21" t="s">
        <v>188</v>
      </c>
      <c r="AI47" s="21"/>
      <c r="AJ47" s="21"/>
      <c r="AN47">
        <f>SUMIF(TableauSuiviSprint_Init[Techno],"Designer",TableauSuiviSprint_Init[SP]) + SUMIF(TableauSuiviSprint_Init[Techno],"Apex",TableauSuiviSprint_Init[SP]) + SUMIF(TableauSuiviSprint_Init[Techno],"Java",TableauSuiviSprint_Init[SP])</f>
        <v>24</v>
      </c>
      <c r="AO47" s="21"/>
      <c r="AP47" s="21"/>
      <c r="AQ47" s="6">
        <f>SUMIF(TableauSuiviSprint_Init[Techno],"Designer",TableauSuiviSprint_Init[H. Dev]) + SUMIF(TableauSuiviSprint_Init[Techno],"Apex",TableauSuiviSprint_Init[H. Dev]) + SUMIF(TableauSuiviSprint_Init[Techno],"Java",TableauSuiviSprint_Init[H. Dev])</f>
        <v>135</v>
      </c>
      <c r="AR47" s="6">
        <f>L37-(SUMIF(TableauSuiviSprint_Init[Techno],"Designer",TableauSuiviSprint_Init[Heure tot DEV
 Consommé]) + SUMIF(TableauSuiviSprint_Init[Techno],"Apex",TableauSuiviSprint_Init[Heure tot DEV
 Consommé]) + SUMIF(TableauSuiviSprint_Init[Techno],"Java",TableauSuiviSprint_Init[Heure tot DEV
 Consommé]))</f>
        <v>42.75</v>
      </c>
      <c r="AS47">
        <f>SUMIF(TableauSuiviSprint_Init[Techno],"Designer",TableauSuiviSprint_Init[H. Qualif]) + SUMIF(TableauSuiviSprint_Init[Techno],"Apex",TableauSuiviSprint_Init[H. Qualif])</f>
        <v>38</v>
      </c>
      <c r="AT47">
        <f>SUMIF(TableauSuiviSprint_Init[Techno],"Designer",TableauSuiviSprint_Init[Init]) + SUMIF(TableauSuiviSprint_Init[Techno],"Apex",TableauSuiviSprint_Init[Init]) + SUMIF(TableauSuiviSprint_Init[Techno],"Java",TableauSuiviSprint_Init[Init])</f>
        <v>176</v>
      </c>
      <c r="AU47">
        <f>SUMIF(TableauSuiviSprint_Init[Techno],"Designer",TableauSuiviSprint_Init[J1]) + SUMIF(TableauSuiviSprint_Init[Techno],"Apex",TableauSuiviSprint_Init[J1]) + SUMIF(TableauSuiviSprint_Init[Techno],"Java",TableauSuiviSprint_Init[J1])</f>
        <v>176</v>
      </c>
      <c r="AV47">
        <f>SUMIF(TableauSuiviSprint_Init[Techno],"Designer",TableauSuiviSprint_Init[J2]) + SUMIF(TableauSuiviSprint_Init[Techno],"Apex",TableauSuiviSprint_Init[J2]) + SUMIF(TableauSuiviSprint_Init[Techno],"Java",TableauSuiviSprint_Init[J2])</f>
        <v>176</v>
      </c>
      <c r="AW47">
        <f>SUMIF(TableauSuiviSprint_Init[Techno],"Designer",TableauSuiviSprint_Init[J3]) + SUMIF(TableauSuiviSprint_Init[Techno],"Apex",TableauSuiviSprint_Init[J3]) + SUMIF(TableauSuiviSprint_Init[Techno],"Java",TableauSuiviSprint_Init[J3])</f>
        <v>176</v>
      </c>
      <c r="AX47">
        <f>SUMIF(TableauSuiviSprint_Init[Techno],"Designer",TableauSuiviSprint_Init[J4]) + SUMIF(TableauSuiviSprint_Init[Techno],"Apex",TableauSuiviSprint_Init[J4]) + SUMIF(TableauSuiviSprint_Init[Techno],"Java",TableauSuiviSprint_Init[J4])</f>
        <v>176</v>
      </c>
      <c r="AY47">
        <f>SUMIF(TableauSuiviSprint_Init[Techno],"Designer",TableauSuiviSprint_Init[J5]) + SUMIF(TableauSuiviSprint_Init[Techno],"Apex",TableauSuiviSprint_Init[J5]) + SUMIF(TableauSuiviSprint_Init[Techno],"Java",TableauSuiviSprint_Init[J5])</f>
        <v>176</v>
      </c>
      <c r="AZ47">
        <f>SUMIF(TableauSuiviSprint_Init[Techno],"Designer",TableauSuiviSprint_Init[J6]) + SUMIF(TableauSuiviSprint_Init[Techno],"Apex",TableauSuiviSprint_Init[J6]) + SUMIF(TableauSuiviSprint_Init[Techno],"Java",TableauSuiviSprint_Init[J6])</f>
        <v>176</v>
      </c>
      <c r="BA47">
        <f>SUMIF(TableauSuiviSprint_Init[Techno],"Designer",TableauSuiviSprint_Init[J7]) + SUMIF(TableauSuiviSprint_Init[Techno],"Apex",TableauSuiviSprint_Init[J7]) + SUMIF(TableauSuiviSprint_Init[Techno],"Java",TableauSuiviSprint_Init[J7])</f>
        <v>176</v>
      </c>
      <c r="BB47">
        <f>SUMIF(TableauSuiviSprint_Init[Techno],"Designer",TableauSuiviSprint_Init[J8]) + SUMIF(TableauSuiviSprint_Init[Techno],"Apex",TableauSuiviSprint_Init[J8]) + SUMIF(TableauSuiviSprint_Init[Techno],"Java",TableauSuiviSprint_Init[J8])</f>
        <v>176</v>
      </c>
      <c r="BC47">
        <f>SUMIF(TableauSuiviSprint_Init[Techno],"Designer",TableauSuiviSprint_Init[J9]) + SUMIF(TableauSuiviSprint_Init[Techno],"Apex",TableauSuiviSprint_Init[J9]) + SUMIF(TableauSuiviSprint_Init[Techno],"Java",TableauSuiviSprint_Init[J9])</f>
        <v>176</v>
      </c>
      <c r="BD47">
        <f>SUMIF(TableauSuiviSprint_Init[Techno],"Designer",TableauSuiviSprint_Init[J10]) + SUMIF(TableauSuiviSprint_Init[Techno],"Apex",TableauSuiviSprint_Init[J10]) + SUMIF(TableauSuiviSprint_Init[Techno],"Java",TableauSuiviSprint_Init[J10])</f>
        <v>176</v>
      </c>
    </row>
    <row r="48" spans="2:60" x14ac:dyDescent="0.25">
      <c r="K48" s="66"/>
      <c r="M48" s="39"/>
      <c r="AQ48" s="6"/>
      <c r="AR48" s="6"/>
    </row>
    <row r="49" spans="2:57" x14ac:dyDescent="0.25">
      <c r="M49" s="39"/>
      <c r="AE49" s="253" t="s">
        <v>189</v>
      </c>
      <c r="AF49" s="253"/>
      <c r="AG49" s="253"/>
      <c r="AH49" s="58">
        <f ca="1">AH50+AH51</f>
        <v>32.432581991971972</v>
      </c>
      <c r="AI49" s="80"/>
      <c r="AJ49" s="80"/>
      <c r="AL49" s="44" t="s">
        <v>190</v>
      </c>
      <c r="AQ49" s="6"/>
      <c r="AR49" s="6"/>
      <c r="AS49" s="66"/>
      <c r="AU49" s="34" t="s">
        <v>6</v>
      </c>
      <c r="AV49" s="35" t="s">
        <v>7</v>
      </c>
      <c r="AW49" s="35" t="s">
        <v>8</v>
      </c>
      <c r="AX49" s="35" t="s">
        <v>9</v>
      </c>
      <c r="AY49" s="35" t="s">
        <v>10</v>
      </c>
      <c r="AZ49" s="36" t="s">
        <v>6</v>
      </c>
      <c r="BA49" s="37" t="s">
        <v>8</v>
      </c>
      <c r="BB49" s="37" t="s">
        <v>8</v>
      </c>
      <c r="BC49" s="37" t="s">
        <v>9</v>
      </c>
      <c r="BD49" s="38" t="s">
        <v>10</v>
      </c>
      <c r="BE49" s="57"/>
    </row>
    <row r="50" spans="2:57" x14ac:dyDescent="0.25">
      <c r="M50" s="39"/>
      <c r="AE50" s="254" t="s">
        <v>191</v>
      </c>
      <c r="AF50" s="254"/>
      <c r="AG50" s="254"/>
      <c r="AH50" s="59">
        <f ca="1">AH54*0.8</f>
        <v>12.598067421199952</v>
      </c>
      <c r="AI50" s="80"/>
      <c r="AJ50" s="80"/>
      <c r="AL50" s="133"/>
      <c r="AM50" t="s">
        <v>192</v>
      </c>
      <c r="AP50" s="66"/>
      <c r="AQ50" s="66"/>
      <c r="AR50" s="66"/>
      <c r="AS50" s="10" t="s">
        <v>193</v>
      </c>
      <c r="AU50" s="45">
        <f>J26+J29</f>
        <v>1.625</v>
      </c>
      <c r="AV50" s="45">
        <f>L26+L29</f>
        <v>4</v>
      </c>
      <c r="AW50" s="45">
        <f>N26+N29</f>
        <v>5</v>
      </c>
      <c r="AX50" s="45">
        <f>P26+P29</f>
        <v>6.75</v>
      </c>
      <c r="AY50" s="45">
        <f>R26+R29</f>
        <v>7</v>
      </c>
      <c r="AZ50" s="45">
        <f>T26+T29</f>
        <v>7.75</v>
      </c>
      <c r="BA50" s="45">
        <f>V26+V29</f>
        <v>8.75</v>
      </c>
      <c r="BB50" s="45">
        <f>X26+X29</f>
        <v>8.875</v>
      </c>
      <c r="BC50" s="45">
        <f>Z26+Z29</f>
        <v>10</v>
      </c>
      <c r="BD50" s="45">
        <f>AB26+AB29</f>
        <v>4.625</v>
      </c>
      <c r="BE50" s="57"/>
    </row>
    <row r="51" spans="2:57" x14ac:dyDescent="0.25">
      <c r="W51" t="s">
        <v>194</v>
      </c>
      <c r="AE51" s="255" t="s">
        <v>195</v>
      </c>
      <c r="AF51" s="255"/>
      <c r="AG51" s="255"/>
      <c r="AH51" s="60">
        <f ca="1">AH56*0.8</f>
        <v>19.834514570772019</v>
      </c>
      <c r="AI51" s="80"/>
      <c r="AJ51" s="80"/>
      <c r="AL51" s="134"/>
      <c r="AM51" t="s">
        <v>196</v>
      </c>
      <c r="AS51" s="10" t="s">
        <v>197</v>
      </c>
      <c r="AU51" s="45">
        <f>J27+(J29/2)</f>
        <v>0.875</v>
      </c>
      <c r="AV51" s="45">
        <f>L27+(L29/2)</f>
        <v>1.75</v>
      </c>
      <c r="AW51" s="45">
        <f>N27+(N29/2)</f>
        <v>2.5</v>
      </c>
      <c r="AX51" s="45">
        <f>P27+(P29/2)</f>
        <v>2.75</v>
      </c>
      <c r="AY51" s="45">
        <f>R27+(R29/2)</f>
        <v>3.375</v>
      </c>
      <c r="AZ51" s="45">
        <f>T27+(T29/2)</f>
        <v>3.75</v>
      </c>
      <c r="BA51" s="45">
        <f>V27+(V29/2)</f>
        <v>4.25</v>
      </c>
      <c r="BB51" s="45">
        <f>X27+(X29/2)</f>
        <v>4.625</v>
      </c>
      <c r="BC51" s="45">
        <f>Z27+(Z29/2)</f>
        <v>6</v>
      </c>
      <c r="BD51" s="45">
        <f>AB27+(AB29/2)</f>
        <v>2.375</v>
      </c>
    </row>
    <row r="52" spans="2:57" x14ac:dyDescent="0.25">
      <c r="B52" t="s">
        <v>198</v>
      </c>
      <c r="L52" s="243" t="s">
        <v>48</v>
      </c>
      <c r="M52" s="243"/>
      <c r="N52" s="243" t="s">
        <v>55</v>
      </c>
      <c r="O52" s="243"/>
      <c r="P52" s="243" t="s">
        <v>72</v>
      </c>
      <c r="Q52" s="243"/>
      <c r="R52" s="243"/>
      <c r="S52" s="243"/>
      <c r="T52" s="243"/>
      <c r="U52" s="243"/>
      <c r="V52" s="243"/>
      <c r="W52" s="243"/>
      <c r="X52" s="243"/>
      <c r="Y52" s="243"/>
      <c r="AA52" s="21" t="s">
        <v>199</v>
      </c>
      <c r="AE52" s="77"/>
      <c r="AF52" s="78"/>
      <c r="AG52" s="78"/>
      <c r="AH52" s="59"/>
      <c r="AI52" s="80"/>
      <c r="AJ52" s="80"/>
      <c r="AL52" s="95"/>
      <c r="AM52" t="s">
        <v>200</v>
      </c>
      <c r="AS52" s="10" t="s">
        <v>201</v>
      </c>
      <c r="AU52" s="45">
        <f>J28+(J29/2)</f>
        <v>0.75</v>
      </c>
      <c r="AV52" s="45">
        <f>L28+(L29/2)</f>
        <v>2.25</v>
      </c>
      <c r="AW52" s="45">
        <f>N28+(N29/2)</f>
        <v>2.5</v>
      </c>
      <c r="AX52" s="45">
        <f>P28+(P29/2)</f>
        <v>4</v>
      </c>
      <c r="AY52" s="45">
        <f>R28+(R29/2)</f>
        <v>3.625</v>
      </c>
      <c r="AZ52" s="45">
        <f>T28+(T29/2)</f>
        <v>4</v>
      </c>
      <c r="BA52" s="45">
        <f>V28+(V29/2)</f>
        <v>4.5</v>
      </c>
      <c r="BB52" s="45">
        <f>X28+(X29/2)</f>
        <v>4.25</v>
      </c>
      <c r="BC52" s="45">
        <f>Z28+(Z29/2)</f>
        <v>4</v>
      </c>
      <c r="BD52" s="45">
        <f>AB28+(AB29/2)</f>
        <v>2.25</v>
      </c>
      <c r="BE52" s="57"/>
    </row>
    <row r="53" spans="2:57" x14ac:dyDescent="0.25">
      <c r="B53" s="10" t="s">
        <v>202</v>
      </c>
      <c r="C53" s="10"/>
      <c r="D53" s="10"/>
      <c r="E53" s="10"/>
      <c r="F53" s="10"/>
      <c r="G53" s="10"/>
      <c r="H53" s="10"/>
      <c r="I53" s="10"/>
      <c r="J53" s="33">
        <v>10</v>
      </c>
      <c r="L53" s="15" t="s">
        <v>60</v>
      </c>
      <c r="M53" s="20" t="s">
        <v>9</v>
      </c>
      <c r="N53" s="15" t="s">
        <v>60</v>
      </c>
      <c r="O53" s="20" t="s">
        <v>9</v>
      </c>
      <c r="P53" s="15" t="s">
        <v>60</v>
      </c>
      <c r="Q53" s="20" t="s">
        <v>9</v>
      </c>
      <c r="R53" s="15" t="s">
        <v>60</v>
      </c>
      <c r="S53" s="20" t="s">
        <v>9</v>
      </c>
      <c r="T53" s="15" t="s">
        <v>60</v>
      </c>
      <c r="U53" s="20" t="s">
        <v>9</v>
      </c>
      <c r="V53" s="15" t="s">
        <v>60</v>
      </c>
      <c r="W53" s="20" t="s">
        <v>9</v>
      </c>
      <c r="X53" s="15" t="s">
        <v>60</v>
      </c>
      <c r="Y53" s="20" t="s">
        <v>9</v>
      </c>
      <c r="AA53" s="21"/>
      <c r="AE53" s="244" t="s">
        <v>203</v>
      </c>
      <c r="AF53" s="244"/>
      <c r="AG53" s="244"/>
      <c r="AH53" s="61">
        <f ca="1">AH54+AH56</f>
        <v>40.540727489964965</v>
      </c>
      <c r="AI53" s="80"/>
      <c r="AJ53" s="80"/>
      <c r="AM53" t="s">
        <v>204</v>
      </c>
      <c r="AS53" s="10" t="s">
        <v>205</v>
      </c>
      <c r="AU53" s="7">
        <f t="shared" ref="AU53:BD53" si="6">AU50*HEURES</f>
        <v>9.75</v>
      </c>
      <c r="AV53" s="7">
        <f t="shared" si="6"/>
        <v>24</v>
      </c>
      <c r="AW53" s="7">
        <f t="shared" si="6"/>
        <v>30</v>
      </c>
      <c r="AX53" s="7">
        <f t="shared" si="6"/>
        <v>40.5</v>
      </c>
      <c r="AY53" s="7">
        <f t="shared" si="6"/>
        <v>42</v>
      </c>
      <c r="AZ53" s="7">
        <f t="shared" si="6"/>
        <v>46.5</v>
      </c>
      <c r="BA53" s="7">
        <f t="shared" si="6"/>
        <v>52.5</v>
      </c>
      <c r="BB53" s="7">
        <f t="shared" si="6"/>
        <v>53.25</v>
      </c>
      <c r="BC53" s="7">
        <f t="shared" si="6"/>
        <v>60</v>
      </c>
      <c r="BD53" s="7">
        <f t="shared" si="6"/>
        <v>27.75</v>
      </c>
    </row>
    <row r="54" spans="2:57" x14ac:dyDescent="0.25">
      <c r="B54" s="10" t="s">
        <v>206</v>
      </c>
      <c r="C54" s="10"/>
      <c r="D54" s="10"/>
      <c r="E54" s="10"/>
      <c r="F54" s="10"/>
      <c r="G54" s="10"/>
      <c r="H54" s="10"/>
      <c r="I54" s="10"/>
      <c r="J54" s="12">
        <f>AH57/J53</f>
        <v>22.14</v>
      </c>
      <c r="L54" s="23">
        <v>63</v>
      </c>
      <c r="M54" s="24">
        <f>L54/$J$53</f>
        <v>6.3</v>
      </c>
      <c r="N54" s="23">
        <v>66</v>
      </c>
      <c r="O54" s="24">
        <f>N54/$J$53</f>
        <v>6.6</v>
      </c>
      <c r="P54" s="23">
        <v>6</v>
      </c>
      <c r="Q54" s="24">
        <f>P54/$J$53</f>
        <v>0.6</v>
      </c>
      <c r="R54" s="23"/>
      <c r="S54" s="24">
        <f>R54/$J$53</f>
        <v>0</v>
      </c>
      <c r="T54" s="23"/>
      <c r="U54" s="24">
        <f>T54/$J$53</f>
        <v>0</v>
      </c>
      <c r="V54" s="23"/>
      <c r="W54" s="24">
        <f>V54/$J$53</f>
        <v>0</v>
      </c>
      <c r="X54" s="42">
        <f>(J54-M54-O54-Q54-S54-U54-W54)*J$54</f>
        <v>191.28960000000001</v>
      </c>
      <c r="Y54" s="19">
        <f>X54/$J$54</f>
        <v>8.64</v>
      </c>
      <c r="AA54" s="22">
        <f>J54-(M54+O54+Q54+Y54)</f>
        <v>0</v>
      </c>
      <c r="AE54" s="245" t="s">
        <v>191</v>
      </c>
      <c r="AF54" s="245"/>
      <c r="AG54" s="245"/>
      <c r="AH54" s="62">
        <f ca="1">HLOOKUP(Param!$A$23,'[2]suivi .NET'!$B$2:$AB22,5,0)</f>
        <v>15.747584276499939</v>
      </c>
      <c r="AI54" s="80"/>
      <c r="AJ54" s="80"/>
      <c r="AS54" s="10" t="s">
        <v>207</v>
      </c>
      <c r="AU54" s="7">
        <f t="shared" ref="AU54:BD54" si="7">AU51*HEURES</f>
        <v>5.25</v>
      </c>
      <c r="AV54" s="7">
        <f t="shared" si="7"/>
        <v>10.5</v>
      </c>
      <c r="AW54" s="7">
        <f t="shared" si="7"/>
        <v>15</v>
      </c>
      <c r="AX54" s="7">
        <f t="shared" si="7"/>
        <v>16.5</v>
      </c>
      <c r="AY54" s="7">
        <f t="shared" si="7"/>
        <v>20.25</v>
      </c>
      <c r="AZ54" s="7">
        <f t="shared" si="7"/>
        <v>22.5</v>
      </c>
      <c r="BA54" s="7">
        <f t="shared" si="7"/>
        <v>25.5</v>
      </c>
      <c r="BB54" s="7">
        <f t="shared" si="7"/>
        <v>27.75</v>
      </c>
      <c r="BC54" s="7">
        <f t="shared" si="7"/>
        <v>36</v>
      </c>
      <c r="BD54" s="7">
        <f t="shared" si="7"/>
        <v>14.25</v>
      </c>
    </row>
    <row r="55" spans="2:57" x14ac:dyDescent="0.25">
      <c r="B55" s="10" t="s">
        <v>208</v>
      </c>
      <c r="C55" s="10"/>
      <c r="D55" s="10"/>
      <c r="E55" s="10"/>
      <c r="F55" s="10"/>
      <c r="G55" s="10"/>
      <c r="H55" s="10"/>
      <c r="I55" s="10"/>
      <c r="J55" s="12">
        <f>TableauSuiviSprint_Init[[#Totals],[H. Qualif]]/J53</f>
        <v>8.6999999999999993</v>
      </c>
      <c r="L55" s="25">
        <v>16</v>
      </c>
      <c r="M55" s="26">
        <f>L55/$J$53</f>
        <v>1.6</v>
      </c>
      <c r="N55" s="25">
        <v>20</v>
      </c>
      <c r="O55" s="26">
        <f>N55/$J$53</f>
        <v>2</v>
      </c>
      <c r="P55" s="25">
        <v>2</v>
      </c>
      <c r="Q55" s="26">
        <f>P55/$J$53</f>
        <v>0.2</v>
      </c>
      <c r="R55" s="25"/>
      <c r="S55" s="26">
        <f>R55/$J$53</f>
        <v>0</v>
      </c>
      <c r="T55" s="25"/>
      <c r="U55" s="26">
        <f>T55/$J$53</f>
        <v>0</v>
      </c>
      <c r="V55" s="25"/>
      <c r="W55" s="26">
        <f>V55/$J$53</f>
        <v>0</v>
      </c>
      <c r="X55" s="42">
        <f>(J55-M55-O55-Q55-S55-U55-W55)*J$54</f>
        <v>108.48599999999999</v>
      </c>
      <c r="Y55" s="18">
        <f>X55/$J$54</f>
        <v>4.8999999999999995</v>
      </c>
      <c r="AA55" s="22">
        <f>J55-(M55+O55+Q55+Y55)</f>
        <v>0</v>
      </c>
      <c r="AE55" s="75"/>
      <c r="AF55" s="76"/>
      <c r="AG55" s="76"/>
      <c r="AH55" s="62"/>
      <c r="AI55" s="80"/>
      <c r="AJ55" s="80"/>
      <c r="AL55" s="96"/>
      <c r="AM55" t="s">
        <v>209</v>
      </c>
      <c r="AS55" s="10" t="s">
        <v>210</v>
      </c>
      <c r="AU55" s="7">
        <f t="shared" ref="AU55:BD55" si="8">AU52*HEURES</f>
        <v>4.5</v>
      </c>
      <c r="AV55" s="7">
        <f t="shared" si="8"/>
        <v>13.5</v>
      </c>
      <c r="AW55" s="7">
        <f t="shared" si="8"/>
        <v>15</v>
      </c>
      <c r="AX55" s="7">
        <f t="shared" si="8"/>
        <v>24</v>
      </c>
      <c r="AY55" s="7">
        <f t="shared" si="8"/>
        <v>21.75</v>
      </c>
      <c r="AZ55" s="7">
        <f t="shared" si="8"/>
        <v>24</v>
      </c>
      <c r="BA55" s="7">
        <f t="shared" si="8"/>
        <v>27</v>
      </c>
      <c r="BB55" s="7">
        <f t="shared" si="8"/>
        <v>25.5</v>
      </c>
      <c r="BC55" s="7">
        <f t="shared" si="8"/>
        <v>24</v>
      </c>
      <c r="BD55" s="7">
        <f t="shared" si="8"/>
        <v>13.5</v>
      </c>
    </row>
    <row r="56" spans="2:57" x14ac:dyDescent="0.25">
      <c r="AE56" s="246" t="s">
        <v>195</v>
      </c>
      <c r="AF56" s="246"/>
      <c r="AG56" s="246"/>
      <c r="AH56" s="63">
        <f ca="1">HLOOKUP(Param!$A$23,'[2]suivi Autre'!$B$2:$AB22,5,0)</f>
        <v>24.793143213465022</v>
      </c>
      <c r="AI56" s="80"/>
      <c r="AJ56" s="80"/>
      <c r="AL56" s="97"/>
      <c r="AM56" t="s">
        <v>211</v>
      </c>
      <c r="AS56" s="10" t="s">
        <v>212</v>
      </c>
      <c r="AT56" s="7">
        <f>BE69</f>
        <v>386.25</v>
      </c>
      <c r="AU56" s="7">
        <f t="shared" ref="AU56:BD56" si="9">AT56-AU53</f>
        <v>376.5</v>
      </c>
      <c r="AV56" s="7">
        <f t="shared" si="9"/>
        <v>352.5</v>
      </c>
      <c r="AW56" s="7">
        <f t="shared" si="9"/>
        <v>322.5</v>
      </c>
      <c r="AX56" s="7">
        <f t="shared" si="9"/>
        <v>282</v>
      </c>
      <c r="AY56" s="7">
        <f t="shared" si="9"/>
        <v>240</v>
      </c>
      <c r="AZ56" s="7">
        <f t="shared" si="9"/>
        <v>193.5</v>
      </c>
      <c r="BA56" s="7">
        <f t="shared" si="9"/>
        <v>141</v>
      </c>
      <c r="BB56" s="7">
        <f t="shared" si="9"/>
        <v>87.75</v>
      </c>
      <c r="BC56" s="7">
        <f t="shared" si="9"/>
        <v>27.75</v>
      </c>
      <c r="BD56" s="7">
        <f t="shared" si="9"/>
        <v>0</v>
      </c>
    </row>
    <row r="57" spans="2:57" x14ac:dyDescent="0.25">
      <c r="AE57" s="247" t="s">
        <v>213</v>
      </c>
      <c r="AF57" s="247"/>
      <c r="AG57" s="247"/>
      <c r="AH57" s="64">
        <f>(L36+L37)*80%</f>
        <v>221.4</v>
      </c>
      <c r="AI57" s="91"/>
      <c r="AJ57" s="91"/>
      <c r="AS57" s="10" t="s">
        <v>214</v>
      </c>
      <c r="AT57" s="7">
        <f>BE70</f>
        <v>193.5</v>
      </c>
      <c r="AU57" s="7">
        <f t="shared" ref="AU57:BD57" si="10">AT57-AU54</f>
        <v>188.25</v>
      </c>
      <c r="AV57" s="7">
        <f t="shared" si="10"/>
        <v>177.75</v>
      </c>
      <c r="AW57" s="7">
        <f t="shared" si="10"/>
        <v>162.75</v>
      </c>
      <c r="AX57" s="7">
        <f t="shared" si="10"/>
        <v>146.25</v>
      </c>
      <c r="AY57" s="7">
        <f t="shared" si="10"/>
        <v>126</v>
      </c>
      <c r="AZ57" s="7">
        <f t="shared" si="10"/>
        <v>103.5</v>
      </c>
      <c r="BA57" s="7">
        <f t="shared" si="10"/>
        <v>78</v>
      </c>
      <c r="BB57" s="7">
        <f t="shared" si="10"/>
        <v>50.25</v>
      </c>
      <c r="BC57" s="7">
        <f t="shared" si="10"/>
        <v>14.25</v>
      </c>
      <c r="BD57" s="7">
        <f t="shared" si="10"/>
        <v>0</v>
      </c>
      <c r="BE57">
        <f>SUM(AU50:BD50)</f>
        <v>64.375</v>
      </c>
    </row>
    <row r="58" spans="2:57" x14ac:dyDescent="0.25">
      <c r="J58" s="30"/>
      <c r="M58" s="6"/>
      <c r="AE58" s="247" t="s">
        <v>215</v>
      </c>
      <c r="AF58" s="247"/>
      <c r="AG58" s="247"/>
      <c r="AH58" s="112">
        <f>+L35+L38</f>
        <v>186.75</v>
      </c>
      <c r="AI58" s="91"/>
      <c r="AJ58" s="91"/>
      <c r="AL58" s="135"/>
      <c r="AM58" t="s">
        <v>216</v>
      </c>
      <c r="AS58" s="10" t="s">
        <v>217</v>
      </c>
      <c r="AT58" s="7">
        <f>BE71</f>
        <v>192.75</v>
      </c>
      <c r="AU58" s="7">
        <f t="shared" ref="AU58:BD58" si="11">AT58-AU55</f>
        <v>188.25</v>
      </c>
      <c r="AV58" s="7">
        <f t="shared" si="11"/>
        <v>174.75</v>
      </c>
      <c r="AW58" s="7">
        <f t="shared" si="11"/>
        <v>159.75</v>
      </c>
      <c r="AX58" s="7">
        <f t="shared" si="11"/>
        <v>135.75</v>
      </c>
      <c r="AY58" s="7">
        <f t="shared" si="11"/>
        <v>114</v>
      </c>
      <c r="AZ58" s="7">
        <f t="shared" si="11"/>
        <v>90</v>
      </c>
      <c r="BA58" s="7">
        <f t="shared" si="11"/>
        <v>63</v>
      </c>
      <c r="BB58" s="7">
        <f t="shared" si="11"/>
        <v>37.5</v>
      </c>
      <c r="BC58" s="7">
        <f t="shared" si="11"/>
        <v>13.5</v>
      </c>
      <c r="BD58" s="7">
        <f t="shared" si="11"/>
        <v>0</v>
      </c>
      <c r="BE58">
        <f>SUM(AU51:BD51)</f>
        <v>32.25</v>
      </c>
    </row>
    <row r="59" spans="2:57" x14ac:dyDescent="0.25">
      <c r="J59" s="30"/>
      <c r="M59" s="6"/>
      <c r="N59" s="30"/>
      <c r="AE59" s="242" t="s">
        <v>218</v>
      </c>
      <c r="AF59" s="242"/>
      <c r="AG59" s="242"/>
      <c r="AH59" s="65">
        <f>+L36+L37</f>
        <v>276.75</v>
      </c>
      <c r="AI59" s="80"/>
      <c r="AJ59" s="80"/>
      <c r="AL59" s="98"/>
      <c r="AM59" t="s">
        <v>219</v>
      </c>
      <c r="AS59" s="10" t="s">
        <v>220</v>
      </c>
      <c r="AU59" s="7">
        <f t="shared" ref="AU59:BD59" si="12">($AT$45*AU$50/$BE$57)</f>
        <v>10.248543689320389</v>
      </c>
      <c r="AV59" s="7">
        <f t="shared" si="12"/>
        <v>25.227184466019416</v>
      </c>
      <c r="AW59" s="7">
        <f t="shared" si="12"/>
        <v>31.533980582524272</v>
      </c>
      <c r="AX59" s="7">
        <f t="shared" si="12"/>
        <v>42.570873786407766</v>
      </c>
      <c r="AY59" s="7">
        <f t="shared" si="12"/>
        <v>44.147572815533984</v>
      </c>
      <c r="AZ59" s="7">
        <f t="shared" si="12"/>
        <v>48.877669902912622</v>
      </c>
      <c r="BA59" s="7">
        <f t="shared" si="12"/>
        <v>55.184466019417478</v>
      </c>
      <c r="BB59" s="7">
        <f t="shared" si="12"/>
        <v>55.97281553398058</v>
      </c>
      <c r="BC59" s="7">
        <f t="shared" si="12"/>
        <v>63.067961165048544</v>
      </c>
      <c r="BD59" s="7">
        <f t="shared" si="12"/>
        <v>29.168932038834953</v>
      </c>
      <c r="BE59">
        <f>SUM(AU52:BD52)</f>
        <v>32.125</v>
      </c>
    </row>
    <row r="60" spans="2:57" x14ac:dyDescent="0.25">
      <c r="J60" s="30"/>
      <c r="M60" s="6"/>
      <c r="AD60" s="6"/>
      <c r="AE60" s="242" t="s">
        <v>221</v>
      </c>
      <c r="AF60" s="242"/>
      <c r="AG60" s="242"/>
      <c r="AH60" s="65">
        <f>+L38</f>
        <v>109.5</v>
      </c>
      <c r="AI60" s="80"/>
      <c r="AJ60" s="80"/>
      <c r="AS60" s="10" t="s">
        <v>222</v>
      </c>
      <c r="AU60" s="7">
        <f t="shared" ref="AU60:BD60" si="13">($AT$47*AU$51/$BE$58)</f>
        <v>4.775193798449612</v>
      </c>
      <c r="AV60" s="7">
        <f t="shared" si="13"/>
        <v>9.550387596899224</v>
      </c>
      <c r="AW60" s="7">
        <f t="shared" si="13"/>
        <v>13.643410852713178</v>
      </c>
      <c r="AX60" s="7">
        <f t="shared" si="13"/>
        <v>15.007751937984496</v>
      </c>
      <c r="AY60" s="7">
        <f t="shared" si="13"/>
        <v>18.418604651162791</v>
      </c>
      <c r="AZ60" s="7">
        <f t="shared" si="13"/>
        <v>20.465116279069768</v>
      </c>
      <c r="BA60" s="7">
        <f t="shared" si="13"/>
        <v>23.193798449612402</v>
      </c>
      <c r="BB60" s="7">
        <f t="shared" si="13"/>
        <v>25.240310077519378</v>
      </c>
      <c r="BC60" s="7">
        <f t="shared" si="13"/>
        <v>32.744186046511629</v>
      </c>
      <c r="BD60" s="7">
        <f t="shared" si="13"/>
        <v>12.961240310077519</v>
      </c>
    </row>
    <row r="61" spans="2:57" x14ac:dyDescent="0.25">
      <c r="J61" s="30"/>
      <c r="M61" s="6"/>
      <c r="N61" s="30"/>
      <c r="AE61" s="79"/>
      <c r="AF61" s="79"/>
      <c r="AG61" s="79"/>
      <c r="AH61" s="80"/>
      <c r="AI61" s="80"/>
      <c r="AJ61" s="80"/>
      <c r="AL61" s="99"/>
      <c r="AM61" t="s">
        <v>223</v>
      </c>
      <c r="AS61" s="10" t="s">
        <v>224</v>
      </c>
      <c r="AU61" s="7">
        <f t="shared" ref="AU61:BD61" si="14">($AT$46*AU$52/$BE$59)</f>
        <v>5.3696498054474704</v>
      </c>
      <c r="AV61" s="7">
        <f t="shared" si="14"/>
        <v>16.108949416342412</v>
      </c>
      <c r="AW61" s="7">
        <f t="shared" si="14"/>
        <v>17.898832684824903</v>
      </c>
      <c r="AX61" s="7">
        <f t="shared" si="14"/>
        <v>28.638132295719846</v>
      </c>
      <c r="AY61" s="7">
        <f t="shared" si="14"/>
        <v>25.953307392996109</v>
      </c>
      <c r="AZ61" s="7">
        <f t="shared" si="14"/>
        <v>28.638132295719846</v>
      </c>
      <c r="BA61" s="7">
        <f t="shared" si="14"/>
        <v>32.217898832684824</v>
      </c>
      <c r="BB61" s="7">
        <f t="shared" si="14"/>
        <v>30.428015564202333</v>
      </c>
      <c r="BC61" s="7">
        <f t="shared" si="14"/>
        <v>28.638132295719846</v>
      </c>
      <c r="BD61" s="7">
        <f t="shared" si="14"/>
        <v>16.108949416342412</v>
      </c>
      <c r="BE61">
        <f>SUM(AU54:BD54)</f>
        <v>193.5</v>
      </c>
    </row>
    <row r="62" spans="2:57" x14ac:dyDescent="0.25">
      <c r="J62" s="30"/>
      <c r="M62" s="6"/>
      <c r="AL62" s="159"/>
      <c r="AM62" t="s">
        <v>225</v>
      </c>
      <c r="AS62" s="10" t="s">
        <v>226</v>
      </c>
      <c r="AT62" s="7">
        <f>TableauSuiviSprint_Init[[#Totals],[Init]]-AT59</f>
        <v>406</v>
      </c>
      <c r="AU62" s="7">
        <f t="shared" ref="AU62:BD62" si="15">AT62-AU59</f>
        <v>395.7514563106796</v>
      </c>
      <c r="AV62" s="7">
        <f t="shared" si="15"/>
        <v>370.52427184466018</v>
      </c>
      <c r="AW62" s="7">
        <f t="shared" si="15"/>
        <v>338.99029126213588</v>
      </c>
      <c r="AX62" s="7">
        <f t="shared" si="15"/>
        <v>296.4194174757281</v>
      </c>
      <c r="AY62" s="7">
        <f t="shared" si="15"/>
        <v>252.27184466019412</v>
      </c>
      <c r="AZ62" s="7">
        <f t="shared" si="15"/>
        <v>203.39417475728149</v>
      </c>
      <c r="BA62" s="7">
        <f t="shared" si="15"/>
        <v>148.20970873786402</v>
      </c>
      <c r="BB62" s="7">
        <f t="shared" si="15"/>
        <v>92.23689320388344</v>
      </c>
      <c r="BC62" s="7">
        <f t="shared" si="15"/>
        <v>29.168932038834896</v>
      </c>
      <c r="BD62" s="7">
        <f t="shared" si="15"/>
        <v>-5.6843418860808015E-14</v>
      </c>
    </row>
    <row r="63" spans="2:57" x14ac:dyDescent="0.25">
      <c r="J63" s="30"/>
      <c r="M63" s="6"/>
      <c r="AS63" s="10" t="s">
        <v>227</v>
      </c>
      <c r="AT63" s="7">
        <f>AT47-AT60</f>
        <v>176</v>
      </c>
      <c r="AU63" s="7">
        <f t="shared" ref="AU63:BD63" si="16">AT63-AU60</f>
        <v>171.22480620155039</v>
      </c>
      <c r="AV63" s="7">
        <f t="shared" si="16"/>
        <v>161.67441860465118</v>
      </c>
      <c r="AW63" s="7">
        <f t="shared" si="16"/>
        <v>148.03100775193801</v>
      </c>
      <c r="AX63" s="7">
        <f t="shared" si="16"/>
        <v>133.02325581395351</v>
      </c>
      <c r="AY63" s="7">
        <f t="shared" si="16"/>
        <v>114.60465116279072</v>
      </c>
      <c r="AZ63" s="7">
        <f t="shared" si="16"/>
        <v>94.139534883720955</v>
      </c>
      <c r="BA63" s="7">
        <f t="shared" si="16"/>
        <v>70.945736434108554</v>
      </c>
      <c r="BB63" s="7">
        <f t="shared" si="16"/>
        <v>45.705426356589172</v>
      </c>
      <c r="BC63" s="7">
        <f t="shared" si="16"/>
        <v>12.961240310077542</v>
      </c>
      <c r="BD63" s="7">
        <f t="shared" si="16"/>
        <v>2.3092638912203256E-14</v>
      </c>
    </row>
    <row r="64" spans="2:57" x14ac:dyDescent="0.25">
      <c r="J64" s="30"/>
      <c r="M64" s="6"/>
      <c r="N64" s="30"/>
      <c r="AL64" s="100"/>
      <c r="AM64" t="s">
        <v>228</v>
      </c>
      <c r="AS64" s="10" t="s">
        <v>229</v>
      </c>
      <c r="AT64" s="7">
        <f>AT46-AT61</f>
        <v>230</v>
      </c>
      <c r="AU64" s="7">
        <f t="shared" ref="AU64:BD64" si="17">AT64-AU61</f>
        <v>224.63035019455253</v>
      </c>
      <c r="AV64" s="7">
        <f t="shared" si="17"/>
        <v>208.52140077821014</v>
      </c>
      <c r="AW64" s="7">
        <f t="shared" si="17"/>
        <v>190.62256809338524</v>
      </c>
      <c r="AX64" s="7">
        <f t="shared" si="17"/>
        <v>161.98443579766538</v>
      </c>
      <c r="AY64" s="7">
        <f t="shared" si="17"/>
        <v>136.03112840466929</v>
      </c>
      <c r="AZ64" s="7">
        <f t="shared" si="17"/>
        <v>107.39299610894945</v>
      </c>
      <c r="BA64" s="7">
        <f t="shared" si="17"/>
        <v>75.175097276264623</v>
      </c>
      <c r="BB64" s="7">
        <f t="shared" si="17"/>
        <v>44.74708171206229</v>
      </c>
      <c r="BC64" s="7">
        <f t="shared" si="17"/>
        <v>16.108949416342444</v>
      </c>
      <c r="BD64" s="7">
        <f t="shared" si="17"/>
        <v>3.1974423109204508E-14</v>
      </c>
    </row>
    <row r="65" spans="10:57" x14ac:dyDescent="0.25">
      <c r="J65" s="30"/>
      <c r="M65" s="6"/>
      <c r="AS65" s="10" t="s">
        <v>230</v>
      </c>
      <c r="AT65" s="31">
        <f>TableauSuiviSprint_Init[[#Totals],[Init]]</f>
        <v>406</v>
      </c>
      <c r="AU65" s="31">
        <f>TableauSuiviSprint_Init[[#Totals],[J1]]</f>
        <v>406</v>
      </c>
      <c r="AV65" s="31">
        <f>TableauSuiviSprint_Init[[#Totals],[J2]]</f>
        <v>406</v>
      </c>
      <c r="AW65" s="31">
        <f>TableauSuiviSprint_Init[[#Totals],[J3]]</f>
        <v>406</v>
      </c>
      <c r="AX65" s="31">
        <f>TableauSuiviSprint_Init[[#Totals],[J4]]</f>
        <v>406</v>
      </c>
      <c r="AY65" s="31">
        <f>TableauSuiviSprint_Init[[#Totals],[J5]]</f>
        <v>406</v>
      </c>
      <c r="AZ65" s="31">
        <f>TableauSuiviSprint_Init[[#Totals],[J6]]</f>
        <v>406</v>
      </c>
      <c r="BA65" s="31">
        <f>TableauSuiviSprint_Init[[#Totals],[J7]]</f>
        <v>406</v>
      </c>
      <c r="BB65" s="31">
        <f>TableauSuiviSprint_Init[[#Totals],[J8]]</f>
        <v>371</v>
      </c>
      <c r="BC65" s="31">
        <f>TableauSuiviSprint_Init[[#Totals],[J9]]</f>
        <v>371</v>
      </c>
      <c r="BD65" s="31">
        <f>TableauSuiviSprint_Init[[#Totals],[J10]]</f>
        <v>371</v>
      </c>
    </row>
    <row r="66" spans="10:57" x14ac:dyDescent="0.25">
      <c r="J66" s="30"/>
      <c r="M66" s="6"/>
      <c r="AS66" s="10" t="s">
        <v>231</v>
      </c>
      <c r="AT66" s="31">
        <f>AT47</f>
        <v>176</v>
      </c>
      <c r="AU66" s="31">
        <f t="shared" ref="AU66:AZ66" si="18">AU47</f>
        <v>176</v>
      </c>
      <c r="AV66" s="31">
        <f t="shared" si="18"/>
        <v>176</v>
      </c>
      <c r="AW66" s="31">
        <f t="shared" si="18"/>
        <v>176</v>
      </c>
      <c r="AX66" s="31">
        <f t="shared" si="18"/>
        <v>176</v>
      </c>
      <c r="AY66" s="31">
        <f t="shared" si="18"/>
        <v>176</v>
      </c>
      <c r="AZ66" s="31">
        <f t="shared" si="18"/>
        <v>176</v>
      </c>
      <c r="BA66" s="31">
        <f>BA47</f>
        <v>176</v>
      </c>
      <c r="BB66" s="31">
        <f>BB47</f>
        <v>176</v>
      </c>
      <c r="BC66" s="31">
        <f>BC47</f>
        <v>176</v>
      </c>
      <c r="BD66" s="31">
        <f>BD47</f>
        <v>176</v>
      </c>
    </row>
    <row r="67" spans="10:57" x14ac:dyDescent="0.25">
      <c r="J67" s="30"/>
      <c r="M67" s="6"/>
      <c r="AS67" s="10" t="s">
        <v>232</v>
      </c>
      <c r="AT67" s="31">
        <f>AT46</f>
        <v>230</v>
      </c>
      <c r="AU67" s="31">
        <f t="shared" ref="AU67:AZ67" si="19">AU46</f>
        <v>230</v>
      </c>
      <c r="AV67" s="31">
        <f t="shared" si="19"/>
        <v>230</v>
      </c>
      <c r="AW67" s="31">
        <f t="shared" si="19"/>
        <v>230</v>
      </c>
      <c r="AX67" s="31">
        <f t="shared" si="19"/>
        <v>230</v>
      </c>
      <c r="AY67" s="31">
        <f t="shared" si="19"/>
        <v>230</v>
      </c>
      <c r="AZ67" s="31">
        <f t="shared" si="19"/>
        <v>230</v>
      </c>
      <c r="BA67" s="31">
        <f>BA46</f>
        <v>230</v>
      </c>
      <c r="BB67" s="31">
        <f>BB46</f>
        <v>195</v>
      </c>
      <c r="BC67" s="31">
        <f>BC46</f>
        <v>195</v>
      </c>
      <c r="BD67" s="31">
        <f>BD46</f>
        <v>195</v>
      </c>
    </row>
    <row r="68" spans="10:57" x14ac:dyDescent="0.25">
      <c r="J68" s="30"/>
      <c r="M68" s="6"/>
    </row>
    <row r="69" spans="10:57" x14ac:dyDescent="0.25">
      <c r="J69" s="30"/>
      <c r="M69" s="6"/>
      <c r="N69" s="30"/>
      <c r="BE69" s="7">
        <f>SUM(AU53:BD53)</f>
        <v>386.25</v>
      </c>
    </row>
    <row r="70" spans="10:57" x14ac:dyDescent="0.25">
      <c r="J70" s="30"/>
      <c r="M70" s="6"/>
      <c r="BE70">
        <f>SUM(AU54:BD54)</f>
        <v>193.5</v>
      </c>
    </row>
    <row r="71" spans="10:57" x14ac:dyDescent="0.25">
      <c r="BE71" s="7">
        <f>SUM(AU55:BD55)</f>
        <v>192.75</v>
      </c>
    </row>
    <row r="72" spans="10:57" x14ac:dyDescent="0.25">
      <c r="AE72" s="6"/>
    </row>
  </sheetData>
  <protectedRanges>
    <protectedRange sqref="AN38:AO43 AO26:AO37 AR23:BD23 AE4:BD22 AP26:AX26 AP27:AW43 AX27:AX44 AY26:BD43 AN24:AN35 AE30:AM43 AE24:AM27 AO24:BD25 AJ28" name="Modif" securityDescriptor="O:WDG:WDD:(A;;CC;;;WD)"/>
    <protectedRange algorithmName="SHA-512" hashValue="Km4lDB06YUgTyHi1nPExIlOtqmv/dLbcMwb8l9VU/CNvqzWLSrzyA6mWp04vwT972L9jp2PvFIcpBZjc2COXNA==" saltValue="JOb8dRwdkbjIgujr4A9ddw==" spinCount="100000" sqref="K25:AC43 B42:I42 B25:J41 D43:J43 AC2:AC11 AC14:AC15 A16:AC21 A22:A43 B2:AB15 A2:A13 A15" name="Ressources_30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2:AC22 D23:AC24" name="Ressources_30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C23:C24" name="Ressources_30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3" name="Ressources_30_1_1_1" securityDescriptor="O:WDG:WDD:(A;;CC;;;S-1-5-21-1248577188-10479689-3873521419-256576)(A;;CC;;;S-1-5-21-1248577188-10479689-3873521419-887198)(A;;CC;;;S-1-5-21-1248577188-10479689-3873521419-72230)"/>
    <protectedRange algorithmName="SHA-512" hashValue="Km4lDB06YUgTyHi1nPExIlOtqmv/dLbcMwb8l9VU/CNvqzWLSrzyA6mWp04vwT972L9jp2PvFIcpBZjc2COXNA==" saltValue="JOb8dRwdkbjIgujr4A9ddw==" spinCount="100000" sqref="B24" name="Ressources_30_1_1_1_1" securityDescriptor="O:WDG:WDD:(A;;CC;;;S-1-5-21-1248577188-10479689-3873521419-256576)(A;;CC;;;S-1-5-21-1248577188-10479689-3873521419-887198)(A;;CC;;;S-1-5-21-1248577188-10479689-3873521419-72230)"/>
  </protectedRanges>
  <mergeCells count="160">
    <mergeCell ref="AU2:BD2"/>
    <mergeCell ref="E3:AC3"/>
    <mergeCell ref="AO3:AP3"/>
    <mergeCell ref="E4:I4"/>
    <mergeCell ref="J4:K4"/>
    <mergeCell ref="L4:M4"/>
    <mergeCell ref="N4:O4"/>
    <mergeCell ref="P4:Q4"/>
    <mergeCell ref="X4:Y4"/>
    <mergeCell ref="Z4:AA4"/>
    <mergeCell ref="AB4:AC4"/>
    <mergeCell ref="J2:AC2"/>
    <mergeCell ref="AF2:AP2"/>
    <mergeCell ref="L26:M26"/>
    <mergeCell ref="R4:S4"/>
    <mergeCell ref="T4:U4"/>
    <mergeCell ref="V4:W4"/>
    <mergeCell ref="A19:A20"/>
    <mergeCell ref="A13:A14"/>
    <mergeCell ref="A6:A7"/>
    <mergeCell ref="A10:A11"/>
    <mergeCell ref="B26:D26"/>
    <mergeCell ref="E26:I26"/>
    <mergeCell ref="J26:K26"/>
    <mergeCell ref="Z26:AA26"/>
    <mergeCell ref="AB26:AC26"/>
    <mergeCell ref="B27:D27"/>
    <mergeCell ref="E27:I27"/>
    <mergeCell ref="J27:K27"/>
    <mergeCell ref="L27:M27"/>
    <mergeCell ref="N27:O27"/>
    <mergeCell ref="P27:Q27"/>
    <mergeCell ref="R27:S27"/>
    <mergeCell ref="T27:U27"/>
    <mergeCell ref="N26:O26"/>
    <mergeCell ref="P26:Q26"/>
    <mergeCell ref="R26:S26"/>
    <mergeCell ref="T26:U26"/>
    <mergeCell ref="V26:W26"/>
    <mergeCell ref="X26:Y26"/>
    <mergeCell ref="X29:Y29"/>
    <mergeCell ref="Z29:AA29"/>
    <mergeCell ref="AB29:AC29"/>
    <mergeCell ref="B28:D28"/>
    <mergeCell ref="E28:I28"/>
    <mergeCell ref="J28:K28"/>
    <mergeCell ref="L28:M28"/>
    <mergeCell ref="N28:O28"/>
    <mergeCell ref="P28:Q28"/>
    <mergeCell ref="R28:S28"/>
    <mergeCell ref="T28:U28"/>
    <mergeCell ref="X28:Y28"/>
    <mergeCell ref="Z28:AA28"/>
    <mergeCell ref="AB28:AC28"/>
    <mergeCell ref="V27:W27"/>
    <mergeCell ref="X27:Y27"/>
    <mergeCell ref="Z27:AA27"/>
    <mergeCell ref="AB27:AC27"/>
    <mergeCell ref="P29:Q29"/>
    <mergeCell ref="R30:S30"/>
    <mergeCell ref="T30:U30"/>
    <mergeCell ref="V30:W30"/>
    <mergeCell ref="V28:W28"/>
    <mergeCell ref="R29:S29"/>
    <mergeCell ref="T29:U29"/>
    <mergeCell ref="V29:W29"/>
    <mergeCell ref="B29:D29"/>
    <mergeCell ref="E29:I29"/>
    <mergeCell ref="J29:K29"/>
    <mergeCell ref="L29:M29"/>
    <mergeCell ref="N29:O29"/>
    <mergeCell ref="X30:Y30"/>
    <mergeCell ref="Z30:AA30"/>
    <mergeCell ref="AB30:AC30"/>
    <mergeCell ref="B30:D30"/>
    <mergeCell ref="E30:I30"/>
    <mergeCell ref="J30:K30"/>
    <mergeCell ref="L30:M30"/>
    <mergeCell ref="N30:O30"/>
    <mergeCell ref="P30:Q30"/>
    <mergeCell ref="AB31:AC31"/>
    <mergeCell ref="B31:D31"/>
    <mergeCell ref="E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2:AC32"/>
    <mergeCell ref="B32:D32"/>
    <mergeCell ref="E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B33:D33"/>
    <mergeCell ref="E33:I33"/>
    <mergeCell ref="J34:K34"/>
    <mergeCell ref="L34:M34"/>
    <mergeCell ref="N34:O34"/>
    <mergeCell ref="T34:U34"/>
    <mergeCell ref="J35:K35"/>
    <mergeCell ref="L35:M35"/>
    <mergeCell ref="N35:O35"/>
    <mergeCell ref="P35:Q35"/>
    <mergeCell ref="T35:U35"/>
    <mergeCell ref="P34:Q34"/>
    <mergeCell ref="W35:X35"/>
    <mergeCell ref="Y35:Z35"/>
    <mergeCell ref="J36:K36"/>
    <mergeCell ref="L36:M36"/>
    <mergeCell ref="N36:O36"/>
    <mergeCell ref="P36:Q36"/>
    <mergeCell ref="R36:R37"/>
    <mergeCell ref="T36:U36"/>
    <mergeCell ref="W36:X36"/>
    <mergeCell ref="Y36:Z36"/>
    <mergeCell ref="AA36:AB36"/>
    <mergeCell ref="J37:K37"/>
    <mergeCell ref="L37:M37"/>
    <mergeCell ref="N37:O37"/>
    <mergeCell ref="P37:Q37"/>
    <mergeCell ref="T37:U37"/>
    <mergeCell ref="J38:K38"/>
    <mergeCell ref="L38:M38"/>
    <mergeCell ref="N38:O38"/>
    <mergeCell ref="P38:Q38"/>
    <mergeCell ref="J39:K39"/>
    <mergeCell ref="L39:M39"/>
    <mergeCell ref="N39:O39"/>
    <mergeCell ref="P39:Q39"/>
    <mergeCell ref="V52:W52"/>
    <mergeCell ref="J40:K40"/>
    <mergeCell ref="B41:I41"/>
    <mergeCell ref="J41:K41"/>
    <mergeCell ref="AE49:AG49"/>
    <mergeCell ref="AE50:AG50"/>
    <mergeCell ref="AE51:AG51"/>
    <mergeCell ref="L52:M52"/>
    <mergeCell ref="N52:O52"/>
    <mergeCell ref="P52:Q52"/>
    <mergeCell ref="R52:S52"/>
    <mergeCell ref="T52:U52"/>
    <mergeCell ref="AE59:AG59"/>
    <mergeCell ref="AE60:AG60"/>
    <mergeCell ref="X52:Y52"/>
    <mergeCell ref="AE53:AG53"/>
    <mergeCell ref="AE54:AG54"/>
    <mergeCell ref="AE56:AG56"/>
    <mergeCell ref="AE57:AG57"/>
    <mergeCell ref="AE58:AG58"/>
  </mergeCells>
  <conditionalFormatting sqref="AB25:AC25 AB19:AC21 J10:AC14 J17:AC18">
    <cfRule type="expression" dxfId="425" priority="167">
      <formula>(J10="O")</formula>
    </cfRule>
    <cfRule type="expression" dxfId="424" priority="168">
      <formula>(J10="Q")</formula>
    </cfRule>
    <cfRule type="expression" dxfId="423" priority="169">
      <formula>(J10="D")</formula>
    </cfRule>
    <cfRule type="expression" dxfId="422" priority="170">
      <formula>(J10="S")</formula>
    </cfRule>
  </conditionalFormatting>
  <conditionalFormatting sqref="AF71 AF69">
    <cfRule type="expression" dxfId="421" priority="163">
      <formula>(AF69="O")</formula>
    </cfRule>
    <cfRule type="expression" dxfId="420" priority="164">
      <formula>(AF69="Q")</formula>
    </cfRule>
    <cfRule type="expression" dxfId="419" priority="165">
      <formula>(AF69="D")</formula>
    </cfRule>
    <cfRule type="expression" dxfId="418" priority="166">
      <formula>(AF69="S")</formula>
    </cfRule>
  </conditionalFormatting>
  <conditionalFormatting sqref="T25:Y25">
    <cfRule type="expression" dxfId="417" priority="159">
      <formula>(T25="O")</formula>
    </cfRule>
    <cfRule type="expression" dxfId="416" priority="160">
      <formula>(T25="Q")</formula>
    </cfRule>
    <cfRule type="expression" dxfId="415" priority="161">
      <formula>(T25="D")</formula>
    </cfRule>
    <cfRule type="expression" dxfId="414" priority="162">
      <formula>(T25="S")</formula>
    </cfRule>
  </conditionalFormatting>
  <conditionalFormatting sqref="Z25:AA25">
    <cfRule type="expression" dxfId="413" priority="155">
      <formula>(Z25="O")</formula>
    </cfRule>
    <cfRule type="expression" dxfId="412" priority="156">
      <formula>(Z25="Q")</formula>
    </cfRule>
    <cfRule type="expression" dxfId="411" priority="157">
      <formula>(Z25="D")</formula>
    </cfRule>
    <cfRule type="expression" dxfId="410" priority="158">
      <formula>(Z25="S")</formula>
    </cfRule>
  </conditionalFormatting>
  <conditionalFormatting sqref="R25:S25">
    <cfRule type="expression" dxfId="409" priority="151">
      <formula>(R25="O")</formula>
    </cfRule>
    <cfRule type="expression" dxfId="408" priority="152">
      <formula>(R25="Q")</formula>
    </cfRule>
    <cfRule type="expression" dxfId="407" priority="153">
      <formula>(R25="D")</formula>
    </cfRule>
    <cfRule type="expression" dxfId="406" priority="154">
      <formula>(R25="S")</formula>
    </cfRule>
  </conditionalFormatting>
  <conditionalFormatting sqref="J25:O25">
    <cfRule type="expression" dxfId="405" priority="147">
      <formula>(J25="O")</formula>
    </cfRule>
    <cfRule type="expression" dxfId="404" priority="148">
      <formula>(J25="Q")</formula>
    </cfRule>
    <cfRule type="expression" dxfId="403" priority="149">
      <formula>(J25="D")</formula>
    </cfRule>
    <cfRule type="expression" dxfId="402" priority="150">
      <formula>(J25="S")</formula>
    </cfRule>
  </conditionalFormatting>
  <conditionalFormatting sqref="P25:Q25">
    <cfRule type="expression" dxfId="401" priority="143">
      <formula>(P25="O")</formula>
    </cfRule>
    <cfRule type="expression" dxfId="400" priority="144">
      <formula>(P25="Q")</formula>
    </cfRule>
    <cfRule type="expression" dxfId="399" priority="145">
      <formula>(P25="D")</formula>
    </cfRule>
    <cfRule type="expression" dxfId="398" priority="146">
      <formula>(P25="S")</formula>
    </cfRule>
  </conditionalFormatting>
  <conditionalFormatting sqref="J25:AC25 J6:AC15 J17:AC21">
    <cfRule type="expression" dxfId="397" priority="142">
      <formula>(J6="T")</formula>
    </cfRule>
  </conditionalFormatting>
  <conditionalFormatting sqref="L34 N34">
    <cfRule type="expression" dxfId="396" priority="138">
      <formula>(L34="O")</formula>
    </cfRule>
    <cfRule type="expression" dxfId="395" priority="139">
      <formula>(L34="Q")</formula>
    </cfRule>
    <cfRule type="expression" dxfId="394" priority="140">
      <formula>(L34="D")</formula>
    </cfRule>
    <cfRule type="expression" dxfId="393" priority="141">
      <formula>(L34="S")</formula>
    </cfRule>
  </conditionalFormatting>
  <conditionalFormatting sqref="J34">
    <cfRule type="expression" dxfId="392" priority="134">
      <formula>(J34="O")</formula>
    </cfRule>
    <cfRule type="expression" dxfId="391" priority="135">
      <formula>(J34="Q")</formula>
    </cfRule>
    <cfRule type="expression" dxfId="390" priority="136">
      <formula>(J34="D")</formula>
    </cfRule>
    <cfRule type="expression" dxfId="389" priority="137">
      <formula>(J34="S")</formula>
    </cfRule>
  </conditionalFormatting>
  <conditionalFormatting sqref="T20:AA21">
    <cfRule type="expression" dxfId="388" priority="130">
      <formula>(T20="O")</formula>
    </cfRule>
    <cfRule type="expression" dxfId="387" priority="131">
      <formula>(T20="Q")</formula>
    </cfRule>
    <cfRule type="expression" dxfId="386" priority="132">
      <formula>(T20="D")</formula>
    </cfRule>
    <cfRule type="expression" dxfId="385" priority="133">
      <formula>(T20="S")</formula>
    </cfRule>
  </conditionalFormatting>
  <conditionalFormatting sqref="Z20:AA21">
    <cfRule type="expression" dxfId="384" priority="126">
      <formula>(Z20="O")</formula>
    </cfRule>
    <cfRule type="expression" dxfId="383" priority="127">
      <formula>(Z20="Q")</formula>
    </cfRule>
    <cfRule type="expression" dxfId="382" priority="128">
      <formula>(Z20="D")</formula>
    </cfRule>
    <cfRule type="expression" dxfId="381" priority="129">
      <formula>(Z20="S")</formula>
    </cfRule>
  </conditionalFormatting>
  <conditionalFormatting sqref="R20:S21">
    <cfRule type="expression" dxfId="380" priority="122">
      <formula>(R20="O")</formula>
    </cfRule>
    <cfRule type="expression" dxfId="379" priority="123">
      <formula>(R20="Q")</formula>
    </cfRule>
    <cfRule type="expression" dxfId="378" priority="124">
      <formula>(R20="D")</formula>
    </cfRule>
    <cfRule type="expression" dxfId="377" priority="125">
      <formula>(R20="S")</formula>
    </cfRule>
  </conditionalFormatting>
  <conditionalFormatting sqref="J20:S21 L21:Z21">
    <cfRule type="expression" dxfId="376" priority="118">
      <formula>(J20="O")</formula>
    </cfRule>
    <cfRule type="expression" dxfId="375" priority="119">
      <formula>(J20="Q")</formula>
    </cfRule>
    <cfRule type="expression" dxfId="374" priority="120">
      <formula>(J20="D")</formula>
    </cfRule>
    <cfRule type="expression" dxfId="373" priority="121">
      <formula>(J20="S")</formula>
    </cfRule>
  </conditionalFormatting>
  <conditionalFormatting sqref="P20:Q21">
    <cfRule type="expression" dxfId="372" priority="114">
      <formula>(P20="O")</formula>
    </cfRule>
    <cfRule type="expression" dxfId="371" priority="115">
      <formula>(P20="Q")</formula>
    </cfRule>
    <cfRule type="expression" dxfId="370" priority="116">
      <formula>(P20="D")</formula>
    </cfRule>
    <cfRule type="expression" dxfId="369" priority="117">
      <formula>(P20="S")</formula>
    </cfRule>
  </conditionalFormatting>
  <conditionalFormatting sqref="J6:AC9 J15:AC16">
    <cfRule type="expression" dxfId="368" priority="105">
      <formula>(J6="O")</formula>
    </cfRule>
    <cfRule type="expression" dxfId="367" priority="106">
      <formula>(J6="Q")</formula>
    </cfRule>
    <cfRule type="expression" dxfId="366" priority="107">
      <formula>(J6="D")</formula>
    </cfRule>
    <cfRule type="expression" dxfId="365" priority="108">
      <formula>(J6="S")</formula>
    </cfRule>
  </conditionalFormatting>
  <conditionalFormatting sqref="T11:AA11">
    <cfRule type="expression" dxfId="364" priority="101">
      <formula>(T11="O")</formula>
    </cfRule>
    <cfRule type="expression" dxfId="363" priority="102">
      <formula>(T11="Q")</formula>
    </cfRule>
    <cfRule type="expression" dxfId="362" priority="103">
      <formula>(T11="D")</formula>
    </cfRule>
    <cfRule type="expression" dxfId="361" priority="104">
      <formula>(T11="S")</formula>
    </cfRule>
  </conditionalFormatting>
  <conditionalFormatting sqref="J16:AC16">
    <cfRule type="expression" dxfId="360" priority="100">
      <formula>(J16="T")</formula>
    </cfRule>
  </conditionalFormatting>
  <conditionalFormatting sqref="S10:S11">
    <cfRule type="expression" dxfId="359" priority="96">
      <formula>(S10="O")</formula>
    </cfRule>
    <cfRule type="expression" dxfId="358" priority="97">
      <formula>(S10="Q")</formula>
    </cfRule>
    <cfRule type="expression" dxfId="357" priority="98">
      <formula>(S10="D")</formula>
    </cfRule>
    <cfRule type="expression" dxfId="356" priority="99">
      <formula>(S10="S")</formula>
    </cfRule>
  </conditionalFormatting>
  <conditionalFormatting sqref="W16:AC16">
    <cfRule type="expression" dxfId="355" priority="92">
      <formula>(W16="O")</formula>
    </cfRule>
    <cfRule type="expression" dxfId="354" priority="93">
      <formula>(W16="Q")</formula>
    </cfRule>
    <cfRule type="expression" dxfId="353" priority="94">
      <formula>(W16="D")</formula>
    </cfRule>
    <cfRule type="expression" dxfId="352" priority="95">
      <formula>(W16="S")</formula>
    </cfRule>
  </conditionalFormatting>
  <conditionalFormatting sqref="W16:AC16">
    <cfRule type="expression" dxfId="351" priority="91">
      <formula>(W16="T")</formula>
    </cfRule>
  </conditionalFormatting>
  <conditionalFormatting sqref="V10">
    <cfRule type="expression" dxfId="350" priority="87">
      <formula>(V10="O")</formula>
    </cfRule>
    <cfRule type="expression" dxfId="349" priority="88">
      <formula>(V10="Q")</formula>
    </cfRule>
    <cfRule type="expression" dxfId="348" priority="89">
      <formula>(V10="D")</formula>
    </cfRule>
    <cfRule type="expression" dxfId="347" priority="90">
      <formula>(V10="S")</formula>
    </cfRule>
  </conditionalFormatting>
  <conditionalFormatting sqref="V15">
    <cfRule type="expression" dxfId="346" priority="83">
      <formula>(V15="O")</formula>
    </cfRule>
    <cfRule type="expression" dxfId="345" priority="84">
      <formula>(V15="Q")</formula>
    </cfRule>
    <cfRule type="expression" dxfId="344" priority="85">
      <formula>(V15="D")</formula>
    </cfRule>
    <cfRule type="expression" dxfId="343" priority="86">
      <formula>(V15="S")</formula>
    </cfRule>
  </conditionalFormatting>
  <conditionalFormatting sqref="V15">
    <cfRule type="expression" dxfId="342" priority="79">
      <formula>(V15="O")</formula>
    </cfRule>
    <cfRule type="expression" dxfId="341" priority="80">
      <formula>(V15="Q")</formula>
    </cfRule>
    <cfRule type="expression" dxfId="340" priority="81">
      <formula>(V15="D")</formula>
    </cfRule>
    <cfRule type="expression" dxfId="339" priority="82">
      <formula>(V15="S")</formula>
    </cfRule>
  </conditionalFormatting>
  <conditionalFormatting sqref="V16:Y16">
    <cfRule type="expression" dxfId="338" priority="75">
      <formula>(V16="O")</formula>
    </cfRule>
    <cfRule type="expression" dxfId="337" priority="76">
      <formula>(V16="Q")</formula>
    </cfRule>
    <cfRule type="expression" dxfId="336" priority="77">
      <formula>(V16="D")</formula>
    </cfRule>
    <cfRule type="expression" dxfId="335" priority="78">
      <formula>(V16="S")</formula>
    </cfRule>
  </conditionalFormatting>
  <conditionalFormatting sqref="V16:Y16">
    <cfRule type="expression" dxfId="334" priority="74">
      <formula>(V16="T")</formula>
    </cfRule>
  </conditionalFormatting>
  <conditionalFormatting sqref="V16:Y16">
    <cfRule type="expression" dxfId="333" priority="70">
      <formula>(V16="O")</formula>
    </cfRule>
    <cfRule type="expression" dxfId="332" priority="71">
      <formula>(V16="Q")</formula>
    </cfRule>
    <cfRule type="expression" dxfId="331" priority="72">
      <formula>(V16="D")</formula>
    </cfRule>
    <cfRule type="expression" dxfId="330" priority="73">
      <formula>(V16="S")</formula>
    </cfRule>
  </conditionalFormatting>
  <conditionalFormatting sqref="V12:V14">
    <cfRule type="expression" dxfId="329" priority="66">
      <formula>(V12="O")</formula>
    </cfRule>
    <cfRule type="expression" dxfId="328" priority="67">
      <formula>(V12="Q")</formula>
    </cfRule>
    <cfRule type="expression" dxfId="327" priority="68">
      <formula>(V12="D")</formula>
    </cfRule>
    <cfRule type="expression" dxfId="326" priority="69">
      <formula>(V12="S")</formula>
    </cfRule>
  </conditionalFormatting>
  <conditionalFormatting sqref="V12:V14">
    <cfRule type="expression" dxfId="325" priority="62">
      <formula>(V12="O")</formula>
    </cfRule>
    <cfRule type="expression" dxfId="324" priority="63">
      <formula>(V12="Q")</formula>
    </cfRule>
    <cfRule type="expression" dxfId="323" priority="64">
      <formula>(V12="D")</formula>
    </cfRule>
    <cfRule type="expression" dxfId="322" priority="65">
      <formula>(V12="S")</formula>
    </cfRule>
  </conditionalFormatting>
  <conditionalFormatting sqref="J25:AC25 J6:AC21">
    <cfRule type="expression" dxfId="321" priority="61">
      <formula>(J6="A")</formula>
    </cfRule>
  </conditionalFormatting>
  <conditionalFormatting sqref="AR46">
    <cfRule type="cellIs" dxfId="320" priority="60" operator="lessThan">
      <formula>0</formula>
    </cfRule>
  </conditionalFormatting>
  <conditionalFormatting sqref="AR47">
    <cfRule type="cellIs" dxfId="319" priority="59" operator="lessThan">
      <formula>0</formula>
    </cfRule>
  </conditionalFormatting>
  <conditionalFormatting sqref="AR5:AR43">
    <cfRule type="expression" dxfId="318" priority="58">
      <formula>(AR5 &gt; AQ5)</formula>
    </cfRule>
  </conditionalFormatting>
  <conditionalFormatting sqref="C42">
    <cfRule type="containsText" dxfId="317" priority="56" operator="containsText" text="OK">
      <formula>NOT(ISERROR(SEARCH("OK",C42)))</formula>
    </cfRule>
    <cfRule type="containsText" dxfId="316" priority="57" operator="containsText" text="KO">
      <formula>NOT(ISERROR(SEARCH("KO",C42)))</formula>
    </cfRule>
  </conditionalFormatting>
  <conditionalFormatting sqref="AU3:BD3">
    <cfRule type="expression" dxfId="315" priority="55">
      <formula>IF(AU$1=TODAY(),TRUE,FALSE)</formula>
    </cfRule>
  </conditionalFormatting>
  <conditionalFormatting sqref="D15:D18 D21:D24 D12">
    <cfRule type="expression" dxfId="314" priority="54">
      <formula>$D12&lt;&gt;$A12</formula>
    </cfRule>
  </conditionalFormatting>
  <conditionalFormatting sqref="D10:D11">
    <cfRule type="expression" dxfId="313" priority="53">
      <formula>($D$10+$D$11)&lt;&gt;$A$10</formula>
    </cfRule>
  </conditionalFormatting>
  <conditionalFormatting sqref="AU49:BD49">
    <cfRule type="expression" dxfId="312" priority="52">
      <formula>IF(AU$1=TODAY(),TRUE,FALSE)</formula>
    </cfRule>
  </conditionalFormatting>
  <conditionalFormatting sqref="AB22:AC24">
    <cfRule type="expression" dxfId="311" priority="48">
      <formula>(AB22="O")</formula>
    </cfRule>
    <cfRule type="expression" dxfId="310" priority="49">
      <formula>(AB22="Q")</formula>
    </cfRule>
    <cfRule type="expression" dxfId="309" priority="50">
      <formula>(AB22="D")</formula>
    </cfRule>
    <cfRule type="expression" dxfId="308" priority="51">
      <formula>(AB22="S")</formula>
    </cfRule>
  </conditionalFormatting>
  <conditionalFormatting sqref="J22:AC24">
    <cfRule type="expression" dxfId="307" priority="47">
      <formula>(J22="T")</formula>
    </cfRule>
  </conditionalFormatting>
  <conditionalFormatting sqref="T22:Y24 V23:AC24">
    <cfRule type="expression" dxfId="306" priority="43">
      <formula>(T22="O")</formula>
    </cfRule>
    <cfRule type="expression" dxfId="305" priority="44">
      <formula>(T22="Q")</formula>
    </cfRule>
    <cfRule type="expression" dxfId="304" priority="45">
      <formula>(T22="D")</formula>
    </cfRule>
    <cfRule type="expression" dxfId="303" priority="46">
      <formula>(T22="S")</formula>
    </cfRule>
  </conditionalFormatting>
  <conditionalFormatting sqref="Z22:AA24">
    <cfRule type="expression" dxfId="302" priority="39">
      <formula>(Z22="O")</formula>
    </cfRule>
    <cfRule type="expression" dxfId="301" priority="40">
      <formula>(Z22="Q")</formula>
    </cfRule>
    <cfRule type="expression" dxfId="300" priority="41">
      <formula>(Z22="D")</formula>
    </cfRule>
    <cfRule type="expression" dxfId="299" priority="42">
      <formula>(Z22="S")</formula>
    </cfRule>
  </conditionalFormatting>
  <conditionalFormatting sqref="R22:S24">
    <cfRule type="expression" dxfId="298" priority="35">
      <formula>(R22="O")</formula>
    </cfRule>
    <cfRule type="expression" dxfId="297" priority="36">
      <formula>(R22="Q")</formula>
    </cfRule>
    <cfRule type="expression" dxfId="296" priority="37">
      <formula>(R22="D")</formula>
    </cfRule>
    <cfRule type="expression" dxfId="295" priority="38">
      <formula>(R22="S")</formula>
    </cfRule>
  </conditionalFormatting>
  <conditionalFormatting sqref="J22:O24">
    <cfRule type="expression" dxfId="294" priority="31">
      <formula>(J22="O")</formula>
    </cfRule>
    <cfRule type="expression" dxfId="293" priority="32">
      <formula>(J22="Q")</formula>
    </cfRule>
    <cfRule type="expression" dxfId="292" priority="33">
      <formula>(J22="D")</formula>
    </cfRule>
    <cfRule type="expression" dxfId="291" priority="34">
      <formula>(J22="S")</formula>
    </cfRule>
  </conditionalFormatting>
  <conditionalFormatting sqref="P22:Q24">
    <cfRule type="expression" dxfId="290" priority="27">
      <formula>(P22="O")</formula>
    </cfRule>
    <cfRule type="expression" dxfId="289" priority="28">
      <formula>(P22="Q")</formula>
    </cfRule>
    <cfRule type="expression" dxfId="288" priority="29">
      <formula>(P22="D")</formula>
    </cfRule>
    <cfRule type="expression" dxfId="287" priority="30">
      <formula>(P22="S")</formula>
    </cfRule>
  </conditionalFormatting>
  <conditionalFormatting sqref="J22:AC24">
    <cfRule type="expression" dxfId="286" priority="26">
      <formula>(J22="A")</formula>
    </cfRule>
  </conditionalFormatting>
  <conditionalFormatting sqref="T19:AA19">
    <cfRule type="expression" dxfId="285" priority="21">
      <formula>(T19="O")</formula>
    </cfRule>
    <cfRule type="expression" dxfId="284" priority="22">
      <formula>(T19="Q")</formula>
    </cfRule>
    <cfRule type="expression" dxfId="283" priority="23">
      <formula>(T19="D")</formula>
    </cfRule>
    <cfRule type="expression" dxfId="282" priority="24">
      <formula>(T19="S")</formula>
    </cfRule>
  </conditionalFormatting>
  <conditionalFormatting sqref="Z19:AA19">
    <cfRule type="expression" dxfId="281" priority="17">
      <formula>(Z19="O")</formula>
    </cfRule>
    <cfRule type="expression" dxfId="280" priority="18">
      <formula>(Z19="Q")</formula>
    </cfRule>
    <cfRule type="expression" dxfId="279" priority="19">
      <formula>(Z19="D")</formula>
    </cfRule>
    <cfRule type="expression" dxfId="278" priority="20">
      <formula>(Z19="S")</formula>
    </cfRule>
  </conditionalFormatting>
  <conditionalFormatting sqref="R19:S19">
    <cfRule type="expression" dxfId="277" priority="13">
      <formula>(R19="O")</formula>
    </cfRule>
    <cfRule type="expression" dxfId="276" priority="14">
      <formula>(R19="Q")</formula>
    </cfRule>
    <cfRule type="expression" dxfId="275" priority="15">
      <formula>(R19="D")</formula>
    </cfRule>
    <cfRule type="expression" dxfId="274" priority="16">
      <formula>(R19="S")</formula>
    </cfRule>
  </conditionalFormatting>
  <conditionalFormatting sqref="J19:S19">
    <cfRule type="expression" dxfId="273" priority="9">
      <formula>(J19="O")</formula>
    </cfRule>
    <cfRule type="expression" dxfId="272" priority="10">
      <formula>(J19="Q")</formula>
    </cfRule>
    <cfRule type="expression" dxfId="271" priority="11">
      <formula>(J19="D")</formula>
    </cfRule>
    <cfRule type="expression" dxfId="270" priority="12">
      <formula>(J19="S")</formula>
    </cfRule>
  </conditionalFormatting>
  <conditionalFormatting sqref="P19:Q19">
    <cfRule type="expression" dxfId="269" priority="5">
      <formula>(P19="O")</formula>
    </cfRule>
    <cfRule type="expression" dxfId="268" priority="6">
      <formula>(P19="Q")</formula>
    </cfRule>
    <cfRule type="expression" dxfId="267" priority="7">
      <formula>(P19="D")</formula>
    </cfRule>
    <cfRule type="expression" dxfId="266" priority="8">
      <formula>(P19="S")</formula>
    </cfRule>
  </conditionalFormatting>
  <conditionalFormatting sqref="D19:D20">
    <cfRule type="expression" dxfId="265" priority="4">
      <formula>($D$19+$D$20)&lt;&gt;$A$19</formula>
    </cfRule>
  </conditionalFormatting>
  <conditionalFormatting sqref="D13:D14">
    <cfRule type="expression" dxfId="264" priority="1">
      <formula>($D$13+$D$14)&lt;&gt;$A$13</formula>
    </cfRule>
  </conditionalFormatting>
  <pageMargins left="0.7" right="0.7" top="0.75" bottom="0.75" header="0.3" footer="0.3"/>
  <pageSetup paperSize="9" orientation="portrait"/>
  <headerFooter>
    <oddFooter>&amp;L&amp;1#&amp;"Tahoma"&amp;9&amp;KCF022BC2 – Usage restreint</oddFooter>
  </headerFooter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6"/>
  <dimension ref="B2:AC52"/>
  <sheetViews>
    <sheetView topLeftCell="J14" zoomScale="85" zoomScaleNormal="85" workbookViewId="0">
      <selection activeCell="Y4" sqref="Y4:Y26"/>
    </sheetView>
  </sheetViews>
  <sheetFormatPr baseColWidth="10" defaultColWidth="20.7109375" defaultRowHeight="15" x14ac:dyDescent="0.25"/>
  <cols>
    <col min="2" max="2" width="9.7109375" bestFit="1" customWidth="1"/>
    <col min="3" max="3" width="8" bestFit="1" customWidth="1"/>
    <col min="4" max="4" width="9.7109375" customWidth="1"/>
    <col min="5" max="5" width="10.28515625" customWidth="1"/>
    <col min="6" max="6" width="38.7109375" customWidth="1"/>
    <col min="7" max="7" width="10.28515625" customWidth="1"/>
    <col min="8" max="8" width="10" customWidth="1"/>
    <col min="9" max="9" width="54.5703125" customWidth="1"/>
    <col min="10" max="10" width="5.42578125" bestFit="1" customWidth="1"/>
    <col min="13" max="13" width="9.7109375" bestFit="1" customWidth="1"/>
    <col min="14" max="14" width="8" bestFit="1" customWidth="1"/>
    <col min="15" max="15" width="10.28515625" customWidth="1"/>
    <col min="16" max="16" width="12.42578125" bestFit="1" customWidth="1"/>
    <col min="17" max="17" width="12.42578125" customWidth="1"/>
    <col min="18" max="18" width="10.28515625" bestFit="1" customWidth="1"/>
    <col min="19" max="19" width="10" bestFit="1" customWidth="1"/>
    <col min="20" max="20" width="59.7109375" customWidth="1"/>
    <col min="21" max="21" width="5.42578125" bestFit="1" customWidth="1"/>
    <col min="22" max="22" width="7.28515625" bestFit="1" customWidth="1"/>
    <col min="23" max="23" width="14.28515625" bestFit="1" customWidth="1"/>
    <col min="24" max="25" width="22.7109375" bestFit="1" customWidth="1"/>
    <col min="26" max="27" width="7.5703125" bestFit="1" customWidth="1"/>
    <col min="28" max="28" width="10.28515625" bestFit="1" customWidth="1"/>
    <col min="29" max="30" width="13.42578125" bestFit="1" customWidth="1"/>
  </cols>
  <sheetData>
    <row r="2" spans="2:29" x14ac:dyDescent="0.25">
      <c r="D2" s="319" t="s">
        <v>233</v>
      </c>
      <c r="E2" s="319"/>
      <c r="F2" s="319"/>
      <c r="G2" s="319"/>
      <c r="H2" s="319"/>
      <c r="I2" s="319"/>
      <c r="J2" s="319"/>
      <c r="M2" s="320"/>
      <c r="N2" s="320"/>
      <c r="O2" s="320"/>
      <c r="P2" s="320"/>
      <c r="Q2" s="320"/>
      <c r="R2" s="320"/>
      <c r="S2" s="320"/>
    </row>
    <row r="3" spans="2:29" x14ac:dyDescent="0.25">
      <c r="B3" s="13" t="s">
        <v>23</v>
      </c>
      <c r="C3" s="43" t="s">
        <v>234</v>
      </c>
      <c r="D3" s="8" t="s">
        <v>235</v>
      </c>
      <c r="E3" s="17" t="s">
        <v>236</v>
      </c>
      <c r="F3" s="17" t="s">
        <v>27</v>
      </c>
      <c r="G3" s="17" t="s">
        <v>28</v>
      </c>
      <c r="H3" s="17" t="s">
        <v>237</v>
      </c>
      <c r="I3" s="17" t="s">
        <v>30</v>
      </c>
      <c r="J3" s="17" t="s">
        <v>31</v>
      </c>
      <c r="M3" s="49" t="s">
        <v>23</v>
      </c>
      <c r="N3" s="49" t="s">
        <v>234</v>
      </c>
      <c r="O3" s="48" t="s">
        <v>235</v>
      </c>
      <c r="P3" s="48" t="s">
        <v>26</v>
      </c>
      <c r="Q3" s="48" t="s">
        <v>27</v>
      </c>
      <c r="R3" s="48" t="s">
        <v>28</v>
      </c>
      <c r="S3" s="48" t="s">
        <v>237</v>
      </c>
      <c r="T3" s="48" t="s">
        <v>30</v>
      </c>
      <c r="U3" s="48" t="s">
        <v>31</v>
      </c>
      <c r="V3" s="48" t="s">
        <v>238</v>
      </c>
      <c r="W3" s="48" t="s">
        <v>239</v>
      </c>
      <c r="X3" s="48" t="s">
        <v>240</v>
      </c>
      <c r="Y3" s="48" t="s">
        <v>241</v>
      </c>
      <c r="Z3" s="160" t="s">
        <v>242</v>
      </c>
      <c r="AA3" s="160" t="s">
        <v>243</v>
      </c>
      <c r="AB3" s="160" t="s">
        <v>244</v>
      </c>
      <c r="AC3" s="160" t="s">
        <v>245</v>
      </c>
    </row>
    <row r="4" spans="2:29" ht="45" customHeight="1" x14ac:dyDescent="0.25">
      <c r="B4" t="s">
        <v>47</v>
      </c>
      <c r="C4" t="s">
        <v>48</v>
      </c>
      <c r="D4">
        <v>12269</v>
      </c>
      <c r="E4">
        <v>8554</v>
      </c>
      <c r="F4" s="11" t="s">
        <v>246</v>
      </c>
      <c r="G4" s="6" t="s">
        <v>49</v>
      </c>
      <c r="H4" s="7">
        <v>1</v>
      </c>
      <c r="I4" s="90" t="s">
        <v>50</v>
      </c>
      <c r="J4" s="32">
        <v>2</v>
      </c>
      <c r="M4" t="s">
        <v>47</v>
      </c>
      <c r="N4" t="s">
        <v>48</v>
      </c>
      <c r="O4">
        <v>12269</v>
      </c>
      <c r="P4" s="176">
        <v>8554</v>
      </c>
      <c r="Q4" s="232" t="e">
        <f>IF(TableauSuiviSprint_Init[[#This Row],[N° feature]]&lt;&gt;"",VLOOKUP(TableauSuiviSprint_Init[[#This Row],[N° feature]],SSG_Features[[#All],[ID]:[Tags]],3,FALSE),"")</f>
        <v>#VALUE!</v>
      </c>
      <c r="R4" s="6" t="s">
        <v>49</v>
      </c>
      <c r="S4" s="7">
        <v>1</v>
      </c>
      <c r="T4" s="90" t="s">
        <v>50</v>
      </c>
      <c r="U4" s="32">
        <v>2</v>
      </c>
      <c r="V4" s="50">
        <v>9</v>
      </c>
      <c r="W4" s="50">
        <v>2</v>
      </c>
      <c r="X4" s="30">
        <v>11</v>
      </c>
      <c r="Y4" s="88">
        <v>8.5</v>
      </c>
      <c r="Z4" t="s">
        <v>235</v>
      </c>
      <c r="AA4" s="32" t="s">
        <v>129</v>
      </c>
      <c r="AB4" s="161">
        <f>IF(TableauFinSprint[[#This Row],[Livré]]="N",0,TableauFinSprint[[#This Row],[SP]])</f>
        <v>2</v>
      </c>
      <c r="AC4" s="45">
        <f>IF(TableauFinSprint[[#This Row],[Livré]]="N",0,TableauFinSprint[[#This Row],[Heures de dev totales]]/HEURES)</f>
        <v>1.8333333333333333</v>
      </c>
    </row>
    <row r="5" spans="2:29" ht="45" customHeight="1" x14ac:dyDescent="0.25">
      <c r="B5" t="s">
        <v>47</v>
      </c>
      <c r="C5" t="s">
        <v>48</v>
      </c>
      <c r="D5">
        <v>12277</v>
      </c>
      <c r="E5">
        <v>8554</v>
      </c>
      <c r="F5" s="11" t="s">
        <v>246</v>
      </c>
      <c r="G5" s="6" t="s">
        <v>49</v>
      </c>
      <c r="H5" s="7">
        <v>2</v>
      </c>
      <c r="I5" s="11" t="s">
        <v>53</v>
      </c>
      <c r="J5" s="32">
        <v>3</v>
      </c>
      <c r="M5" t="s">
        <v>47</v>
      </c>
      <c r="N5" t="s">
        <v>48</v>
      </c>
      <c r="O5">
        <v>12277</v>
      </c>
      <c r="P5" s="176">
        <v>8554</v>
      </c>
      <c r="Q5" s="232" t="str">
        <f>IF(TableauSuiviSprint_Init[[#This Row],[N° feature]]&lt;&gt;"",VLOOKUP(TableauSuiviSprint_Init[[#This Row],[N° feature]],SSG_Features[[#All],[ID]:[Tags]],3,FALSE),"")</f>
        <v>[Designer] S221018_040 Demande d'évolution distribution CAP-Utilisation d'une scannette</v>
      </c>
      <c r="R5" s="6" t="s">
        <v>49</v>
      </c>
      <c r="S5" s="7">
        <v>2</v>
      </c>
      <c r="T5" s="11" t="s">
        <v>53</v>
      </c>
      <c r="U5" s="32">
        <v>3</v>
      </c>
      <c r="V5" s="50">
        <v>14</v>
      </c>
      <c r="W5" s="50">
        <v>3</v>
      </c>
      <c r="X5" s="30">
        <v>17</v>
      </c>
      <c r="Y5" s="88">
        <v>16</v>
      </c>
      <c r="Z5" t="s">
        <v>235</v>
      </c>
      <c r="AA5" s="32" t="s">
        <v>129</v>
      </c>
      <c r="AB5" s="161">
        <f>IF(TableauFinSprint[[#This Row],[Livré]]="N",0,TableauFinSprint[[#This Row],[SP]])</f>
        <v>3</v>
      </c>
      <c r="AC5" s="45">
        <f>IF(TableauFinSprint[[#This Row],[Livré]]="N",0,TableauFinSprint[[#This Row],[Heures de dev totales]]/HEURES)</f>
        <v>2.8333333333333335</v>
      </c>
    </row>
    <row r="6" spans="2:29" ht="45" customHeight="1" x14ac:dyDescent="0.25">
      <c r="B6" t="s">
        <v>47</v>
      </c>
      <c r="C6" t="s">
        <v>55</v>
      </c>
      <c r="D6">
        <v>10679</v>
      </c>
      <c r="E6">
        <v>9308</v>
      </c>
      <c r="F6" s="11" t="s">
        <v>247</v>
      </c>
      <c r="G6" s="6" t="s">
        <v>56</v>
      </c>
      <c r="H6" s="7">
        <v>3</v>
      </c>
      <c r="I6" s="11" t="s">
        <v>57</v>
      </c>
      <c r="J6" s="32">
        <v>2</v>
      </c>
      <c r="M6" t="s">
        <v>47</v>
      </c>
      <c r="N6" t="s">
        <v>55</v>
      </c>
      <c r="O6">
        <v>10679</v>
      </c>
      <c r="P6">
        <v>9308</v>
      </c>
      <c r="Q6" s="11" t="str">
        <f>IF(TableauSuiviSprint_Init[[#This Row],[N° feature]]&lt;&gt;"",VLOOKUP(TableauSuiviSprint_Init[[#This Row],[N° feature]],SSG_Features[[#All],[ID]:[Tags]],3,FALSE),"")</f>
        <v>[Designer] S221018_040 Demande d'évolution distribution CAP-Utilisation d'une scannette</v>
      </c>
      <c r="R6" s="6" t="s">
        <v>56</v>
      </c>
      <c r="S6" s="7">
        <v>3</v>
      </c>
      <c r="T6" s="11" t="s">
        <v>57</v>
      </c>
      <c r="U6" s="32">
        <v>2</v>
      </c>
      <c r="V6" s="50">
        <v>8</v>
      </c>
      <c r="W6" s="50">
        <v>2</v>
      </c>
      <c r="X6" s="30">
        <v>10</v>
      </c>
      <c r="Y6" s="88">
        <v>8</v>
      </c>
      <c r="Z6" t="s">
        <v>235</v>
      </c>
      <c r="AA6" s="32" t="s">
        <v>129</v>
      </c>
      <c r="AB6" s="161">
        <f>IF(TableauFinSprint[[#This Row],[Livré]]="N",0,TableauFinSprint[[#This Row],[SP]])</f>
        <v>2</v>
      </c>
      <c r="AC6" s="45">
        <f>IF(TableauFinSprint[[#This Row],[Livré]]="N",0,TableauFinSprint[[#This Row],[Heures de dev totales]]/HEURES)</f>
        <v>1.6666666666666667</v>
      </c>
    </row>
    <row r="7" spans="2:29" ht="45" customHeight="1" x14ac:dyDescent="0.25">
      <c r="B7" t="s">
        <v>47</v>
      </c>
      <c r="C7" t="s">
        <v>55</v>
      </c>
      <c r="D7">
        <v>10706</v>
      </c>
      <c r="E7">
        <v>9308</v>
      </c>
      <c r="F7" s="11" t="s">
        <v>247</v>
      </c>
      <c r="G7" s="6" t="s">
        <v>56</v>
      </c>
      <c r="H7" s="7">
        <v>4</v>
      </c>
      <c r="I7" s="11" t="s">
        <v>61</v>
      </c>
      <c r="J7" s="32">
        <v>2</v>
      </c>
      <c r="M7" t="s">
        <v>47</v>
      </c>
      <c r="N7" t="s">
        <v>55</v>
      </c>
      <c r="O7">
        <v>10706</v>
      </c>
      <c r="P7">
        <v>9308</v>
      </c>
      <c r="Q7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R7" s="6" t="s">
        <v>56</v>
      </c>
      <c r="S7" s="7">
        <v>4</v>
      </c>
      <c r="T7" s="11" t="s">
        <v>61</v>
      </c>
      <c r="U7" s="32">
        <v>2</v>
      </c>
      <c r="V7" s="50">
        <v>9</v>
      </c>
      <c r="W7" s="50">
        <v>2</v>
      </c>
      <c r="X7" s="30">
        <v>11</v>
      </c>
      <c r="Y7" s="88">
        <v>6</v>
      </c>
      <c r="Z7" t="s">
        <v>235</v>
      </c>
      <c r="AA7" s="32" t="s">
        <v>129</v>
      </c>
      <c r="AB7" s="161">
        <f>IF(TableauFinSprint[[#This Row],[Livré]]="N",0,TableauFinSprint[[#This Row],[SP]])</f>
        <v>2</v>
      </c>
      <c r="AC7" s="45">
        <f>IF(TableauFinSprint[[#This Row],[Livré]]="N",0,TableauFinSprint[[#This Row],[Heures de dev totales]]/HEURES)</f>
        <v>1.8333333333333333</v>
      </c>
    </row>
    <row r="8" spans="2:29" ht="45" customHeight="1" x14ac:dyDescent="0.25">
      <c r="B8" t="s">
        <v>47</v>
      </c>
      <c r="C8" t="s">
        <v>55</v>
      </c>
      <c r="D8">
        <v>10703</v>
      </c>
      <c r="E8">
        <v>9308</v>
      </c>
      <c r="F8" s="11" t="s">
        <v>247</v>
      </c>
      <c r="G8" s="6" t="s">
        <v>56</v>
      </c>
      <c r="H8" s="7">
        <v>5</v>
      </c>
      <c r="I8" s="11" t="s">
        <v>64</v>
      </c>
      <c r="J8" s="32">
        <v>3</v>
      </c>
      <c r="M8" t="s">
        <v>47</v>
      </c>
      <c r="N8" t="s">
        <v>55</v>
      </c>
      <c r="O8">
        <v>10703</v>
      </c>
      <c r="P8">
        <v>9308</v>
      </c>
      <c r="Q8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R8" s="6" t="s">
        <v>56</v>
      </c>
      <c r="S8" s="7">
        <v>5</v>
      </c>
      <c r="T8" s="11" t="s">
        <v>64</v>
      </c>
      <c r="U8" s="32">
        <v>3</v>
      </c>
      <c r="V8" s="50">
        <v>14</v>
      </c>
      <c r="W8" s="50">
        <v>3</v>
      </c>
      <c r="X8" s="30">
        <v>17</v>
      </c>
      <c r="Y8" s="88">
        <v>10.5</v>
      </c>
      <c r="Z8" t="s">
        <v>235</v>
      </c>
      <c r="AA8" s="32" t="s">
        <v>129</v>
      </c>
      <c r="AB8" s="161">
        <f>IF(TableauFinSprint[[#This Row],[Livré]]="N",0,TableauFinSprint[[#This Row],[SP]])</f>
        <v>3</v>
      </c>
      <c r="AC8" s="45">
        <f>IF(TableauFinSprint[[#This Row],[Livré]]="N",0,TableauFinSprint[[#This Row],[Heures de dev totales]]/HEURES)</f>
        <v>2.8333333333333335</v>
      </c>
    </row>
    <row r="9" spans="2:29" ht="45" customHeight="1" x14ac:dyDescent="0.25">
      <c r="B9" t="s">
        <v>47</v>
      </c>
      <c r="C9" t="s">
        <v>48</v>
      </c>
      <c r="D9">
        <v>12043</v>
      </c>
      <c r="E9">
        <v>11918</v>
      </c>
      <c r="F9" s="11" t="s">
        <v>248</v>
      </c>
      <c r="G9" s="6" t="s">
        <v>66</v>
      </c>
      <c r="H9" s="7">
        <v>6</v>
      </c>
      <c r="I9" s="11" t="s">
        <v>67</v>
      </c>
      <c r="J9" s="32">
        <v>5</v>
      </c>
      <c r="M9" t="s">
        <v>47</v>
      </c>
      <c r="N9" t="s">
        <v>48</v>
      </c>
      <c r="O9">
        <v>12043</v>
      </c>
      <c r="P9">
        <v>11918</v>
      </c>
      <c r="Q9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R9" s="6" t="s">
        <v>66</v>
      </c>
      <c r="S9" s="7">
        <v>6</v>
      </c>
      <c r="T9" s="11" t="s">
        <v>67</v>
      </c>
      <c r="U9" s="32">
        <v>5</v>
      </c>
      <c r="V9" s="50">
        <v>23</v>
      </c>
      <c r="W9" s="50">
        <v>6</v>
      </c>
      <c r="X9" s="30">
        <v>29</v>
      </c>
      <c r="Y9" s="88">
        <v>29.5</v>
      </c>
      <c r="Z9" t="s">
        <v>235</v>
      </c>
      <c r="AA9" s="32" t="s">
        <v>129</v>
      </c>
      <c r="AB9" s="161">
        <f>IF(TableauFinSprint[[#This Row],[Livré]]="N",0,TableauFinSprint[[#This Row],[SP]])</f>
        <v>5</v>
      </c>
      <c r="AC9" s="45">
        <f>IF(TableauFinSprint[[#This Row],[Livré]]="N",0,TableauFinSprint[[#This Row],[Heures de dev totales]]/HEURES)</f>
        <v>4.833333333333333</v>
      </c>
    </row>
    <row r="10" spans="2:29" ht="45" customHeight="1" x14ac:dyDescent="0.25">
      <c r="B10" t="s">
        <v>47</v>
      </c>
      <c r="C10" t="s">
        <v>48</v>
      </c>
      <c r="D10">
        <v>12041</v>
      </c>
      <c r="E10">
        <v>11918</v>
      </c>
      <c r="F10" s="11" t="s">
        <v>248</v>
      </c>
      <c r="G10" s="6" t="s">
        <v>66</v>
      </c>
      <c r="H10" s="7">
        <v>7</v>
      </c>
      <c r="I10" s="72" t="s">
        <v>68</v>
      </c>
      <c r="J10" s="32">
        <v>1</v>
      </c>
      <c r="M10" t="s">
        <v>47</v>
      </c>
      <c r="N10" t="s">
        <v>48</v>
      </c>
      <c r="O10">
        <v>12041</v>
      </c>
      <c r="P10">
        <v>11918</v>
      </c>
      <c r="Q10" s="11" t="str">
        <f>IF(TableauSuiviSprint_Init[[#This Row],[N° feature]]&lt;&gt;"",VLOOKUP(TableauSuiviSprint_Init[[#This Row],[N° feature]],SSG_Features[[#All],[ID]:[Tags]],3,FALSE),"")</f>
        <v>[DESIGNER] [Priorité haute] Diverses évolutions N°2 du 16/06/2023</v>
      </c>
      <c r="R10" s="6" t="s">
        <v>66</v>
      </c>
      <c r="S10" s="7">
        <v>7</v>
      </c>
      <c r="T10" s="72" t="s">
        <v>68</v>
      </c>
      <c r="U10" s="32">
        <v>1</v>
      </c>
      <c r="V10" s="50">
        <v>5</v>
      </c>
      <c r="W10" s="50">
        <v>1</v>
      </c>
      <c r="X10" s="30">
        <v>6</v>
      </c>
      <c r="Y10" s="88">
        <v>5</v>
      </c>
      <c r="Z10" t="s">
        <v>235</v>
      </c>
      <c r="AA10" s="32" t="s">
        <v>129</v>
      </c>
      <c r="AB10" s="161">
        <f>IF(TableauFinSprint[[#This Row],[Livré]]="N",0,TableauFinSprint[[#This Row],[SP]])</f>
        <v>1</v>
      </c>
      <c r="AC10" s="45">
        <f>IF(TableauFinSprint[[#This Row],[Livré]]="N",0,TableauFinSprint[[#This Row],[Heures de dev totales]]/HEURES)</f>
        <v>1</v>
      </c>
    </row>
    <row r="11" spans="2:29" ht="45" customHeight="1" x14ac:dyDescent="0.25">
      <c r="B11" t="s">
        <v>47</v>
      </c>
      <c r="C11" t="s">
        <v>55</v>
      </c>
      <c r="D11">
        <v>10684</v>
      </c>
      <c r="E11">
        <v>9308</v>
      </c>
      <c r="F11" s="11" t="s">
        <v>247</v>
      </c>
      <c r="G11" s="6" t="s">
        <v>56</v>
      </c>
      <c r="H11" s="7">
        <v>8</v>
      </c>
      <c r="I11" s="11" t="s">
        <v>77</v>
      </c>
      <c r="J11" s="32">
        <v>2</v>
      </c>
      <c r="M11" s="178" t="s">
        <v>47</v>
      </c>
      <c r="N11" s="178" t="s">
        <v>72</v>
      </c>
      <c r="O11" s="178">
        <v>12462</v>
      </c>
      <c r="P11" s="233">
        <v>12179</v>
      </c>
      <c r="Q11" s="234" t="str">
        <f>IF(TableauSuiviSprint_Init[[#This Row],[N° feature]]&lt;&gt;"",VLOOKUP(TableauSuiviSprint_Init[[#This Row],[N° feature]],SSG_Features[[#All],[ID]:[Tags]],3,FALSE),"")</f>
        <v>[DESIGNER] [Priorité haute] Diverses évolutions N°2 du 16/06/2023</v>
      </c>
      <c r="R11" s="181" t="s">
        <v>73</v>
      </c>
      <c r="S11" s="182">
        <v>8</v>
      </c>
      <c r="T11" s="180" t="s">
        <v>74</v>
      </c>
      <c r="U11" s="183">
        <v>1</v>
      </c>
      <c r="V11" s="184">
        <v>5</v>
      </c>
      <c r="W11" s="184">
        <v>1</v>
      </c>
      <c r="X11" s="184">
        <v>6</v>
      </c>
      <c r="Y11" s="128">
        <v>6</v>
      </c>
      <c r="Z11" t="s">
        <v>235</v>
      </c>
      <c r="AA11" s="32" t="s">
        <v>129</v>
      </c>
      <c r="AB11" s="161">
        <f>IF(TableauFinSprint[[#This Row],[Livré]]="N",0,TableauFinSprint[[#This Row],[SP]])</f>
        <v>1</v>
      </c>
      <c r="AC11" s="45">
        <f>IF(TableauFinSprint[[#This Row],[Livré]]="N",0,TableauFinSprint[[#This Row],[Heures de dev totales]]/HEURES)</f>
        <v>1</v>
      </c>
    </row>
    <row r="12" spans="2:29" ht="45" customHeight="1" x14ac:dyDescent="0.25">
      <c r="B12" s="162" t="s">
        <v>47</v>
      </c>
      <c r="C12" s="162" t="s">
        <v>55</v>
      </c>
      <c r="D12" s="162">
        <v>10704</v>
      </c>
      <c r="E12" s="162">
        <v>9308</v>
      </c>
      <c r="F12" s="163" t="s">
        <v>247</v>
      </c>
      <c r="G12" s="164" t="s">
        <v>56</v>
      </c>
      <c r="H12" s="165">
        <v>9</v>
      </c>
      <c r="I12" s="163" t="s">
        <v>249</v>
      </c>
      <c r="J12" s="166">
        <v>2</v>
      </c>
      <c r="M12" t="s">
        <v>47</v>
      </c>
      <c r="N12" t="s">
        <v>55</v>
      </c>
      <c r="O12">
        <v>10684</v>
      </c>
      <c r="P12">
        <v>9308</v>
      </c>
      <c r="Q12" s="11" t="str">
        <f>IF(TableauSuiviSprint_Init[[#This Row],[N° feature]]&lt;&gt;"",VLOOKUP(TableauSuiviSprint_Init[[#This Row],[N° feature]],SSG_Features[[#All],[ID]:[Tags]],3,FALSE),"")</f>
        <v>[DESIGNER] I230630_179 Impossibilité de rééditer une partie des courriers allocataires concernant les décisions de sanction</v>
      </c>
      <c r="R12" s="6" t="s">
        <v>56</v>
      </c>
      <c r="S12" s="7">
        <v>9</v>
      </c>
      <c r="T12" s="11" t="s">
        <v>77</v>
      </c>
      <c r="U12" s="32">
        <v>2</v>
      </c>
      <c r="V12" s="50">
        <v>9</v>
      </c>
      <c r="W12" s="50">
        <v>2</v>
      </c>
      <c r="X12" s="30">
        <v>11</v>
      </c>
      <c r="Y12" s="88">
        <v>9</v>
      </c>
      <c r="Z12" t="s">
        <v>235</v>
      </c>
      <c r="AA12" s="32" t="s">
        <v>129</v>
      </c>
      <c r="AB12" s="11">
        <f>IF(TableauFinSprint[[#This Row],[Livré]]="N",0,TableauFinSprint[[#This Row],[SP]])</f>
        <v>2</v>
      </c>
      <c r="AC12" s="45">
        <f>IF(TableauFinSprint[[#This Row],[Livré]]="N",0,TableauFinSprint[[#This Row],[Heures de dev totales]]/HEURES)</f>
        <v>1.8333333333333333</v>
      </c>
    </row>
    <row r="13" spans="2:29" ht="45" customHeight="1" x14ac:dyDescent="0.25">
      <c r="B13" s="168" t="s">
        <v>47</v>
      </c>
      <c r="C13" s="168" t="s">
        <v>55</v>
      </c>
      <c r="D13" s="168">
        <v>11756</v>
      </c>
      <c r="E13" s="168">
        <v>9308</v>
      </c>
      <c r="F13" s="170" t="s">
        <v>247</v>
      </c>
      <c r="G13" s="171" t="s">
        <v>56</v>
      </c>
      <c r="H13" s="172">
        <v>10</v>
      </c>
      <c r="I13" s="170" t="s">
        <v>250</v>
      </c>
      <c r="J13" s="173">
        <v>1</v>
      </c>
      <c r="M13" s="168" t="s">
        <v>47</v>
      </c>
      <c r="N13" s="168" t="s">
        <v>55</v>
      </c>
      <c r="O13" s="168">
        <v>10704</v>
      </c>
      <c r="P13" s="168">
        <v>9308</v>
      </c>
      <c r="Q13" s="170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R13" s="171" t="s">
        <v>56</v>
      </c>
      <c r="S13" s="172">
        <v>10</v>
      </c>
      <c r="T13" s="170" t="s">
        <v>78</v>
      </c>
      <c r="U13" s="173">
        <v>2</v>
      </c>
      <c r="V13" s="174">
        <v>9</v>
      </c>
      <c r="W13" s="174">
        <v>2</v>
      </c>
      <c r="X13" s="174">
        <v>11</v>
      </c>
      <c r="Y13" s="120">
        <v>8</v>
      </c>
      <c r="Z13" s="115" t="s">
        <v>235</v>
      </c>
      <c r="AA13" s="217" t="s">
        <v>129</v>
      </c>
      <c r="AB13" s="115">
        <f>IF(TableauFinSprint[[#This Row],[Livré]]="N",0,TableauFinSprint[[#This Row],[SP]])</f>
        <v>2</v>
      </c>
      <c r="AC13" s="218">
        <f>IF(TableauFinSprint[[#This Row],[Livré]]="N",0,TableauFinSprint[[#This Row],[Heures de dev totales]]/HEURES)</f>
        <v>1.8333333333333333</v>
      </c>
    </row>
    <row r="14" spans="2:29" ht="45" customHeight="1" x14ac:dyDescent="0.25">
      <c r="B14" t="s">
        <v>81</v>
      </c>
      <c r="C14" s="30" t="s">
        <v>82</v>
      </c>
      <c r="D14">
        <v>10799</v>
      </c>
      <c r="E14">
        <v>9238</v>
      </c>
      <c r="F14" s="11" t="s">
        <v>251</v>
      </c>
      <c r="G14" s="6" t="s">
        <v>83</v>
      </c>
      <c r="H14" s="7" t="s">
        <v>84</v>
      </c>
      <c r="I14" s="11" t="s">
        <v>85</v>
      </c>
      <c r="J14" s="32">
        <v>2</v>
      </c>
      <c r="M14" t="s">
        <v>81</v>
      </c>
      <c r="N14" s="30" t="s">
        <v>82</v>
      </c>
      <c r="O14">
        <v>10799</v>
      </c>
      <c r="P14">
        <v>9238</v>
      </c>
      <c r="Q14" s="11" t="str">
        <f>IF(TableauSuiviSprint_Init[[#This Row],[N° feature]]&lt;&gt;"",VLOOKUP(TableauSuiviSprint_Init[[#This Row],[N° feature]],SSG_Features[[#All],[ID]:[Tags]],3,FALSE),"")</f>
        <v>[DESIGNER] S221209_131 - Usage du ROC pour les codes postaux en lieu et place du référentiel obsolète de SRS</v>
      </c>
      <c r="R14" s="6" t="s">
        <v>83</v>
      </c>
      <c r="S14" s="7" t="s">
        <v>84</v>
      </c>
      <c r="T14" s="11" t="s">
        <v>85</v>
      </c>
      <c r="U14" s="175">
        <v>2</v>
      </c>
      <c r="V14" s="211">
        <v>14</v>
      </c>
      <c r="W14" s="50">
        <v>4</v>
      </c>
      <c r="X14" s="30">
        <v>18</v>
      </c>
      <c r="Y14" s="88">
        <v>11</v>
      </c>
      <c r="Z14" t="s">
        <v>235</v>
      </c>
      <c r="AA14" s="32" t="s">
        <v>129</v>
      </c>
      <c r="AB14" s="161">
        <f>IF(TableauFinSprint[[#This Row],[Livré]]="N",0,TableauFinSprint[[#This Row],[SP]])</f>
        <v>2</v>
      </c>
      <c r="AC14" s="45">
        <f>IF(TableauFinSprint[[#This Row],[Livré]]="N",0,TableauFinSprint[[#This Row],[Heures de dev totales]]/HEURES)</f>
        <v>3</v>
      </c>
    </row>
    <row r="15" spans="2:29" ht="45" customHeight="1" x14ac:dyDescent="0.25">
      <c r="B15" t="s">
        <v>81</v>
      </c>
      <c r="C15" s="30" t="s">
        <v>89</v>
      </c>
      <c r="D15">
        <v>12346</v>
      </c>
      <c r="E15">
        <v>9576</v>
      </c>
      <c r="F15" s="11" t="s">
        <v>252</v>
      </c>
      <c r="G15" s="6" t="s">
        <v>90</v>
      </c>
      <c r="H15" s="7" t="s">
        <v>84</v>
      </c>
      <c r="I15" s="11" t="s">
        <v>253</v>
      </c>
      <c r="J15" s="175">
        <v>0</v>
      </c>
      <c r="M15" t="s">
        <v>81</v>
      </c>
      <c r="N15" s="30" t="s">
        <v>89</v>
      </c>
      <c r="O15">
        <v>12346</v>
      </c>
      <c r="P15" s="176">
        <v>9576</v>
      </c>
      <c r="Q15" s="232" t="str">
        <f>IF(TableauSuiviSprint_Init[[#This Row],[N° feature]]&lt;&gt;"",VLOOKUP(TableauSuiviSprint_Init[[#This Row],[N° feature]],SSG_Features[[#All],[ID]:[Tags]],3,FALSE),"")</f>
        <v>S20221107 Tableau des effectifs - Lot 1</v>
      </c>
      <c r="R15" s="6" t="s">
        <v>90</v>
      </c>
      <c r="S15" s="7" t="s">
        <v>84</v>
      </c>
      <c r="T15" s="11" t="s">
        <v>91</v>
      </c>
      <c r="U15" s="127">
        <v>0</v>
      </c>
      <c r="V15" s="50">
        <v>3</v>
      </c>
      <c r="W15" s="50">
        <v>1</v>
      </c>
      <c r="X15" s="30">
        <v>4</v>
      </c>
      <c r="Y15" s="88">
        <v>3</v>
      </c>
      <c r="Z15" t="s">
        <v>235</v>
      </c>
      <c r="AA15" s="32" t="s">
        <v>129</v>
      </c>
      <c r="AB15" s="11">
        <f>IF(TableauFinSprint[[#This Row],[Livré]]="N",0,TableauFinSprint[[#This Row],[SP]])</f>
        <v>0</v>
      </c>
      <c r="AC15" s="45">
        <f>IF(TableauFinSprint[[#This Row],[Livré]]="N",0,TableauFinSprint[[#This Row],[Heures de dev totales]]/HEURES)</f>
        <v>0.66666666666666663</v>
      </c>
    </row>
    <row r="16" spans="2:29" ht="45" customHeight="1" x14ac:dyDescent="0.25">
      <c r="B16" s="151" t="s">
        <v>81</v>
      </c>
      <c r="C16" s="2" t="s">
        <v>94</v>
      </c>
      <c r="D16" s="2">
        <v>11950</v>
      </c>
      <c r="E16" s="2">
        <v>5159</v>
      </c>
      <c r="F16" s="152" t="s">
        <v>254</v>
      </c>
      <c r="G16" s="153" t="s">
        <v>95</v>
      </c>
      <c r="H16" s="154" t="s">
        <v>96</v>
      </c>
      <c r="I16" s="152" t="s">
        <v>97</v>
      </c>
      <c r="J16" s="155">
        <v>2</v>
      </c>
      <c r="M16" s="151" t="s">
        <v>81</v>
      </c>
      <c r="N16" s="2" t="s">
        <v>94</v>
      </c>
      <c r="O16" s="2">
        <v>11950</v>
      </c>
      <c r="P16" s="237">
        <v>5159</v>
      </c>
      <c r="Q16" s="239" t="str">
        <f>IF(TableauSuiviSprint_Init[[#This Row],[N° feature]]&lt;&gt;"",VLOOKUP(TableauSuiviSprint_Init[[#This Row],[N° feature]],SSG_Features[[#All],[ID]:[Tags]],3,FALSE),"")</f>
        <v>S230109_256 : Lot 1 - Ecran statistiques + Enrichir l'écran de détail de l'adhérent</v>
      </c>
      <c r="R16" s="153" t="s">
        <v>95</v>
      </c>
      <c r="S16" s="154" t="s">
        <v>96</v>
      </c>
      <c r="T16" s="152" t="s">
        <v>97</v>
      </c>
      <c r="U16" s="155">
        <v>2</v>
      </c>
      <c r="V16" s="156">
        <v>8</v>
      </c>
      <c r="W16" s="157">
        <v>3</v>
      </c>
      <c r="X16" s="158">
        <v>11</v>
      </c>
      <c r="Y16" s="88">
        <v>28</v>
      </c>
      <c r="Z16" t="s">
        <v>235</v>
      </c>
      <c r="AA16" s="32" t="s">
        <v>255</v>
      </c>
      <c r="AB16" s="161">
        <f>IF(TableauFinSprint[[#This Row],[Livré]]="N",0,TableauFinSprint[[#This Row],[SP]])</f>
        <v>0</v>
      </c>
      <c r="AC16" s="45">
        <f>IF(TableauFinSprint[[#This Row],[Livré]]="N",0,TableauFinSprint[[#This Row],[Heures de dev totales]]/HEURES)</f>
        <v>0</v>
      </c>
    </row>
    <row r="17" spans="2:29" ht="45" customHeight="1" x14ac:dyDescent="0.25">
      <c r="B17" t="s">
        <v>81</v>
      </c>
      <c r="C17" s="30" t="s">
        <v>82</v>
      </c>
      <c r="D17">
        <v>12281</v>
      </c>
      <c r="E17">
        <v>9238</v>
      </c>
      <c r="F17" s="11" t="s">
        <v>251</v>
      </c>
      <c r="G17" s="6" t="s">
        <v>83</v>
      </c>
      <c r="H17" s="7" t="s">
        <v>101</v>
      </c>
      <c r="I17" s="11" t="s">
        <v>102</v>
      </c>
      <c r="J17" s="32">
        <v>1</v>
      </c>
      <c r="M17" t="s">
        <v>81</v>
      </c>
      <c r="N17" s="30" t="s">
        <v>82</v>
      </c>
      <c r="O17">
        <v>12281</v>
      </c>
      <c r="P17">
        <v>9238</v>
      </c>
      <c r="Q17" s="11" t="str">
        <f>IF(TableauSuiviSprint_Init[[#This Row],[N° feature]]&lt;&gt;"",VLOOKUP(TableauSuiviSprint_Init[[#This Row],[N° feature]],SSG_Features[[#All],[ID]:[Tags]],3,FALSE),"")</f>
        <v>[WEB] GÉRER LES UTILISATEURS</v>
      </c>
      <c r="R17" s="6" t="s">
        <v>83</v>
      </c>
      <c r="S17" s="7" t="s">
        <v>101</v>
      </c>
      <c r="T17" s="11" t="s">
        <v>102</v>
      </c>
      <c r="U17" s="32">
        <v>1</v>
      </c>
      <c r="V17" s="32">
        <v>7</v>
      </c>
      <c r="W17" s="50">
        <v>2</v>
      </c>
      <c r="X17" s="30">
        <v>9</v>
      </c>
      <c r="Y17" s="88">
        <v>5</v>
      </c>
      <c r="Z17" t="s">
        <v>235</v>
      </c>
      <c r="AA17" s="32" t="s">
        <v>129</v>
      </c>
      <c r="AB17" s="161">
        <f>IF(TableauFinSprint[[#This Row],[Livré]]="N",0,TableauFinSprint[[#This Row],[SP]])</f>
        <v>1</v>
      </c>
      <c r="AC17" s="45">
        <f>IF(TableauFinSprint[[#This Row],[Livré]]="N",0,TableauFinSprint[[#This Row],[Heures de dev totales]]/HEURES)</f>
        <v>1.5</v>
      </c>
    </row>
    <row r="18" spans="2:29" ht="45" customHeight="1" x14ac:dyDescent="0.25">
      <c r="B18" t="s">
        <v>81</v>
      </c>
      <c r="C18" s="30" t="s">
        <v>105</v>
      </c>
      <c r="D18">
        <v>9317</v>
      </c>
      <c r="E18">
        <v>7936</v>
      </c>
      <c r="F18" s="11" t="s">
        <v>256</v>
      </c>
      <c r="G18" s="6" t="s">
        <v>90</v>
      </c>
      <c r="H18" s="7" t="s">
        <v>52</v>
      </c>
      <c r="I18" s="11" t="s">
        <v>106</v>
      </c>
      <c r="J18" s="32">
        <v>2</v>
      </c>
      <c r="M18" t="s">
        <v>81</v>
      </c>
      <c r="N18" s="30" t="s">
        <v>105</v>
      </c>
      <c r="O18">
        <v>9317</v>
      </c>
      <c r="P18">
        <v>7936</v>
      </c>
      <c r="Q18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R18" s="6" t="s">
        <v>90</v>
      </c>
      <c r="S18" s="7" t="s">
        <v>52</v>
      </c>
      <c r="T18" s="11" t="s">
        <v>106</v>
      </c>
      <c r="U18" s="32">
        <v>2</v>
      </c>
      <c r="V18" s="32">
        <v>14</v>
      </c>
      <c r="W18" s="50">
        <v>4</v>
      </c>
      <c r="X18" s="30">
        <v>18</v>
      </c>
      <c r="Y18" s="88">
        <v>14</v>
      </c>
      <c r="Z18" t="s">
        <v>235</v>
      </c>
      <c r="AA18" s="32" t="s">
        <v>129</v>
      </c>
      <c r="AB18" s="161">
        <f>IF(TableauFinSprint[[#This Row],[Livré]]="N",0,TableauFinSprint[[#This Row],[SP]])</f>
        <v>2</v>
      </c>
      <c r="AC18" s="45">
        <f>IF(TableauFinSprint[[#This Row],[Livré]]="N",0,TableauFinSprint[[#This Row],[Heures de dev totales]]/HEURES)</f>
        <v>3</v>
      </c>
    </row>
    <row r="19" spans="2:29" ht="45" customHeight="1" x14ac:dyDescent="0.25">
      <c r="B19" t="s">
        <v>81</v>
      </c>
      <c r="C19" s="30" t="s">
        <v>105</v>
      </c>
      <c r="D19">
        <v>9318</v>
      </c>
      <c r="E19">
        <v>7936</v>
      </c>
      <c r="F19" s="11" t="s">
        <v>256</v>
      </c>
      <c r="G19" s="6" t="s">
        <v>90</v>
      </c>
      <c r="H19" s="7" t="s">
        <v>108</v>
      </c>
      <c r="I19" s="11" t="s">
        <v>109</v>
      </c>
      <c r="J19" s="32">
        <v>1</v>
      </c>
      <c r="M19" t="s">
        <v>81</v>
      </c>
      <c r="N19" s="30" t="s">
        <v>105</v>
      </c>
      <c r="O19">
        <v>9318</v>
      </c>
      <c r="P19">
        <v>7936</v>
      </c>
      <c r="Q19" s="11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R19" s="6" t="s">
        <v>90</v>
      </c>
      <c r="S19" s="7" t="s">
        <v>108</v>
      </c>
      <c r="T19" s="11" t="s">
        <v>109</v>
      </c>
      <c r="U19" s="32">
        <v>1</v>
      </c>
      <c r="V19" s="32">
        <v>7</v>
      </c>
      <c r="W19" s="50">
        <v>2</v>
      </c>
      <c r="X19" s="30">
        <v>9</v>
      </c>
      <c r="Y19" s="88">
        <v>9</v>
      </c>
      <c r="Z19" t="s">
        <v>235</v>
      </c>
      <c r="AA19" s="32" t="s">
        <v>129</v>
      </c>
      <c r="AB19">
        <f>IF(TableauFinSprint[[#This Row],[Livré]]="N",0,TableauFinSprint[[#This Row],[SP]])</f>
        <v>1</v>
      </c>
      <c r="AC19" s="45">
        <f>IF(TableauFinSprint[[#This Row],[Livré]]="N",0,TableauFinSprint[[#This Row],[Heures de dev totales]]/HEURES)</f>
        <v>1.5</v>
      </c>
    </row>
    <row r="20" spans="2:29" ht="45" customHeight="1" x14ac:dyDescent="0.25">
      <c r="B20" t="s">
        <v>81</v>
      </c>
      <c r="C20" s="30" t="s">
        <v>82</v>
      </c>
      <c r="D20">
        <v>10800</v>
      </c>
      <c r="E20">
        <v>9238</v>
      </c>
      <c r="F20" s="11" t="s">
        <v>251</v>
      </c>
      <c r="G20" s="6" t="s">
        <v>83</v>
      </c>
      <c r="H20" s="7" t="s">
        <v>112</v>
      </c>
      <c r="I20" s="11" t="s">
        <v>113</v>
      </c>
      <c r="J20" s="32">
        <v>2</v>
      </c>
      <c r="M20" t="s">
        <v>81</v>
      </c>
      <c r="N20" s="30" t="s">
        <v>82</v>
      </c>
      <c r="O20">
        <v>10800</v>
      </c>
      <c r="P20">
        <v>9238</v>
      </c>
      <c r="Q20" s="11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R20" s="6" t="s">
        <v>83</v>
      </c>
      <c r="S20" s="7" t="s">
        <v>112</v>
      </c>
      <c r="T20" s="11" t="s">
        <v>113</v>
      </c>
      <c r="U20" s="32">
        <v>2</v>
      </c>
      <c r="V20" s="32">
        <v>14</v>
      </c>
      <c r="W20" s="50">
        <v>4</v>
      </c>
      <c r="X20" s="30">
        <v>18</v>
      </c>
      <c r="Y20" s="88">
        <v>9</v>
      </c>
      <c r="Z20" t="s">
        <v>235</v>
      </c>
      <c r="AA20" s="32" t="s">
        <v>129</v>
      </c>
      <c r="AB20">
        <f>IF(TableauFinSprint[[#This Row],[Livré]]="N",0,TableauFinSprint[[#This Row],[SP]])</f>
        <v>2</v>
      </c>
      <c r="AC20" s="45">
        <f>IF(TableauFinSprint[[#This Row],[Livré]]="N",0,TableauFinSprint[[#This Row],[Heures de dev totales]]/HEURES)</f>
        <v>3</v>
      </c>
    </row>
    <row r="21" spans="2:29" ht="45" customHeight="1" x14ac:dyDescent="0.25">
      <c r="B21" t="s">
        <v>81</v>
      </c>
      <c r="C21" s="30" t="s">
        <v>82</v>
      </c>
      <c r="D21">
        <v>10738</v>
      </c>
      <c r="E21">
        <v>9238</v>
      </c>
      <c r="F21" s="11" t="s">
        <v>251</v>
      </c>
      <c r="G21" s="6" t="s">
        <v>83</v>
      </c>
      <c r="H21" s="7" t="s">
        <v>116</v>
      </c>
      <c r="I21" s="11" t="s">
        <v>117</v>
      </c>
      <c r="J21" s="32">
        <v>2</v>
      </c>
      <c r="M21" t="s">
        <v>81</v>
      </c>
      <c r="N21" s="30" t="s">
        <v>82</v>
      </c>
      <c r="O21">
        <v>10738</v>
      </c>
      <c r="P21">
        <v>9238</v>
      </c>
      <c r="Q21" s="11" t="str">
        <f>IF(TableauSuiviSprint_Init[[#This Row],[N° feature]]&lt;&gt;"",VLOOKUP(TableauSuiviSprint_Init[[#This Row],[N° feature]],SSG_Features[[#All],[ID]:[Tags]],3,FALSE),"")</f>
        <v>S20221107 Tableau des effectifs - Lot 1</v>
      </c>
      <c r="R21" s="6" t="s">
        <v>83</v>
      </c>
      <c r="S21" s="7" t="s">
        <v>116</v>
      </c>
      <c r="T21" s="11" t="s">
        <v>117</v>
      </c>
      <c r="U21" s="32">
        <v>2</v>
      </c>
      <c r="V21" s="32">
        <v>14</v>
      </c>
      <c r="W21" s="50">
        <v>4</v>
      </c>
      <c r="X21" s="30">
        <v>18</v>
      </c>
      <c r="Y21" s="88">
        <v>13</v>
      </c>
      <c r="Z21" t="s">
        <v>235</v>
      </c>
      <c r="AA21" s="32" t="s">
        <v>129</v>
      </c>
      <c r="AB21" s="161">
        <f>IF(TableauFinSprint[[#This Row],[Livré]]="N",0,TableauFinSprint[[#This Row],[SP]])</f>
        <v>2</v>
      </c>
      <c r="AC21" s="45">
        <f>IF(TableauFinSprint[[#This Row],[Livré]]="N",0,TableauFinSprint[[#This Row],[Heures de dev totales]]/HEURES)</f>
        <v>3</v>
      </c>
    </row>
    <row r="22" spans="2:29" ht="45" customHeight="1" x14ac:dyDescent="0.25">
      <c r="B22" t="s">
        <v>81</v>
      </c>
      <c r="C22" s="30" t="s">
        <v>105</v>
      </c>
      <c r="D22">
        <v>9605</v>
      </c>
      <c r="E22">
        <v>7936</v>
      </c>
      <c r="F22" s="11" t="s">
        <v>256</v>
      </c>
      <c r="G22" s="6" t="s">
        <v>90</v>
      </c>
      <c r="H22" s="7" t="s">
        <v>120</v>
      </c>
      <c r="I22" s="11" t="s">
        <v>121</v>
      </c>
      <c r="J22" s="32">
        <v>3</v>
      </c>
      <c r="M22" s="3" t="s">
        <v>81</v>
      </c>
      <c r="N22" s="220" t="s">
        <v>105</v>
      </c>
      <c r="O22" s="3">
        <v>9605</v>
      </c>
      <c r="P22" s="3">
        <v>7936</v>
      </c>
      <c r="Q22" s="221" t="str">
        <f>IF(TableauSuiviSprint_Init[[#This Row],[N° feature]]&lt;&gt;"",VLOOKUP(TableauSuiviSprint_Init[[#This Row],[N° feature]],SSG_Features[[#All],[ID]:[Tags]],3,FALSE),"")</f>
        <v>S20221107 Tableau des effectifs - Lot 1</v>
      </c>
      <c r="R22" s="222" t="s">
        <v>90</v>
      </c>
      <c r="S22" s="223" t="s">
        <v>120</v>
      </c>
      <c r="T22" s="221" t="s">
        <v>121</v>
      </c>
      <c r="U22" s="224">
        <v>3</v>
      </c>
      <c r="V22" s="224">
        <v>21</v>
      </c>
      <c r="W22" s="225">
        <v>6</v>
      </c>
      <c r="X22" s="220">
        <v>27</v>
      </c>
      <c r="Y22" s="88">
        <v>29</v>
      </c>
      <c r="Z22" t="s">
        <v>235</v>
      </c>
      <c r="AA22" s="32" t="s">
        <v>255</v>
      </c>
      <c r="AB22" s="161">
        <f>IF(TableauFinSprint[[#This Row],[Livré]]="N",0,TableauFinSprint[[#This Row],[SP]])</f>
        <v>0</v>
      </c>
      <c r="AC22" s="45">
        <f>IF(TableauFinSprint[[#This Row],[Livré]]="N",0,TableauFinSprint[[#This Row],[Heures de dev totales]]/HEURES)</f>
        <v>0</v>
      </c>
    </row>
    <row r="23" spans="2:29" ht="45" customHeight="1" x14ac:dyDescent="0.25">
      <c r="B23" s="162" t="s">
        <v>81</v>
      </c>
      <c r="C23" s="167" t="s">
        <v>105</v>
      </c>
      <c r="D23" s="162">
        <v>9319</v>
      </c>
      <c r="E23" s="162">
        <v>7936</v>
      </c>
      <c r="F23" s="163" t="s">
        <v>256</v>
      </c>
      <c r="G23" s="164" t="s">
        <v>90</v>
      </c>
      <c r="H23" s="165" t="s">
        <v>126</v>
      </c>
      <c r="I23" s="163" t="s">
        <v>134</v>
      </c>
      <c r="J23" s="166">
        <v>2</v>
      </c>
      <c r="M23" s="46" t="s">
        <v>81</v>
      </c>
      <c r="N23" s="200" t="s">
        <v>124</v>
      </c>
      <c r="O23" s="46">
        <v>12547</v>
      </c>
      <c r="P23" s="176">
        <v>12550</v>
      </c>
      <c r="Q23" s="232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R23" s="202" t="s">
        <v>125</v>
      </c>
      <c r="S23" s="203" t="s">
        <v>126</v>
      </c>
      <c r="T23" s="201" t="s">
        <v>127</v>
      </c>
      <c r="U23" s="212">
        <v>2</v>
      </c>
      <c r="V23" s="204">
        <v>12</v>
      </c>
      <c r="W23" s="204">
        <v>4</v>
      </c>
      <c r="X23" s="200">
        <v>16</v>
      </c>
      <c r="Y23" s="88">
        <v>19</v>
      </c>
      <c r="Z23" s="11" t="s">
        <v>257</v>
      </c>
      <c r="AA23" s="175" t="s">
        <v>129</v>
      </c>
      <c r="AB23" s="161">
        <f>IF(TableauFinSprint[[#This Row],[Livré]]="N",0,TableauFinSprint[[#This Row],[SP]])</f>
        <v>2</v>
      </c>
      <c r="AC23" s="45">
        <f>IF(TableauFinSprint[[#This Row],[Livré]]="N",0,TableauFinSprint[[#This Row],[Heures de dev totales]]/HEURES)</f>
        <v>2.6666666666666665</v>
      </c>
    </row>
    <row r="24" spans="2:29" ht="45" customHeight="1" x14ac:dyDescent="0.25">
      <c r="B24" t="s">
        <v>186</v>
      </c>
      <c r="C24" t="s">
        <v>185</v>
      </c>
      <c r="D24" t="s">
        <v>185</v>
      </c>
      <c r="E24" t="s">
        <v>185</v>
      </c>
      <c r="F24" t="s">
        <v>185</v>
      </c>
      <c r="G24" t="s">
        <v>185</v>
      </c>
      <c r="H24" t="s">
        <v>185</v>
      </c>
      <c r="I24" s="11" t="s">
        <v>185</v>
      </c>
      <c r="J24" s="32">
        <f>SUBTOTAL(109,Tableau6[SP])</f>
        <v>40</v>
      </c>
      <c r="M24" s="46" t="s">
        <v>81</v>
      </c>
      <c r="N24" s="200" t="s">
        <v>124</v>
      </c>
      <c r="O24" s="46">
        <v>12597</v>
      </c>
      <c r="P24" s="176">
        <v>12550</v>
      </c>
      <c r="Q24" s="232" t="str">
        <f>IF(TableauSuiviSprint_Init[[#This Row],[N° feature]]&lt;&gt;"",VLOOKUP(TableauSuiviSprint_Init[[#This Row],[N° feature]],SSG_Features[[#All],[ID]:[Tags]],3,FALSE),"")</f>
        <v>[I230720_058]  Erreur génération automatique du bulletin de situation de l’agent</v>
      </c>
      <c r="R24" s="202" t="s">
        <v>125</v>
      </c>
      <c r="S24" s="203" t="s">
        <v>130</v>
      </c>
      <c r="T24" s="201" t="s">
        <v>131</v>
      </c>
      <c r="U24" s="212">
        <v>2</v>
      </c>
      <c r="V24" s="204">
        <v>8</v>
      </c>
      <c r="W24" s="204">
        <v>4</v>
      </c>
      <c r="X24" s="200">
        <v>12</v>
      </c>
      <c r="Y24" s="88">
        <v>19</v>
      </c>
      <c r="Z24" s="11" t="s">
        <v>257</v>
      </c>
      <c r="AA24" s="32" t="s">
        <v>129</v>
      </c>
      <c r="AB24" s="161">
        <f>IF(TableauFinSprint[[#This Row],[Livré]]="N",0,TableauFinSprint[[#This Row],[SP]])</f>
        <v>2</v>
      </c>
      <c r="AC24" s="45">
        <f>IF(TableauFinSprint[[#This Row],[Livré]]="N",0,TableauFinSprint[[#This Row],[Heures de dev totales]]/HEURES)</f>
        <v>2</v>
      </c>
    </row>
    <row r="25" spans="2:29" ht="45" customHeight="1" x14ac:dyDescent="0.25">
      <c r="D25" s="319" t="s">
        <v>258</v>
      </c>
      <c r="E25" s="319"/>
      <c r="F25" s="319"/>
      <c r="G25" s="319"/>
      <c r="H25" s="319"/>
      <c r="I25" s="319"/>
      <c r="J25" s="319"/>
      <c r="M25" s="205" t="s">
        <v>81</v>
      </c>
      <c r="N25" s="206" t="s">
        <v>105</v>
      </c>
      <c r="O25" s="205">
        <v>9319</v>
      </c>
      <c r="P25" s="205">
        <v>7936</v>
      </c>
      <c r="Q25" s="207" t="str">
        <f>IF(TableauSuiviSprint_Init[[#This Row],[N° feature]]&lt;&gt;"",VLOOKUP(TableauSuiviSprint_Init[[#This Row],[N° feature]],SSG_Features[[#All],[ID]:[Tags]],3,FALSE),"")</f>
        <v>[I230720_058]  Erreur génération automatique du bulletin de situation de l’agent</v>
      </c>
      <c r="R25" s="208" t="s">
        <v>90</v>
      </c>
      <c r="S25" s="209" t="s">
        <v>60</v>
      </c>
      <c r="T25" s="207" t="s">
        <v>134</v>
      </c>
      <c r="U25" s="210">
        <v>2</v>
      </c>
      <c r="V25" s="206">
        <v>14</v>
      </c>
      <c r="W25" s="206">
        <v>4</v>
      </c>
      <c r="X25" s="206">
        <v>18</v>
      </c>
      <c r="Y25" s="88"/>
      <c r="Z25" s="11" t="s">
        <v>235</v>
      </c>
      <c r="AA25" s="32" t="s">
        <v>255</v>
      </c>
      <c r="AB25" s="161">
        <f>IF(TableauFinSprint[[#This Row],[Livré]]="N",0,TableauFinSprint[[#This Row],[SP]])</f>
        <v>0</v>
      </c>
      <c r="AC25" s="45">
        <f>IF(TableauFinSprint[[#This Row],[Livré]]="N",0,TableauFinSprint[[#This Row],[Heures de dev totales]]/HEURES)</f>
        <v>0</v>
      </c>
    </row>
    <row r="26" spans="2:29" ht="45" customHeight="1" x14ac:dyDescent="0.3">
      <c r="B26" s="13" t="s">
        <v>23</v>
      </c>
      <c r="C26" s="43" t="s">
        <v>234</v>
      </c>
      <c r="D26" s="8" t="s">
        <v>235</v>
      </c>
      <c r="E26" s="17" t="s">
        <v>236</v>
      </c>
      <c r="F26" s="17" t="s">
        <v>27</v>
      </c>
      <c r="G26" s="17" t="s">
        <v>28</v>
      </c>
      <c r="H26" s="17" t="s">
        <v>237</v>
      </c>
      <c r="I26" s="17" t="s">
        <v>30</v>
      </c>
      <c r="J26" s="17" t="s">
        <v>31</v>
      </c>
      <c r="M26" s="192" t="s">
        <v>81</v>
      </c>
      <c r="N26" s="192" t="s">
        <v>137</v>
      </c>
      <c r="O26" s="199">
        <v>12531</v>
      </c>
      <c r="P26" s="235">
        <v>12533</v>
      </c>
      <c r="Q26" s="234" t="str">
        <f>IF(TableauSuiviSprint_Init[[#This Row],[N° feature]]&lt;&gt;"",VLOOKUP(TableauSuiviSprint_Init[[#This Row],[N° feature]],SSG_Features[[#All],[ID]:[Tags]],3,FALSE),"")</f>
        <v>Ajout de champs pour un site physique-  Synchronisation de données à partir de AS-TECH</v>
      </c>
      <c r="R26" s="195"/>
      <c r="S26" s="196"/>
      <c r="T26" s="194" t="s">
        <v>138</v>
      </c>
      <c r="U26" s="197">
        <v>1</v>
      </c>
      <c r="V26" s="198">
        <v>6</v>
      </c>
      <c r="W26" s="198">
        <v>0</v>
      </c>
      <c r="X26" s="198">
        <v>6</v>
      </c>
      <c r="Y26" s="88">
        <v>3</v>
      </c>
      <c r="Z26" s="11" t="s">
        <v>257</v>
      </c>
      <c r="AA26" s="32" t="s">
        <v>129</v>
      </c>
      <c r="AB26">
        <f>IF(TableauFinSprint[[#This Row],[Livré]]="N",0,TableauFinSprint[[#This Row],[SP]])</f>
        <v>1</v>
      </c>
      <c r="AC26" s="45">
        <f>IF(TableauFinSprint[[#This Row],[Livré]]="N",0,TableauFinSprint[[#This Row],[Heures de dev totales]]/HEURES)</f>
        <v>1</v>
      </c>
    </row>
    <row r="27" spans="2:29" ht="45" customHeight="1" x14ac:dyDescent="0.25">
      <c r="B27" t="s">
        <v>47</v>
      </c>
      <c r="C27" t="s">
        <v>48</v>
      </c>
      <c r="D27">
        <v>12269</v>
      </c>
      <c r="E27">
        <v>8554</v>
      </c>
      <c r="F27" s="11" t="s">
        <v>246</v>
      </c>
      <c r="G27" s="6" t="s">
        <v>49</v>
      </c>
      <c r="H27" s="7">
        <v>1</v>
      </c>
      <c r="I27" s="90" t="s">
        <v>50</v>
      </c>
      <c r="J27" s="32">
        <v>2</v>
      </c>
      <c r="M27" s="46" t="s">
        <v>141</v>
      </c>
      <c r="N27" s="46" t="s">
        <v>142</v>
      </c>
      <c r="O27" s="46">
        <v>12603</v>
      </c>
      <c r="P27" s="237">
        <v>12604</v>
      </c>
      <c r="Q27" s="238" t="str">
        <f>IF(TableauSuiviSprint_Init[[#This Row],[N° feature]]&lt;&gt;"",VLOOKUP(TableauSuiviSprint_Init[[#This Row],[N° feature]],SSG_Features[[#All],[ID]:[Tags]],3,FALSE),"")</f>
        <v>[I230718_143] Problème de création du client Keycloak  lors du déploiement via la pipeline</v>
      </c>
      <c r="R27" s="202" t="s">
        <v>143</v>
      </c>
      <c r="S27" s="203"/>
      <c r="T27" s="201" t="s">
        <v>144</v>
      </c>
      <c r="U27" s="226">
        <v>1</v>
      </c>
      <c r="V27" s="226">
        <v>6</v>
      </c>
      <c r="W27" s="204"/>
      <c r="X27" s="200">
        <v>6</v>
      </c>
      <c r="Y27" s="88"/>
      <c r="Z27" s="11" t="s">
        <v>257</v>
      </c>
      <c r="AA27" s="32" t="s">
        <v>255</v>
      </c>
      <c r="AB27">
        <f>IF(TableauFinSprint[[#This Row],[Livré]]="N",0,TableauFinSprint[[#This Row],[SP]])</f>
        <v>0</v>
      </c>
      <c r="AC27" s="45">
        <f>IF(TableauFinSprint[[#This Row],[Livré]]="N",0,TableauFinSprint[[#This Row],[Heures de dev totales]]/HEURES)</f>
        <v>0</v>
      </c>
    </row>
    <row r="28" spans="2:29" ht="45" x14ac:dyDescent="0.25">
      <c r="B28" t="s">
        <v>47</v>
      </c>
      <c r="C28" t="s">
        <v>48</v>
      </c>
      <c r="D28">
        <v>12277</v>
      </c>
      <c r="E28">
        <v>8554</v>
      </c>
      <c r="F28" s="11" t="s">
        <v>246</v>
      </c>
      <c r="G28" s="6" t="s">
        <v>49</v>
      </c>
      <c r="H28" s="7">
        <v>2</v>
      </c>
      <c r="I28" s="11" t="s">
        <v>53</v>
      </c>
      <c r="J28" s="32">
        <v>3</v>
      </c>
      <c r="M28" t="s">
        <v>186</v>
      </c>
      <c r="N28" t="s">
        <v>185</v>
      </c>
      <c r="O28" t="s">
        <v>185</v>
      </c>
      <c r="P28" t="s">
        <v>185</v>
      </c>
      <c r="Q28" t="s">
        <v>185</v>
      </c>
      <c r="R28" t="s">
        <v>185</v>
      </c>
      <c r="S28" t="s">
        <v>185</v>
      </c>
      <c r="T28" s="11" t="s">
        <v>185</v>
      </c>
      <c r="U28" s="11">
        <f>SUBTOTAL(109,TableauFinSprint[SP])</f>
        <v>46</v>
      </c>
      <c r="V28" s="11" t="s">
        <v>185</v>
      </c>
      <c r="W28" s="11" t="s">
        <v>185</v>
      </c>
      <c r="X28" s="11" t="s">
        <v>185</v>
      </c>
      <c r="Y28" s="11" t="s">
        <v>185</v>
      </c>
      <c r="Z28" s="11" t="s">
        <v>185</v>
      </c>
      <c r="AA28" s="32" t="s">
        <v>185</v>
      </c>
      <c r="AB28">
        <f>SUBTOTAL(109,TableauFinSprint[SP Livré])</f>
        <v>38</v>
      </c>
      <c r="AC28" s="45">
        <f>SUBTOTAL(109,TableauFinSprint[Jour de dev])</f>
        <v>42.833333333333336</v>
      </c>
    </row>
    <row r="29" spans="2:29" ht="45" x14ac:dyDescent="0.25">
      <c r="B29" t="s">
        <v>47</v>
      </c>
      <c r="C29" t="s">
        <v>55</v>
      </c>
      <c r="D29">
        <v>10679</v>
      </c>
      <c r="E29">
        <v>9308</v>
      </c>
      <c r="F29" s="11" t="s">
        <v>247</v>
      </c>
      <c r="G29" s="6" t="s">
        <v>56</v>
      </c>
      <c r="H29" s="7">
        <v>3</v>
      </c>
      <c r="I29" s="11" t="s">
        <v>57</v>
      </c>
      <c r="J29" s="32">
        <v>2</v>
      </c>
      <c r="M29" s="21" t="s">
        <v>259</v>
      </c>
      <c r="N29" s="21"/>
      <c r="O29" s="92">
        <f>SUMIFS(TableauFinSprint[[#All],[Jour de dev]],TableauFinSprint[[#All],[Type]],"Bug")</f>
        <v>5.6666666666666661</v>
      </c>
    </row>
    <row r="30" spans="2:29" ht="45" x14ac:dyDescent="0.25">
      <c r="B30" t="s">
        <v>47</v>
      </c>
      <c r="C30" t="s">
        <v>55</v>
      </c>
      <c r="D30">
        <v>10706</v>
      </c>
      <c r="E30">
        <v>9308</v>
      </c>
      <c r="F30" s="11" t="s">
        <v>247</v>
      </c>
      <c r="G30" s="6" t="s">
        <v>56</v>
      </c>
      <c r="H30" s="7">
        <v>4</v>
      </c>
      <c r="I30" s="11" t="s">
        <v>61</v>
      </c>
      <c r="J30" s="32">
        <v>2</v>
      </c>
      <c r="M30" s="21" t="s">
        <v>260</v>
      </c>
      <c r="N30" s="21"/>
      <c r="O30" s="92">
        <f>SUMIFS(TableauFinSprint[[#All],[Jour de dev]],TableauFinSprint[[#All],[Type]],"&lt;&gt;Bug")</f>
        <v>80</v>
      </c>
    </row>
    <row r="31" spans="2:29" ht="45" x14ac:dyDescent="0.25">
      <c r="B31" t="s">
        <v>47</v>
      </c>
      <c r="C31" t="s">
        <v>55</v>
      </c>
      <c r="D31">
        <v>10703</v>
      </c>
      <c r="E31">
        <v>9308</v>
      </c>
      <c r="F31" s="11" t="s">
        <v>247</v>
      </c>
      <c r="G31" s="6" t="s">
        <v>56</v>
      </c>
      <c r="H31" s="7">
        <v>5</v>
      </c>
      <c r="I31" s="11" t="s">
        <v>64</v>
      </c>
      <c r="J31" s="32">
        <v>3</v>
      </c>
      <c r="M31" t="s">
        <v>261</v>
      </c>
      <c r="O31">
        <f>TableauFinSprint[[#Totals],[SP Livré]]/'PI2023.08-1 Suivi Sprint-Init'!E26</f>
        <v>0.82384823848238486</v>
      </c>
      <c r="P31" s="72"/>
      <c r="Q31" s="72"/>
      <c r="R31" s="11"/>
      <c r="S31" s="32"/>
      <c r="T31" s="32"/>
      <c r="U31" s="32"/>
      <c r="V31" s="71"/>
    </row>
    <row r="32" spans="2:29" ht="45" x14ac:dyDescent="0.25">
      <c r="B32" t="s">
        <v>47</v>
      </c>
      <c r="C32" t="s">
        <v>48</v>
      </c>
      <c r="D32">
        <v>12043</v>
      </c>
      <c r="E32">
        <v>11918</v>
      </c>
      <c r="F32" s="11" t="s">
        <v>248</v>
      </c>
      <c r="G32" s="6" t="s">
        <v>66</v>
      </c>
      <c r="H32" s="7">
        <v>6</v>
      </c>
      <c r="I32" s="11" t="s">
        <v>67</v>
      </c>
      <c r="J32" s="32">
        <v>5</v>
      </c>
      <c r="P32" s="72"/>
      <c r="Q32" s="72"/>
      <c r="R32" s="11"/>
      <c r="S32" s="32"/>
      <c r="T32" s="32"/>
      <c r="U32" s="32"/>
      <c r="V32" s="71"/>
    </row>
    <row r="33" spans="2:22" ht="30" x14ac:dyDescent="0.25">
      <c r="B33" t="s">
        <v>47</v>
      </c>
      <c r="C33" t="s">
        <v>48</v>
      </c>
      <c r="D33">
        <v>12041</v>
      </c>
      <c r="E33">
        <v>11918</v>
      </c>
      <c r="F33" s="11" t="s">
        <v>248</v>
      </c>
      <c r="G33" s="6" t="s">
        <v>66</v>
      </c>
      <c r="H33" s="7">
        <v>7</v>
      </c>
      <c r="I33" s="72" t="s">
        <v>68</v>
      </c>
      <c r="J33" s="32">
        <v>1</v>
      </c>
      <c r="P33" s="72"/>
      <c r="Q33" s="72"/>
      <c r="R33" s="11"/>
      <c r="S33" s="32"/>
      <c r="T33" s="32"/>
      <c r="U33" s="32"/>
      <c r="V33" s="71"/>
    </row>
    <row r="34" spans="2:22" ht="60" x14ac:dyDescent="0.25">
      <c r="B34" s="178" t="s">
        <v>47</v>
      </c>
      <c r="C34" s="178" t="s">
        <v>72</v>
      </c>
      <c r="D34" s="178">
        <v>12462</v>
      </c>
      <c r="E34" s="178">
        <v>12179</v>
      </c>
      <c r="F34" s="180" t="s">
        <v>262</v>
      </c>
      <c r="G34" s="181" t="s">
        <v>73</v>
      </c>
      <c r="H34" s="182">
        <v>8</v>
      </c>
      <c r="I34" s="180" t="s">
        <v>74</v>
      </c>
      <c r="J34" s="183">
        <v>1</v>
      </c>
      <c r="M34" s="44" t="s">
        <v>190</v>
      </c>
      <c r="P34" s="11"/>
      <c r="Q34" s="11"/>
      <c r="R34" s="11"/>
      <c r="S34" s="32"/>
      <c r="T34" s="32"/>
      <c r="U34" s="32"/>
      <c r="V34" s="71"/>
    </row>
    <row r="35" spans="2:22" ht="45" x14ac:dyDescent="0.25">
      <c r="B35" t="s">
        <v>47</v>
      </c>
      <c r="C35" t="s">
        <v>55</v>
      </c>
      <c r="D35">
        <v>10684</v>
      </c>
      <c r="E35">
        <v>9308</v>
      </c>
      <c r="F35" s="11" t="s">
        <v>247</v>
      </c>
      <c r="G35" s="6" t="s">
        <v>56</v>
      </c>
      <c r="H35" s="7">
        <v>9</v>
      </c>
      <c r="I35" s="11" t="s">
        <v>77</v>
      </c>
      <c r="J35" s="32">
        <v>2</v>
      </c>
      <c r="M35" s="133"/>
      <c r="N35" t="s">
        <v>192</v>
      </c>
      <c r="O35" s="11"/>
      <c r="P35" s="11"/>
      <c r="Q35" s="11"/>
      <c r="R35" s="11"/>
      <c r="S35" s="32"/>
      <c r="T35" s="11"/>
      <c r="U35" s="32"/>
      <c r="V35" s="71"/>
    </row>
    <row r="36" spans="2:22" ht="45" x14ac:dyDescent="0.25">
      <c r="B36" s="168" t="s">
        <v>47</v>
      </c>
      <c r="C36" s="168" t="s">
        <v>55</v>
      </c>
      <c r="D36" s="168">
        <v>10704</v>
      </c>
      <c r="E36" s="168">
        <v>9308</v>
      </c>
      <c r="F36" s="170" t="s">
        <v>247</v>
      </c>
      <c r="G36" s="171" t="s">
        <v>56</v>
      </c>
      <c r="H36" s="172">
        <v>10</v>
      </c>
      <c r="I36" s="170" t="s">
        <v>249</v>
      </c>
      <c r="J36" s="173">
        <v>2</v>
      </c>
      <c r="M36" s="134"/>
      <c r="N36" t="s">
        <v>196</v>
      </c>
      <c r="P36" s="11"/>
      <c r="Q36" s="11"/>
      <c r="R36" s="11"/>
      <c r="S36" s="32"/>
      <c r="T36" s="32"/>
      <c r="U36" s="32"/>
      <c r="V36" s="71"/>
    </row>
    <row r="37" spans="2:22" ht="45" x14ac:dyDescent="0.25">
      <c r="B37" t="s">
        <v>81</v>
      </c>
      <c r="C37" s="30" t="s">
        <v>82</v>
      </c>
      <c r="D37">
        <v>10799</v>
      </c>
      <c r="E37">
        <v>9238</v>
      </c>
      <c r="F37" s="11" t="s">
        <v>251</v>
      </c>
      <c r="G37" s="6" t="s">
        <v>83</v>
      </c>
      <c r="H37" s="7" t="s">
        <v>84</v>
      </c>
      <c r="I37" s="11" t="s">
        <v>85</v>
      </c>
      <c r="J37" s="32">
        <v>2</v>
      </c>
      <c r="M37" s="95"/>
      <c r="N37" t="s">
        <v>200</v>
      </c>
      <c r="P37" s="11"/>
      <c r="Q37" s="11"/>
      <c r="R37" s="11"/>
      <c r="S37" s="32"/>
      <c r="U37" s="32"/>
      <c r="V37" s="71"/>
    </row>
    <row r="38" spans="2:22" ht="30" x14ac:dyDescent="0.25">
      <c r="B38" t="s">
        <v>81</v>
      </c>
      <c r="C38" s="30" t="s">
        <v>89</v>
      </c>
      <c r="D38">
        <v>12346</v>
      </c>
      <c r="E38">
        <v>9576</v>
      </c>
      <c r="F38" s="11" t="s">
        <v>252</v>
      </c>
      <c r="G38" s="6" t="s">
        <v>90</v>
      </c>
      <c r="H38" s="7" t="s">
        <v>84</v>
      </c>
      <c r="I38" s="11" t="s">
        <v>91</v>
      </c>
      <c r="J38" s="127">
        <v>0</v>
      </c>
      <c r="N38" t="s">
        <v>204</v>
      </c>
      <c r="R38" s="7"/>
      <c r="S38" s="32"/>
      <c r="U38" s="32"/>
      <c r="V38" s="71"/>
    </row>
    <row r="39" spans="2:22" ht="45" x14ac:dyDescent="0.25">
      <c r="B39" s="151" t="s">
        <v>81</v>
      </c>
      <c r="C39" s="2" t="s">
        <v>94</v>
      </c>
      <c r="D39" s="2">
        <v>11950</v>
      </c>
      <c r="E39" s="2">
        <v>5159</v>
      </c>
      <c r="F39" s="152" t="s">
        <v>254</v>
      </c>
      <c r="G39" s="153" t="s">
        <v>95</v>
      </c>
      <c r="H39" s="154" t="s">
        <v>96</v>
      </c>
      <c r="I39" s="152" t="s">
        <v>97</v>
      </c>
      <c r="J39" s="155">
        <v>2</v>
      </c>
      <c r="R39" s="11"/>
      <c r="S39" s="32"/>
      <c r="U39" s="32"/>
      <c r="V39" s="71"/>
    </row>
    <row r="40" spans="2:22" ht="45" x14ac:dyDescent="0.25">
      <c r="B40" t="s">
        <v>81</v>
      </c>
      <c r="C40" s="30" t="s">
        <v>82</v>
      </c>
      <c r="D40">
        <v>12281</v>
      </c>
      <c r="E40">
        <v>9238</v>
      </c>
      <c r="F40" s="11" t="s">
        <v>251</v>
      </c>
      <c r="G40" s="6" t="s">
        <v>83</v>
      </c>
      <c r="H40" s="7" t="s">
        <v>101</v>
      </c>
      <c r="I40" s="11" t="s">
        <v>102</v>
      </c>
      <c r="J40" s="32">
        <v>1</v>
      </c>
      <c r="M40" s="96"/>
      <c r="N40" t="s">
        <v>209</v>
      </c>
      <c r="P40" s="11"/>
      <c r="Q40" s="11"/>
      <c r="R40" s="11"/>
      <c r="S40" s="11"/>
      <c r="T40" s="32"/>
      <c r="U40" s="32"/>
    </row>
    <row r="41" spans="2:22" ht="45" x14ac:dyDescent="0.25">
      <c r="B41" t="s">
        <v>81</v>
      </c>
      <c r="C41" s="30" t="s">
        <v>105</v>
      </c>
      <c r="D41">
        <v>9317</v>
      </c>
      <c r="E41">
        <v>7936</v>
      </c>
      <c r="F41" s="11" t="s">
        <v>256</v>
      </c>
      <c r="G41" s="6" t="s">
        <v>90</v>
      </c>
      <c r="H41" s="7" t="s">
        <v>52</v>
      </c>
      <c r="I41" s="11" t="s">
        <v>106</v>
      </c>
      <c r="J41" s="32">
        <v>2</v>
      </c>
      <c r="M41" s="97"/>
      <c r="N41" t="s">
        <v>211</v>
      </c>
    </row>
    <row r="42" spans="2:22" ht="45" x14ac:dyDescent="0.25">
      <c r="B42" t="s">
        <v>81</v>
      </c>
      <c r="C42" s="30" t="s">
        <v>105</v>
      </c>
      <c r="D42">
        <v>9318</v>
      </c>
      <c r="E42">
        <v>7936</v>
      </c>
      <c r="F42" s="11" t="s">
        <v>256</v>
      </c>
      <c r="G42" s="6" t="s">
        <v>90</v>
      </c>
      <c r="H42" s="7" t="s">
        <v>108</v>
      </c>
      <c r="I42" s="11" t="s">
        <v>109</v>
      </c>
      <c r="J42" s="32">
        <v>1</v>
      </c>
    </row>
    <row r="43" spans="2:22" ht="30" x14ac:dyDescent="0.25">
      <c r="B43" t="s">
        <v>81</v>
      </c>
      <c r="C43" s="30" t="s">
        <v>82</v>
      </c>
      <c r="D43">
        <v>10800</v>
      </c>
      <c r="E43">
        <v>9238</v>
      </c>
      <c r="F43" s="11" t="s">
        <v>251</v>
      </c>
      <c r="G43" s="6" t="s">
        <v>83</v>
      </c>
      <c r="H43" s="7" t="s">
        <v>112</v>
      </c>
      <c r="I43" s="11" t="s">
        <v>113</v>
      </c>
      <c r="J43" s="32">
        <v>2</v>
      </c>
      <c r="M43" s="135"/>
      <c r="N43" t="s">
        <v>216</v>
      </c>
    </row>
    <row r="44" spans="2:22" ht="30" x14ac:dyDescent="0.25">
      <c r="B44" t="s">
        <v>81</v>
      </c>
      <c r="C44" s="30" t="s">
        <v>82</v>
      </c>
      <c r="D44">
        <v>10738</v>
      </c>
      <c r="E44">
        <v>9238</v>
      </c>
      <c r="F44" s="11" t="s">
        <v>251</v>
      </c>
      <c r="G44" s="6" t="s">
        <v>83</v>
      </c>
      <c r="H44" s="7" t="s">
        <v>116</v>
      </c>
      <c r="I44" s="11" t="s">
        <v>117</v>
      </c>
      <c r="J44" s="32">
        <v>2</v>
      </c>
      <c r="M44" s="98"/>
      <c r="N44" t="s">
        <v>219</v>
      </c>
    </row>
    <row r="45" spans="2:22" ht="45" x14ac:dyDescent="0.25">
      <c r="B45" t="s">
        <v>81</v>
      </c>
      <c r="C45" s="30" t="s">
        <v>105</v>
      </c>
      <c r="D45">
        <v>9605</v>
      </c>
      <c r="E45">
        <v>7936</v>
      </c>
      <c r="F45" s="11" t="s">
        <v>256</v>
      </c>
      <c r="G45" s="6" t="s">
        <v>90</v>
      </c>
      <c r="H45" s="7" t="s">
        <v>120</v>
      </c>
      <c r="I45" s="11" t="s">
        <v>121</v>
      </c>
      <c r="J45" s="32">
        <v>3</v>
      </c>
    </row>
    <row r="46" spans="2:22" ht="45" x14ac:dyDescent="0.25">
      <c r="B46" s="162" t="s">
        <v>81</v>
      </c>
      <c r="C46" s="167" t="s">
        <v>105</v>
      </c>
      <c r="D46" s="162">
        <v>9319</v>
      </c>
      <c r="E46" s="162">
        <v>7936</v>
      </c>
      <c r="F46" s="163" t="s">
        <v>256</v>
      </c>
      <c r="G46" s="164" t="s">
        <v>90</v>
      </c>
      <c r="H46" s="165" t="s">
        <v>126</v>
      </c>
      <c r="I46" s="163" t="s">
        <v>134</v>
      </c>
      <c r="J46" s="166">
        <v>2</v>
      </c>
      <c r="M46" s="99"/>
      <c r="N46" t="s">
        <v>223</v>
      </c>
    </row>
    <row r="47" spans="2:22" x14ac:dyDescent="0.25">
      <c r="B47" t="s">
        <v>186</v>
      </c>
      <c r="C47" t="s">
        <v>185</v>
      </c>
      <c r="D47" t="s">
        <v>185</v>
      </c>
      <c r="E47" t="s">
        <v>185</v>
      </c>
      <c r="F47" t="s">
        <v>185</v>
      </c>
      <c r="G47" t="s">
        <v>185</v>
      </c>
      <c r="H47" t="s">
        <v>185</v>
      </c>
      <c r="I47" s="11" t="s">
        <v>185</v>
      </c>
      <c r="J47" s="32">
        <f>SUBTOTAL(109,Tableau65[SP])</f>
        <v>40</v>
      </c>
      <c r="M47" s="159"/>
      <c r="N47" t="s">
        <v>225</v>
      </c>
    </row>
    <row r="49" spans="13:14" x14ac:dyDescent="0.25">
      <c r="M49" s="100"/>
      <c r="N49" t="s">
        <v>228</v>
      </c>
    </row>
    <row r="51" spans="13:14" x14ac:dyDescent="0.25">
      <c r="M51" s="176"/>
      <c r="N51" t="s">
        <v>263</v>
      </c>
    </row>
    <row r="52" spans="13:14" x14ac:dyDescent="0.25">
      <c r="M52" s="237"/>
      <c r="N52" t="s">
        <v>264</v>
      </c>
    </row>
  </sheetData>
  <protectedRanges>
    <protectedRange sqref="B4:J22" name="Modif" securityDescriptor="O:WDG:WDD:(A;;CC;;;WD)"/>
    <protectedRange sqref="B46:J46 B27:J44" name="Modif_3" securityDescriptor="O:WDG:WDD:(A;;CC;;;WD)"/>
    <protectedRange sqref="M4:Y13" name="Modif_2" securityDescriptor="O:WDG:WDD:(A;;CC;;;WD)"/>
    <protectedRange sqref="Y14:Y25" name="Modif_6" securityDescriptor="O:WDG:WDD:(A;;CC;;;WD)"/>
    <protectedRange sqref="M14:X21 U23:X27 M23:T26 Q27" name="Modif_1" securityDescriptor="O:WDG:WDD:(A;;CC;;;WD)"/>
  </protectedRanges>
  <mergeCells count="3">
    <mergeCell ref="D2:J2"/>
    <mergeCell ref="M2:S2"/>
    <mergeCell ref="D25:J25"/>
  </mergeCells>
  <phoneticPr fontId="13" type="noConversion"/>
  <conditionalFormatting sqref="Y4:Y27">
    <cfRule type="expression" dxfId="189" priority="1">
      <formula>(Y4 &gt; X4)</formula>
    </cfRule>
  </conditionalFormatting>
  <dataValidations count="4">
    <dataValidation type="list" allowBlank="1" showInputMessage="1" showErrorMessage="1" sqref="S31:S39 U31:U39 AA4:AA27" xr:uid="{00000000-0002-0000-0100-000000000000}">
      <formula1>Liste_valeur</formula1>
    </dataValidation>
    <dataValidation type="list" allowBlank="1" showInputMessage="1" showErrorMessage="1" sqref="M4:M27 C12 C36" xr:uid="{00000000-0002-0000-0100-000001000000}">
      <formula1>Liste_Techno</formula1>
    </dataValidation>
    <dataValidation type="list" allowBlank="1" showInputMessage="1" showErrorMessage="1" sqref="B12:B14 B36:B38" xr:uid="{00000000-0002-0000-0100-000002000000}">
      <formula1>Liste_Projet</formula1>
    </dataValidation>
    <dataValidation type="list" allowBlank="1" showInputMessage="1" showErrorMessage="1" sqref="Z4:Z27" xr:uid="{9609F791-4631-44B4-8DCC-8B610AFC1528}">
      <formula1>Type_Ticket</formula1>
    </dataValidation>
  </dataValidations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B2:C4"/>
  <sheetViews>
    <sheetView workbookViewId="0"/>
  </sheetViews>
  <sheetFormatPr baseColWidth="10" defaultColWidth="11.42578125" defaultRowHeight="15" x14ac:dyDescent="0.25"/>
  <cols>
    <col min="2" max="2" width="30.28515625" bestFit="1" customWidth="1"/>
  </cols>
  <sheetData>
    <row r="2" spans="2:3" x14ac:dyDescent="0.25">
      <c r="B2" t="s">
        <v>265</v>
      </c>
      <c r="C2" t="s">
        <v>31</v>
      </c>
    </row>
    <row r="3" spans="2:3" x14ac:dyDescent="0.25">
      <c r="B3" s="14" t="s">
        <v>266</v>
      </c>
      <c r="C3">
        <v>3</v>
      </c>
    </row>
    <row r="4" spans="2:3" x14ac:dyDescent="0.25">
      <c r="B4" t="s">
        <v>267</v>
      </c>
      <c r="C4">
        <v>3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A34"/>
  <sheetViews>
    <sheetView workbookViewId="0">
      <selection activeCell="A32" sqref="A32"/>
    </sheetView>
  </sheetViews>
  <sheetFormatPr baseColWidth="10" defaultColWidth="11.42578125" defaultRowHeight="15" x14ac:dyDescent="0.25"/>
  <cols>
    <col min="1" max="1" width="21" bestFit="1" customWidth="1"/>
  </cols>
  <sheetData>
    <row r="1" spans="1:1" x14ac:dyDescent="0.25">
      <c r="A1" s="70" t="s">
        <v>268</v>
      </c>
    </row>
    <row r="2" spans="1:1" x14ac:dyDescent="0.25">
      <c r="A2" s="5" t="s">
        <v>129</v>
      </c>
    </row>
    <row r="3" spans="1:1" x14ac:dyDescent="0.25">
      <c r="A3" s="5" t="s">
        <v>255</v>
      </c>
    </row>
    <row r="5" spans="1:1" x14ac:dyDescent="0.25">
      <c r="A5" s="70" t="s">
        <v>269</v>
      </c>
    </row>
    <row r="6" spans="1:1" x14ac:dyDescent="0.25">
      <c r="A6" s="5" t="s">
        <v>270</v>
      </c>
    </row>
    <row r="7" spans="1:1" x14ac:dyDescent="0.25">
      <c r="A7" s="5" t="s">
        <v>43</v>
      </c>
    </row>
    <row r="9" spans="1:1" x14ac:dyDescent="0.25">
      <c r="A9" s="70" t="s">
        <v>23</v>
      </c>
    </row>
    <row r="10" spans="1:1" x14ac:dyDescent="0.25">
      <c r="A10" s="5" t="s">
        <v>271</v>
      </c>
    </row>
    <row r="11" spans="1:1" x14ac:dyDescent="0.25">
      <c r="A11" s="5" t="s">
        <v>40</v>
      </c>
    </row>
    <row r="12" spans="1:1" x14ac:dyDescent="0.25">
      <c r="A12" s="5" t="s">
        <v>44</v>
      </c>
    </row>
    <row r="14" spans="1:1" x14ac:dyDescent="0.25">
      <c r="A14" s="70" t="s">
        <v>242</v>
      </c>
    </row>
    <row r="15" spans="1:1" x14ac:dyDescent="0.25">
      <c r="A15" s="5" t="s">
        <v>257</v>
      </c>
    </row>
    <row r="16" spans="1:1" x14ac:dyDescent="0.25">
      <c r="A16" s="5" t="s">
        <v>235</v>
      </c>
    </row>
    <row r="18" spans="1:1" x14ac:dyDescent="0.25">
      <c r="A18" s="70" t="s">
        <v>272</v>
      </c>
    </row>
    <row r="19" spans="1:1" x14ac:dyDescent="0.25">
      <c r="A19" s="5">
        <v>6</v>
      </c>
    </row>
    <row r="21" spans="1:1" x14ac:dyDescent="0.25">
      <c r="A21" s="70" t="s">
        <v>273</v>
      </c>
    </row>
    <row r="22" spans="1:1" x14ac:dyDescent="0.25">
      <c r="A22" s="5" t="str">
        <f t="array" aca="1" ref="A22" ca="1">MID(CELL("nomfichier"),FIND("[",CELL("nomfichier"))+1,FIND("]",CELL("nomfichier"))-(FIND("[",CELL("nomfichier"))+1))</f>
        <v>CD13_PI08_S29-30.xlsx</v>
      </c>
    </row>
    <row r="23" spans="1:1" x14ac:dyDescent="0.25">
      <c r="A23" s="5" t="str">
        <f ca="1">MID(A22,FIND("S",A22),FIND(".",A22)-(FIND("S",A22)))</f>
        <v>S29-30</v>
      </c>
    </row>
    <row r="25" spans="1:1" x14ac:dyDescent="0.25">
      <c r="A25" s="70" t="s">
        <v>274</v>
      </c>
    </row>
    <row r="26" spans="1:1" x14ac:dyDescent="0.25">
      <c r="A26" s="5">
        <v>2023</v>
      </c>
    </row>
    <row r="28" spans="1:1" x14ac:dyDescent="0.25">
      <c r="A28" s="70" t="s">
        <v>275</v>
      </c>
    </row>
    <row r="29" spans="1:1" x14ac:dyDescent="0.25">
      <c r="A29" s="5" t="str">
        <f ca="1">MID(A22,FIND("S",A22)+1,2)</f>
        <v>29</v>
      </c>
    </row>
    <row r="31" spans="1:1" x14ac:dyDescent="0.25">
      <c r="A31" s="70" t="s">
        <v>276</v>
      </c>
    </row>
    <row r="32" spans="1:1" x14ac:dyDescent="0.25">
      <c r="A32" s="114">
        <f ca="1">7*A29+DATE(A26,1,3)-WEEKDAY(DATE(A26,1,3))-5</f>
        <v>45124</v>
      </c>
    </row>
    <row r="34" spans="1:1" x14ac:dyDescent="0.25">
      <c r="A34" t="s">
        <v>277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B5:H7"/>
  <sheetViews>
    <sheetView workbookViewId="0"/>
  </sheetViews>
  <sheetFormatPr baseColWidth="10" defaultColWidth="11.42578125" defaultRowHeight="15" x14ac:dyDescent="0.25"/>
  <cols>
    <col min="1" max="1" width="3.5703125" customWidth="1"/>
    <col min="2" max="2" width="13.7109375" customWidth="1"/>
    <col min="3" max="3" width="4.7109375" bestFit="1" customWidth="1"/>
    <col min="4" max="4" width="14.5703125" customWidth="1"/>
    <col min="5" max="5" width="58.5703125" bestFit="1" customWidth="1"/>
    <col min="7" max="7" width="15.28515625" customWidth="1"/>
    <col min="8" max="8" width="14.28515625" customWidth="1"/>
  </cols>
  <sheetData>
    <row r="5" spans="2:8" x14ac:dyDescent="0.25">
      <c r="B5" t="s">
        <v>278</v>
      </c>
      <c r="C5" t="s">
        <v>279</v>
      </c>
      <c r="D5" t="s">
        <v>280</v>
      </c>
      <c r="E5" t="s">
        <v>265</v>
      </c>
      <c r="F5" t="s">
        <v>281</v>
      </c>
      <c r="G5" t="s">
        <v>282</v>
      </c>
      <c r="H5" t="s">
        <v>283</v>
      </c>
    </row>
    <row r="6" spans="2:8" x14ac:dyDescent="0.25">
      <c r="B6" t="s">
        <v>105</v>
      </c>
      <c r="C6">
        <v>1041</v>
      </c>
      <c r="D6" t="s">
        <v>284</v>
      </c>
      <c r="E6" t="s">
        <v>285</v>
      </c>
      <c r="F6" s="1" t="s">
        <v>243</v>
      </c>
      <c r="G6" s="16">
        <v>43920</v>
      </c>
    </row>
    <row r="7" spans="2:8" x14ac:dyDescent="0.25">
      <c r="B7" t="s">
        <v>105</v>
      </c>
      <c r="C7">
        <v>1042</v>
      </c>
      <c r="D7" t="s">
        <v>284</v>
      </c>
      <c r="E7" t="s">
        <v>286</v>
      </c>
      <c r="F7" s="1" t="s">
        <v>243</v>
      </c>
      <c r="G7" s="16">
        <v>43920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375-6BEC-4793-87CF-75D35BBF4131}">
  <dimension ref="A1:H458"/>
  <sheetViews>
    <sheetView workbookViewId="0">
      <selection sqref="A1:H329"/>
    </sheetView>
  </sheetViews>
  <sheetFormatPr baseColWidth="10" defaultColWidth="11.42578125" defaultRowHeight="15" x14ac:dyDescent="0.25"/>
  <cols>
    <col min="1" max="1" width="14.5703125" bestFit="1" customWidth="1"/>
    <col min="2" max="2" width="6" bestFit="1" customWidth="1"/>
    <col min="3" max="3" width="17.42578125" bestFit="1" customWidth="1"/>
    <col min="4" max="4" width="81.140625" bestFit="1" customWidth="1"/>
    <col min="5" max="5" width="8.7109375" bestFit="1" customWidth="1"/>
    <col min="6" max="6" width="64" bestFit="1" customWidth="1"/>
    <col min="7" max="7" width="9.42578125" bestFit="1" customWidth="1"/>
    <col min="8" max="8" width="81.140625" bestFit="1" customWidth="1"/>
  </cols>
  <sheetData>
    <row r="1" spans="1:8" x14ac:dyDescent="0.25">
      <c r="A1" t="s">
        <v>287</v>
      </c>
      <c r="B1" t="s">
        <v>279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 spans="1:8" x14ac:dyDescent="0.25">
      <c r="A2" t="s">
        <v>294</v>
      </c>
      <c r="B2">
        <v>146</v>
      </c>
      <c r="C2" t="s">
        <v>236</v>
      </c>
      <c r="D2" t="s">
        <v>295</v>
      </c>
      <c r="E2" t="s">
        <v>185</v>
      </c>
      <c r="F2" t="s">
        <v>296</v>
      </c>
      <c r="G2" t="s">
        <v>297</v>
      </c>
      <c r="H2" t="s">
        <v>185</v>
      </c>
    </row>
    <row r="3" spans="1:8" x14ac:dyDescent="0.25">
      <c r="A3" t="s">
        <v>294</v>
      </c>
      <c r="B3">
        <v>159</v>
      </c>
      <c r="C3" t="s">
        <v>236</v>
      </c>
      <c r="D3" t="s">
        <v>298</v>
      </c>
      <c r="E3" t="s">
        <v>185</v>
      </c>
      <c r="F3" t="s">
        <v>296</v>
      </c>
      <c r="G3" t="s">
        <v>297</v>
      </c>
      <c r="H3" t="s">
        <v>185</v>
      </c>
    </row>
    <row r="4" spans="1:8" x14ac:dyDescent="0.25">
      <c r="A4" t="s">
        <v>294</v>
      </c>
      <c r="B4">
        <v>160</v>
      </c>
      <c r="C4" t="s">
        <v>236</v>
      </c>
      <c r="D4" t="s">
        <v>299</v>
      </c>
      <c r="E4" t="s">
        <v>185</v>
      </c>
      <c r="F4" t="s">
        <v>296</v>
      </c>
      <c r="G4" t="s">
        <v>297</v>
      </c>
      <c r="H4" t="s">
        <v>185</v>
      </c>
    </row>
    <row r="5" spans="1:8" x14ac:dyDescent="0.25">
      <c r="A5" t="s">
        <v>294</v>
      </c>
      <c r="B5">
        <v>161</v>
      </c>
      <c r="C5" t="s">
        <v>236</v>
      </c>
      <c r="D5" t="s">
        <v>300</v>
      </c>
      <c r="E5" t="s">
        <v>185</v>
      </c>
      <c r="F5" t="s">
        <v>185</v>
      </c>
      <c r="G5" t="s">
        <v>297</v>
      </c>
      <c r="H5" t="s">
        <v>185</v>
      </c>
    </row>
    <row r="6" spans="1:8" x14ac:dyDescent="0.25">
      <c r="A6" t="s">
        <v>294</v>
      </c>
      <c r="B6">
        <v>162</v>
      </c>
      <c r="C6" t="s">
        <v>236</v>
      </c>
      <c r="D6" t="s">
        <v>301</v>
      </c>
      <c r="E6" t="s">
        <v>185</v>
      </c>
      <c r="F6" t="s">
        <v>185</v>
      </c>
      <c r="G6" t="s">
        <v>297</v>
      </c>
      <c r="H6" t="s">
        <v>185</v>
      </c>
    </row>
    <row r="7" spans="1:8" x14ac:dyDescent="0.25">
      <c r="A7" t="s">
        <v>294</v>
      </c>
      <c r="B7">
        <v>163</v>
      </c>
      <c r="C7" t="s">
        <v>236</v>
      </c>
      <c r="D7" t="s">
        <v>302</v>
      </c>
      <c r="E7" t="s">
        <v>185</v>
      </c>
      <c r="F7" t="s">
        <v>296</v>
      </c>
      <c r="G7" t="s">
        <v>303</v>
      </c>
      <c r="H7" t="s">
        <v>304</v>
      </c>
    </row>
    <row r="8" spans="1:8" x14ac:dyDescent="0.25">
      <c r="A8" t="s">
        <v>294</v>
      </c>
      <c r="B8">
        <v>164</v>
      </c>
      <c r="C8" t="s">
        <v>236</v>
      </c>
      <c r="D8" t="s">
        <v>305</v>
      </c>
      <c r="E8" t="s">
        <v>185</v>
      </c>
      <c r="F8" t="s">
        <v>296</v>
      </c>
      <c r="G8" t="s">
        <v>303</v>
      </c>
      <c r="H8" t="s">
        <v>306</v>
      </c>
    </row>
    <row r="9" spans="1:8" x14ac:dyDescent="0.25">
      <c r="A9" t="s">
        <v>294</v>
      </c>
      <c r="B9">
        <v>165</v>
      </c>
      <c r="C9" t="s">
        <v>236</v>
      </c>
      <c r="D9" t="s">
        <v>307</v>
      </c>
      <c r="E9" t="s">
        <v>185</v>
      </c>
      <c r="F9" t="s">
        <v>296</v>
      </c>
      <c r="G9" t="s">
        <v>303</v>
      </c>
      <c r="H9" t="s">
        <v>308</v>
      </c>
    </row>
    <row r="10" spans="1:8" x14ac:dyDescent="0.25">
      <c r="A10" t="s">
        <v>294</v>
      </c>
      <c r="B10">
        <v>167</v>
      </c>
      <c r="C10" t="s">
        <v>236</v>
      </c>
      <c r="D10" t="s">
        <v>309</v>
      </c>
      <c r="E10" t="s">
        <v>185</v>
      </c>
      <c r="F10" t="s">
        <v>185</v>
      </c>
      <c r="G10" t="s">
        <v>297</v>
      </c>
      <c r="H10" t="s">
        <v>310</v>
      </c>
    </row>
    <row r="11" spans="1:8" x14ac:dyDescent="0.25">
      <c r="A11" t="s">
        <v>294</v>
      </c>
      <c r="B11">
        <v>174</v>
      </c>
      <c r="C11" t="s">
        <v>236</v>
      </c>
      <c r="D11" t="s">
        <v>311</v>
      </c>
      <c r="E11" t="s">
        <v>185</v>
      </c>
      <c r="F11" t="s">
        <v>185</v>
      </c>
      <c r="G11" t="s">
        <v>297</v>
      </c>
      <c r="H11" t="s">
        <v>312</v>
      </c>
    </row>
    <row r="12" spans="1:8" x14ac:dyDescent="0.25">
      <c r="A12" t="s">
        <v>294</v>
      </c>
      <c r="B12">
        <v>179</v>
      </c>
      <c r="C12" t="s">
        <v>236</v>
      </c>
      <c r="D12" t="s">
        <v>313</v>
      </c>
      <c r="E12" t="s">
        <v>185</v>
      </c>
      <c r="F12" t="s">
        <v>185</v>
      </c>
      <c r="G12" t="s">
        <v>297</v>
      </c>
      <c r="H12" t="s">
        <v>185</v>
      </c>
    </row>
    <row r="13" spans="1:8" x14ac:dyDescent="0.25">
      <c r="A13" t="s">
        <v>294</v>
      </c>
      <c r="B13">
        <v>201</v>
      </c>
      <c r="C13" t="s">
        <v>236</v>
      </c>
      <c r="D13" t="s">
        <v>314</v>
      </c>
      <c r="E13" t="s">
        <v>185</v>
      </c>
      <c r="F13" t="s">
        <v>315</v>
      </c>
      <c r="G13" t="s">
        <v>303</v>
      </c>
      <c r="H13" t="s">
        <v>185</v>
      </c>
    </row>
    <row r="14" spans="1:8" x14ac:dyDescent="0.25">
      <c r="A14" t="s">
        <v>294</v>
      </c>
      <c r="B14">
        <v>202</v>
      </c>
      <c r="C14" t="s">
        <v>236</v>
      </c>
      <c r="D14" t="s">
        <v>316</v>
      </c>
      <c r="E14" t="s">
        <v>185</v>
      </c>
      <c r="F14" t="s">
        <v>315</v>
      </c>
      <c r="G14" t="s">
        <v>303</v>
      </c>
      <c r="H14" t="s">
        <v>185</v>
      </c>
    </row>
    <row r="15" spans="1:8" x14ac:dyDescent="0.25">
      <c r="A15" t="s">
        <v>294</v>
      </c>
      <c r="B15">
        <v>204</v>
      </c>
      <c r="C15" t="s">
        <v>236</v>
      </c>
      <c r="D15" t="s">
        <v>317</v>
      </c>
      <c r="E15" t="s">
        <v>185</v>
      </c>
      <c r="F15" t="s">
        <v>315</v>
      </c>
      <c r="G15" t="s">
        <v>303</v>
      </c>
      <c r="H15" t="s">
        <v>185</v>
      </c>
    </row>
    <row r="16" spans="1:8" x14ac:dyDescent="0.25">
      <c r="A16" t="s">
        <v>318</v>
      </c>
      <c r="B16">
        <v>582</v>
      </c>
      <c r="C16" t="s">
        <v>236</v>
      </c>
      <c r="D16" t="s">
        <v>319</v>
      </c>
      <c r="E16" t="s">
        <v>185</v>
      </c>
      <c r="F16" t="s">
        <v>185</v>
      </c>
      <c r="G16" t="s">
        <v>297</v>
      </c>
      <c r="H16" t="s">
        <v>185</v>
      </c>
    </row>
    <row r="17" spans="1:8" x14ac:dyDescent="0.25">
      <c r="A17" t="s">
        <v>318</v>
      </c>
      <c r="B17">
        <v>621</v>
      </c>
      <c r="C17" t="s">
        <v>236</v>
      </c>
      <c r="D17" t="s">
        <v>320</v>
      </c>
      <c r="E17" t="s">
        <v>185</v>
      </c>
      <c r="F17" t="s">
        <v>185</v>
      </c>
      <c r="G17" t="s">
        <v>297</v>
      </c>
      <c r="H17" t="s">
        <v>185</v>
      </c>
    </row>
    <row r="18" spans="1:8" x14ac:dyDescent="0.25">
      <c r="A18" t="s">
        <v>318</v>
      </c>
      <c r="B18">
        <v>653</v>
      </c>
      <c r="C18" t="s">
        <v>236</v>
      </c>
      <c r="D18" t="s">
        <v>321</v>
      </c>
      <c r="E18" t="s">
        <v>185</v>
      </c>
      <c r="F18" t="s">
        <v>185</v>
      </c>
      <c r="G18" t="s">
        <v>297</v>
      </c>
      <c r="H18" t="s">
        <v>185</v>
      </c>
    </row>
    <row r="19" spans="1:8" x14ac:dyDescent="0.25">
      <c r="A19" t="s">
        <v>318</v>
      </c>
      <c r="B19">
        <v>654</v>
      </c>
      <c r="C19" t="s">
        <v>236</v>
      </c>
      <c r="D19" t="s">
        <v>322</v>
      </c>
      <c r="E19" t="s">
        <v>185</v>
      </c>
      <c r="F19" t="s">
        <v>185</v>
      </c>
      <c r="G19" t="s">
        <v>297</v>
      </c>
      <c r="H19" t="s">
        <v>185</v>
      </c>
    </row>
    <row r="20" spans="1:8" x14ac:dyDescent="0.25">
      <c r="A20" t="s">
        <v>318</v>
      </c>
      <c r="B20">
        <v>655</v>
      </c>
      <c r="C20" t="s">
        <v>236</v>
      </c>
      <c r="D20" t="s">
        <v>323</v>
      </c>
      <c r="E20" t="s">
        <v>185</v>
      </c>
      <c r="F20" t="s">
        <v>185</v>
      </c>
      <c r="G20" t="s">
        <v>297</v>
      </c>
      <c r="H20" t="s">
        <v>185</v>
      </c>
    </row>
    <row r="21" spans="1:8" x14ac:dyDescent="0.25">
      <c r="A21" t="s">
        <v>318</v>
      </c>
      <c r="B21">
        <v>656</v>
      </c>
      <c r="C21" t="s">
        <v>236</v>
      </c>
      <c r="D21" t="s">
        <v>324</v>
      </c>
      <c r="E21" t="s">
        <v>185</v>
      </c>
      <c r="F21" t="s">
        <v>185</v>
      </c>
      <c r="G21" t="s">
        <v>297</v>
      </c>
      <c r="H21" t="s">
        <v>185</v>
      </c>
    </row>
    <row r="22" spans="1:8" x14ac:dyDescent="0.25">
      <c r="A22" t="s">
        <v>318</v>
      </c>
      <c r="B22">
        <v>657</v>
      </c>
      <c r="C22" t="s">
        <v>236</v>
      </c>
      <c r="D22" t="s">
        <v>325</v>
      </c>
      <c r="E22" t="s">
        <v>185</v>
      </c>
      <c r="F22" t="s">
        <v>185</v>
      </c>
      <c r="G22" t="s">
        <v>297</v>
      </c>
      <c r="H22" t="s">
        <v>185</v>
      </c>
    </row>
    <row r="23" spans="1:8" x14ac:dyDescent="0.25">
      <c r="A23" t="s">
        <v>326</v>
      </c>
      <c r="B23">
        <v>913</v>
      </c>
      <c r="C23" t="s">
        <v>236</v>
      </c>
      <c r="D23" t="s">
        <v>327</v>
      </c>
      <c r="E23" t="s">
        <v>185</v>
      </c>
      <c r="F23" t="s">
        <v>328</v>
      </c>
      <c r="G23" t="s">
        <v>329</v>
      </c>
      <c r="H23" t="s">
        <v>185</v>
      </c>
    </row>
    <row r="24" spans="1:8" x14ac:dyDescent="0.25">
      <c r="A24" t="s">
        <v>326</v>
      </c>
      <c r="B24">
        <v>914</v>
      </c>
      <c r="C24" t="s">
        <v>236</v>
      </c>
      <c r="D24" t="s">
        <v>330</v>
      </c>
      <c r="E24" t="s">
        <v>185</v>
      </c>
      <c r="F24" t="s">
        <v>331</v>
      </c>
      <c r="G24" t="s">
        <v>329</v>
      </c>
      <c r="H24" t="s">
        <v>185</v>
      </c>
    </row>
    <row r="25" spans="1:8" x14ac:dyDescent="0.25">
      <c r="A25" t="s">
        <v>326</v>
      </c>
      <c r="B25">
        <v>915</v>
      </c>
      <c r="C25" t="s">
        <v>236</v>
      </c>
      <c r="D25" t="s">
        <v>332</v>
      </c>
      <c r="E25" t="s">
        <v>185</v>
      </c>
      <c r="F25" t="s">
        <v>328</v>
      </c>
      <c r="G25" t="s">
        <v>329</v>
      </c>
      <c r="H25" t="s">
        <v>185</v>
      </c>
    </row>
    <row r="26" spans="1:8" x14ac:dyDescent="0.25">
      <c r="A26" t="s">
        <v>326</v>
      </c>
      <c r="B26">
        <v>1057</v>
      </c>
      <c r="C26" t="s">
        <v>236</v>
      </c>
      <c r="D26" t="s">
        <v>333</v>
      </c>
      <c r="E26" t="s">
        <v>185</v>
      </c>
      <c r="F26" t="s">
        <v>334</v>
      </c>
      <c r="G26" t="s">
        <v>329</v>
      </c>
      <c r="H26" t="s">
        <v>185</v>
      </c>
    </row>
    <row r="27" spans="1:8" x14ac:dyDescent="0.25">
      <c r="A27" t="s">
        <v>326</v>
      </c>
      <c r="B27">
        <v>1058</v>
      </c>
      <c r="C27" t="s">
        <v>236</v>
      </c>
      <c r="D27" t="s">
        <v>335</v>
      </c>
      <c r="E27" t="s">
        <v>185</v>
      </c>
      <c r="F27" t="s">
        <v>334</v>
      </c>
      <c r="G27" t="s">
        <v>329</v>
      </c>
      <c r="H27" t="s">
        <v>185</v>
      </c>
    </row>
    <row r="28" spans="1:8" x14ac:dyDescent="0.25">
      <c r="A28" t="s">
        <v>326</v>
      </c>
      <c r="B28">
        <v>1059</v>
      </c>
      <c r="C28" t="s">
        <v>236</v>
      </c>
      <c r="D28" t="s">
        <v>336</v>
      </c>
      <c r="E28" t="s">
        <v>185</v>
      </c>
      <c r="F28" t="s">
        <v>334</v>
      </c>
      <c r="G28" t="s">
        <v>329</v>
      </c>
      <c r="H28" t="s">
        <v>185</v>
      </c>
    </row>
    <row r="29" spans="1:8" x14ac:dyDescent="0.25">
      <c r="A29" t="s">
        <v>326</v>
      </c>
      <c r="B29">
        <v>1109</v>
      </c>
      <c r="C29" t="s">
        <v>236</v>
      </c>
      <c r="D29" t="s">
        <v>337</v>
      </c>
      <c r="E29" t="s">
        <v>185</v>
      </c>
      <c r="F29" t="s">
        <v>331</v>
      </c>
      <c r="G29" t="s">
        <v>329</v>
      </c>
      <c r="H29" t="s">
        <v>185</v>
      </c>
    </row>
    <row r="30" spans="1:8" x14ac:dyDescent="0.25">
      <c r="A30" t="s">
        <v>326</v>
      </c>
      <c r="B30">
        <v>1110</v>
      </c>
      <c r="C30" t="s">
        <v>236</v>
      </c>
      <c r="D30" t="s">
        <v>338</v>
      </c>
      <c r="E30" t="s">
        <v>185</v>
      </c>
      <c r="F30" t="s">
        <v>328</v>
      </c>
      <c r="G30" t="s">
        <v>329</v>
      </c>
      <c r="H30" t="s">
        <v>185</v>
      </c>
    </row>
    <row r="31" spans="1:8" x14ac:dyDescent="0.25">
      <c r="A31" t="s">
        <v>326</v>
      </c>
      <c r="B31">
        <v>1143</v>
      </c>
      <c r="C31" t="s">
        <v>236</v>
      </c>
      <c r="D31" t="s">
        <v>339</v>
      </c>
      <c r="E31" t="s">
        <v>185</v>
      </c>
      <c r="F31" t="s">
        <v>331</v>
      </c>
      <c r="G31" t="s">
        <v>329</v>
      </c>
      <c r="H31" t="s">
        <v>185</v>
      </c>
    </row>
    <row r="32" spans="1:8" x14ac:dyDescent="0.25">
      <c r="A32" t="s">
        <v>326</v>
      </c>
      <c r="B32">
        <v>1144</v>
      </c>
      <c r="C32" t="s">
        <v>236</v>
      </c>
      <c r="D32" t="s">
        <v>340</v>
      </c>
      <c r="E32" t="s">
        <v>185</v>
      </c>
      <c r="F32" t="s">
        <v>328</v>
      </c>
      <c r="G32" t="s">
        <v>329</v>
      </c>
      <c r="H32" t="s">
        <v>185</v>
      </c>
    </row>
    <row r="33" spans="1:8" x14ac:dyDescent="0.25">
      <c r="A33" t="s">
        <v>326</v>
      </c>
      <c r="B33">
        <v>1163</v>
      </c>
      <c r="C33" t="s">
        <v>236</v>
      </c>
      <c r="D33" t="s">
        <v>341</v>
      </c>
      <c r="E33" t="s">
        <v>185</v>
      </c>
      <c r="F33" t="s">
        <v>334</v>
      </c>
      <c r="G33" t="s">
        <v>329</v>
      </c>
      <c r="H33" t="s">
        <v>185</v>
      </c>
    </row>
    <row r="34" spans="1:8" x14ac:dyDescent="0.25">
      <c r="A34" t="s">
        <v>326</v>
      </c>
      <c r="B34">
        <v>1171</v>
      </c>
      <c r="C34" t="s">
        <v>236</v>
      </c>
      <c r="D34" t="s">
        <v>342</v>
      </c>
      <c r="E34" t="s">
        <v>185</v>
      </c>
      <c r="F34" t="s">
        <v>334</v>
      </c>
      <c r="G34" t="s">
        <v>329</v>
      </c>
      <c r="H34" t="s">
        <v>185</v>
      </c>
    </row>
    <row r="35" spans="1:8" x14ac:dyDescent="0.25">
      <c r="A35" t="s">
        <v>105</v>
      </c>
      <c r="B35">
        <v>1195</v>
      </c>
      <c r="C35" t="s">
        <v>236</v>
      </c>
      <c r="D35" t="s">
        <v>343</v>
      </c>
      <c r="E35" t="s">
        <v>185</v>
      </c>
      <c r="F35" t="s">
        <v>344</v>
      </c>
      <c r="G35" t="s">
        <v>329</v>
      </c>
      <c r="H35" t="s">
        <v>185</v>
      </c>
    </row>
    <row r="36" spans="1:8" x14ac:dyDescent="0.25">
      <c r="A36" t="s">
        <v>105</v>
      </c>
      <c r="B36">
        <v>1196</v>
      </c>
      <c r="C36" t="s">
        <v>236</v>
      </c>
      <c r="D36" t="s">
        <v>345</v>
      </c>
      <c r="E36" t="s">
        <v>185</v>
      </c>
      <c r="F36" t="s">
        <v>344</v>
      </c>
      <c r="G36" t="s">
        <v>329</v>
      </c>
      <c r="H36" t="s">
        <v>185</v>
      </c>
    </row>
    <row r="37" spans="1:8" x14ac:dyDescent="0.25">
      <c r="A37" t="s">
        <v>326</v>
      </c>
      <c r="B37">
        <v>1423</v>
      </c>
      <c r="C37" t="s">
        <v>236</v>
      </c>
      <c r="D37" t="s">
        <v>346</v>
      </c>
      <c r="E37" t="s">
        <v>185</v>
      </c>
      <c r="F37" t="s">
        <v>347</v>
      </c>
      <c r="G37" t="s">
        <v>329</v>
      </c>
      <c r="H37" t="s">
        <v>185</v>
      </c>
    </row>
    <row r="38" spans="1:8" x14ac:dyDescent="0.25">
      <c r="A38" t="s">
        <v>326</v>
      </c>
      <c r="B38">
        <v>1463</v>
      </c>
      <c r="C38" t="s">
        <v>236</v>
      </c>
      <c r="D38" t="s">
        <v>348</v>
      </c>
      <c r="E38" t="s">
        <v>185</v>
      </c>
      <c r="F38" t="s">
        <v>328</v>
      </c>
      <c r="G38" t="s">
        <v>329</v>
      </c>
      <c r="H38" t="s">
        <v>185</v>
      </c>
    </row>
    <row r="39" spans="1:8" x14ac:dyDescent="0.25">
      <c r="A39" t="s">
        <v>326</v>
      </c>
      <c r="B39">
        <v>1464</v>
      </c>
      <c r="C39" t="s">
        <v>236</v>
      </c>
      <c r="D39" t="s">
        <v>349</v>
      </c>
      <c r="E39" t="s">
        <v>185</v>
      </c>
      <c r="F39" t="s">
        <v>185</v>
      </c>
      <c r="G39" t="s">
        <v>297</v>
      </c>
      <c r="H39" t="s">
        <v>185</v>
      </c>
    </row>
    <row r="40" spans="1:8" x14ac:dyDescent="0.25">
      <c r="A40" t="s">
        <v>326</v>
      </c>
      <c r="B40">
        <v>1533</v>
      </c>
      <c r="C40" t="s">
        <v>236</v>
      </c>
      <c r="D40" t="s">
        <v>350</v>
      </c>
      <c r="E40" t="s">
        <v>185</v>
      </c>
      <c r="F40" t="s">
        <v>185</v>
      </c>
      <c r="G40" t="s">
        <v>297</v>
      </c>
      <c r="H40" t="s">
        <v>185</v>
      </c>
    </row>
    <row r="41" spans="1:8" x14ac:dyDescent="0.25">
      <c r="A41" t="s">
        <v>351</v>
      </c>
      <c r="B41">
        <v>1608</v>
      </c>
      <c r="C41" t="s">
        <v>236</v>
      </c>
      <c r="D41" t="s">
        <v>352</v>
      </c>
      <c r="E41" t="s">
        <v>185</v>
      </c>
      <c r="F41" t="s">
        <v>185</v>
      </c>
      <c r="G41" t="s">
        <v>353</v>
      </c>
      <c r="H41" t="s">
        <v>185</v>
      </c>
    </row>
    <row r="42" spans="1:8" x14ac:dyDescent="0.25">
      <c r="A42" t="s">
        <v>354</v>
      </c>
      <c r="B42">
        <v>1666</v>
      </c>
      <c r="C42" t="s">
        <v>236</v>
      </c>
      <c r="D42" t="s">
        <v>355</v>
      </c>
      <c r="E42" t="s">
        <v>185</v>
      </c>
      <c r="F42" t="s">
        <v>185</v>
      </c>
      <c r="G42" t="s">
        <v>297</v>
      </c>
      <c r="H42" t="s">
        <v>185</v>
      </c>
    </row>
    <row r="43" spans="1:8" x14ac:dyDescent="0.25">
      <c r="A43" t="s">
        <v>356</v>
      </c>
      <c r="B43">
        <v>1847</v>
      </c>
      <c r="C43" t="s">
        <v>236</v>
      </c>
      <c r="D43" t="s">
        <v>357</v>
      </c>
      <c r="E43" t="s">
        <v>185</v>
      </c>
      <c r="F43" t="s">
        <v>328</v>
      </c>
      <c r="G43" t="s">
        <v>329</v>
      </c>
      <c r="H43" t="s">
        <v>358</v>
      </c>
    </row>
    <row r="44" spans="1:8" x14ac:dyDescent="0.25">
      <c r="A44" t="s">
        <v>356</v>
      </c>
      <c r="B44">
        <v>1849</v>
      </c>
      <c r="C44" t="s">
        <v>236</v>
      </c>
      <c r="D44" t="s">
        <v>359</v>
      </c>
      <c r="E44" t="s">
        <v>185</v>
      </c>
      <c r="F44" t="s">
        <v>328</v>
      </c>
      <c r="G44" t="s">
        <v>329</v>
      </c>
      <c r="H44" t="s">
        <v>358</v>
      </c>
    </row>
    <row r="45" spans="1:8" x14ac:dyDescent="0.25">
      <c r="A45" t="s">
        <v>356</v>
      </c>
      <c r="B45">
        <v>1850</v>
      </c>
      <c r="C45" t="s">
        <v>236</v>
      </c>
      <c r="D45" t="s">
        <v>360</v>
      </c>
      <c r="E45" t="s">
        <v>185</v>
      </c>
      <c r="F45" t="s">
        <v>328</v>
      </c>
      <c r="G45" t="s">
        <v>329</v>
      </c>
      <c r="H45" t="s">
        <v>358</v>
      </c>
    </row>
    <row r="46" spans="1:8" x14ac:dyDescent="0.25">
      <c r="A46" t="s">
        <v>361</v>
      </c>
      <c r="B46">
        <v>2039</v>
      </c>
      <c r="C46" t="s">
        <v>236</v>
      </c>
      <c r="D46" t="s">
        <v>362</v>
      </c>
      <c r="E46" t="s">
        <v>185</v>
      </c>
      <c r="F46" t="s">
        <v>328</v>
      </c>
      <c r="G46" t="s">
        <v>329</v>
      </c>
      <c r="H46" t="s">
        <v>358</v>
      </c>
    </row>
    <row r="47" spans="1:8" x14ac:dyDescent="0.25">
      <c r="A47" t="s">
        <v>361</v>
      </c>
      <c r="B47">
        <v>2040</v>
      </c>
      <c r="C47" t="s">
        <v>236</v>
      </c>
      <c r="D47" t="s">
        <v>363</v>
      </c>
      <c r="E47" t="s">
        <v>185</v>
      </c>
      <c r="F47" t="s">
        <v>185</v>
      </c>
      <c r="G47" t="s">
        <v>353</v>
      </c>
      <c r="H47" t="s">
        <v>364</v>
      </c>
    </row>
    <row r="48" spans="1:8" x14ac:dyDescent="0.25">
      <c r="A48" t="s">
        <v>326</v>
      </c>
      <c r="B48">
        <v>2103</v>
      </c>
      <c r="C48" t="s">
        <v>236</v>
      </c>
      <c r="D48" t="s">
        <v>365</v>
      </c>
      <c r="E48" t="s">
        <v>185</v>
      </c>
      <c r="F48" t="s">
        <v>366</v>
      </c>
      <c r="G48" t="s">
        <v>329</v>
      </c>
      <c r="H48" t="s">
        <v>185</v>
      </c>
    </row>
    <row r="49" spans="1:8" x14ac:dyDescent="0.25">
      <c r="A49" t="s">
        <v>356</v>
      </c>
      <c r="B49">
        <v>2381</v>
      </c>
      <c r="C49" t="s">
        <v>236</v>
      </c>
      <c r="D49" t="s">
        <v>367</v>
      </c>
      <c r="E49" t="s">
        <v>185</v>
      </c>
      <c r="F49" t="s">
        <v>328</v>
      </c>
      <c r="G49" t="s">
        <v>329</v>
      </c>
      <c r="H49" t="s">
        <v>185</v>
      </c>
    </row>
    <row r="50" spans="1:8" x14ac:dyDescent="0.25">
      <c r="A50" t="s">
        <v>326</v>
      </c>
      <c r="B50">
        <v>2435</v>
      </c>
      <c r="C50" t="s">
        <v>236</v>
      </c>
      <c r="D50" t="s">
        <v>368</v>
      </c>
      <c r="E50" t="s">
        <v>185</v>
      </c>
      <c r="F50" t="s">
        <v>334</v>
      </c>
      <c r="G50" t="s">
        <v>369</v>
      </c>
      <c r="H50" t="s">
        <v>185</v>
      </c>
    </row>
    <row r="51" spans="1:8" x14ac:dyDescent="0.25">
      <c r="A51" t="s">
        <v>326</v>
      </c>
      <c r="B51">
        <v>2519</v>
      </c>
      <c r="C51" t="s">
        <v>236</v>
      </c>
      <c r="D51" t="s">
        <v>370</v>
      </c>
      <c r="E51" t="s">
        <v>185</v>
      </c>
      <c r="F51" t="s">
        <v>334</v>
      </c>
      <c r="G51" t="s">
        <v>297</v>
      </c>
      <c r="H51" t="s">
        <v>185</v>
      </c>
    </row>
    <row r="52" spans="1:8" x14ac:dyDescent="0.25">
      <c r="A52" t="s">
        <v>361</v>
      </c>
      <c r="B52">
        <v>2521</v>
      </c>
      <c r="C52" t="s">
        <v>236</v>
      </c>
      <c r="D52" t="s">
        <v>371</v>
      </c>
      <c r="E52" t="s">
        <v>185</v>
      </c>
      <c r="F52" t="s">
        <v>328</v>
      </c>
      <c r="G52" t="s">
        <v>329</v>
      </c>
      <c r="H52" t="s">
        <v>185</v>
      </c>
    </row>
    <row r="53" spans="1:8" x14ac:dyDescent="0.25">
      <c r="A53" t="s">
        <v>361</v>
      </c>
      <c r="B53">
        <v>2522</v>
      </c>
      <c r="C53" t="s">
        <v>236</v>
      </c>
      <c r="D53" t="s">
        <v>372</v>
      </c>
      <c r="E53" t="s">
        <v>185</v>
      </c>
      <c r="F53" t="s">
        <v>328</v>
      </c>
      <c r="G53" t="s">
        <v>329</v>
      </c>
      <c r="H53" t="s">
        <v>185</v>
      </c>
    </row>
    <row r="54" spans="1:8" x14ac:dyDescent="0.25">
      <c r="A54" t="s">
        <v>361</v>
      </c>
      <c r="B54">
        <v>2523</v>
      </c>
      <c r="C54" t="s">
        <v>236</v>
      </c>
      <c r="D54" t="s">
        <v>373</v>
      </c>
      <c r="E54" t="s">
        <v>185</v>
      </c>
      <c r="F54" t="s">
        <v>328</v>
      </c>
      <c r="G54" t="s">
        <v>329</v>
      </c>
      <c r="H54" t="s">
        <v>185</v>
      </c>
    </row>
    <row r="55" spans="1:8" x14ac:dyDescent="0.25">
      <c r="A55" t="s">
        <v>361</v>
      </c>
      <c r="B55">
        <v>2524</v>
      </c>
      <c r="C55" t="s">
        <v>236</v>
      </c>
      <c r="D55" t="s">
        <v>374</v>
      </c>
      <c r="E55" t="s">
        <v>185</v>
      </c>
      <c r="F55" t="s">
        <v>328</v>
      </c>
      <c r="G55" t="s">
        <v>329</v>
      </c>
      <c r="H55" t="s">
        <v>185</v>
      </c>
    </row>
    <row r="56" spans="1:8" x14ac:dyDescent="0.25">
      <c r="A56" t="s">
        <v>375</v>
      </c>
      <c r="B56">
        <v>2614</v>
      </c>
      <c r="C56" t="s">
        <v>236</v>
      </c>
      <c r="D56" t="s">
        <v>376</v>
      </c>
      <c r="E56" t="s">
        <v>185</v>
      </c>
      <c r="F56" t="s">
        <v>377</v>
      </c>
      <c r="G56" t="s">
        <v>297</v>
      </c>
      <c r="H56" t="s">
        <v>185</v>
      </c>
    </row>
    <row r="57" spans="1:8" x14ac:dyDescent="0.25">
      <c r="A57" t="s">
        <v>375</v>
      </c>
      <c r="B57">
        <v>2617</v>
      </c>
      <c r="C57" t="s">
        <v>236</v>
      </c>
      <c r="D57" t="s">
        <v>378</v>
      </c>
      <c r="E57" t="s">
        <v>185</v>
      </c>
      <c r="F57" t="s">
        <v>377</v>
      </c>
      <c r="G57" t="s">
        <v>297</v>
      </c>
      <c r="H57" t="s">
        <v>185</v>
      </c>
    </row>
    <row r="58" spans="1:8" x14ac:dyDescent="0.25">
      <c r="A58" t="s">
        <v>375</v>
      </c>
      <c r="B58">
        <v>2618</v>
      </c>
      <c r="C58" t="s">
        <v>236</v>
      </c>
      <c r="D58" t="s">
        <v>379</v>
      </c>
      <c r="E58" t="s">
        <v>185</v>
      </c>
      <c r="F58" t="s">
        <v>377</v>
      </c>
      <c r="G58" t="s">
        <v>297</v>
      </c>
      <c r="H58" t="s">
        <v>185</v>
      </c>
    </row>
    <row r="59" spans="1:8" x14ac:dyDescent="0.25">
      <c r="A59" t="s">
        <v>361</v>
      </c>
      <c r="B59">
        <v>2620</v>
      </c>
      <c r="C59" t="s">
        <v>236</v>
      </c>
      <c r="D59" t="s">
        <v>380</v>
      </c>
      <c r="E59" t="s">
        <v>185</v>
      </c>
      <c r="F59" t="s">
        <v>328</v>
      </c>
      <c r="G59" t="s">
        <v>329</v>
      </c>
      <c r="H59" t="s">
        <v>185</v>
      </c>
    </row>
    <row r="60" spans="1:8" x14ac:dyDescent="0.25">
      <c r="A60" t="s">
        <v>361</v>
      </c>
      <c r="B60">
        <v>2621</v>
      </c>
      <c r="C60" t="s">
        <v>236</v>
      </c>
      <c r="D60" t="s">
        <v>381</v>
      </c>
      <c r="E60" t="s">
        <v>185</v>
      </c>
      <c r="F60" t="s">
        <v>328</v>
      </c>
      <c r="G60" t="s">
        <v>329</v>
      </c>
      <c r="H60" t="s">
        <v>185</v>
      </c>
    </row>
    <row r="61" spans="1:8" x14ac:dyDescent="0.25">
      <c r="A61" t="s">
        <v>375</v>
      </c>
      <c r="B61">
        <v>2660</v>
      </c>
      <c r="C61" t="s">
        <v>236</v>
      </c>
      <c r="D61" t="s">
        <v>382</v>
      </c>
      <c r="E61" t="s">
        <v>185</v>
      </c>
      <c r="F61" t="s">
        <v>377</v>
      </c>
      <c r="G61" t="s">
        <v>297</v>
      </c>
      <c r="H61" t="s">
        <v>185</v>
      </c>
    </row>
    <row r="62" spans="1:8" x14ac:dyDescent="0.25">
      <c r="A62" t="s">
        <v>361</v>
      </c>
      <c r="B62">
        <v>2661</v>
      </c>
      <c r="C62" t="s">
        <v>236</v>
      </c>
      <c r="D62" t="s">
        <v>383</v>
      </c>
      <c r="E62" t="s">
        <v>185</v>
      </c>
      <c r="F62" t="s">
        <v>328</v>
      </c>
      <c r="G62" t="s">
        <v>329</v>
      </c>
      <c r="H62" t="s">
        <v>185</v>
      </c>
    </row>
    <row r="63" spans="1:8" x14ac:dyDescent="0.25">
      <c r="A63" t="s">
        <v>384</v>
      </c>
      <c r="B63">
        <v>2695</v>
      </c>
      <c r="C63" t="s">
        <v>236</v>
      </c>
      <c r="D63" t="s">
        <v>385</v>
      </c>
      <c r="E63" t="s">
        <v>185</v>
      </c>
      <c r="F63" t="s">
        <v>328</v>
      </c>
      <c r="G63" t="s">
        <v>329</v>
      </c>
      <c r="H63" t="s">
        <v>185</v>
      </c>
    </row>
    <row r="64" spans="1:8" x14ac:dyDescent="0.25">
      <c r="A64" t="s">
        <v>384</v>
      </c>
      <c r="B64">
        <v>2704</v>
      </c>
      <c r="C64" t="s">
        <v>236</v>
      </c>
      <c r="D64" t="s">
        <v>386</v>
      </c>
      <c r="E64" t="s">
        <v>185</v>
      </c>
      <c r="F64" t="s">
        <v>328</v>
      </c>
      <c r="G64" t="s">
        <v>329</v>
      </c>
      <c r="H64" t="s">
        <v>185</v>
      </c>
    </row>
    <row r="65" spans="1:8" x14ac:dyDescent="0.25">
      <c r="A65" t="s">
        <v>375</v>
      </c>
      <c r="B65">
        <v>2707</v>
      </c>
      <c r="C65" t="s">
        <v>236</v>
      </c>
      <c r="D65" t="s">
        <v>387</v>
      </c>
      <c r="E65" t="s">
        <v>185</v>
      </c>
      <c r="F65" t="s">
        <v>377</v>
      </c>
      <c r="G65" t="s">
        <v>297</v>
      </c>
      <c r="H65" t="s">
        <v>185</v>
      </c>
    </row>
    <row r="66" spans="1:8" x14ac:dyDescent="0.25">
      <c r="A66" t="s">
        <v>375</v>
      </c>
      <c r="B66">
        <v>2708</v>
      </c>
      <c r="C66" t="s">
        <v>236</v>
      </c>
      <c r="D66" t="s">
        <v>388</v>
      </c>
      <c r="E66" t="s">
        <v>185</v>
      </c>
      <c r="F66" t="s">
        <v>377</v>
      </c>
      <c r="G66" t="s">
        <v>297</v>
      </c>
      <c r="H66" t="s">
        <v>185</v>
      </c>
    </row>
    <row r="67" spans="1:8" x14ac:dyDescent="0.25">
      <c r="A67" t="s">
        <v>375</v>
      </c>
      <c r="B67">
        <v>2709</v>
      </c>
      <c r="C67" t="s">
        <v>236</v>
      </c>
      <c r="D67" t="s">
        <v>389</v>
      </c>
      <c r="E67" t="s">
        <v>185</v>
      </c>
      <c r="F67" t="s">
        <v>377</v>
      </c>
      <c r="G67" t="s">
        <v>297</v>
      </c>
      <c r="H67" t="s">
        <v>185</v>
      </c>
    </row>
    <row r="68" spans="1:8" x14ac:dyDescent="0.25">
      <c r="A68" t="s">
        <v>375</v>
      </c>
      <c r="B68">
        <v>2710</v>
      </c>
      <c r="C68" t="s">
        <v>236</v>
      </c>
      <c r="D68" t="s">
        <v>390</v>
      </c>
      <c r="E68" t="s">
        <v>185</v>
      </c>
      <c r="F68" t="s">
        <v>377</v>
      </c>
      <c r="G68" t="s">
        <v>297</v>
      </c>
      <c r="H68" t="s">
        <v>185</v>
      </c>
    </row>
    <row r="69" spans="1:8" x14ac:dyDescent="0.25">
      <c r="A69" t="s">
        <v>375</v>
      </c>
      <c r="B69">
        <v>2861</v>
      </c>
      <c r="C69" t="s">
        <v>236</v>
      </c>
      <c r="D69" t="s">
        <v>391</v>
      </c>
      <c r="E69" t="s">
        <v>185</v>
      </c>
      <c r="F69" t="s">
        <v>377</v>
      </c>
      <c r="G69" t="s">
        <v>297</v>
      </c>
      <c r="H69" t="s">
        <v>185</v>
      </c>
    </row>
    <row r="70" spans="1:8" x14ac:dyDescent="0.25">
      <c r="A70" t="s">
        <v>361</v>
      </c>
      <c r="B70">
        <v>2869</v>
      </c>
      <c r="C70" t="s">
        <v>236</v>
      </c>
      <c r="D70" t="s">
        <v>392</v>
      </c>
      <c r="E70" t="s">
        <v>185</v>
      </c>
      <c r="F70" t="s">
        <v>185</v>
      </c>
      <c r="G70" t="s">
        <v>353</v>
      </c>
      <c r="H70" t="s">
        <v>364</v>
      </c>
    </row>
    <row r="71" spans="1:8" x14ac:dyDescent="0.25">
      <c r="A71" t="s">
        <v>326</v>
      </c>
      <c r="B71">
        <v>2873</v>
      </c>
      <c r="C71" t="s">
        <v>236</v>
      </c>
      <c r="D71" t="s">
        <v>393</v>
      </c>
      <c r="E71" t="s">
        <v>185</v>
      </c>
      <c r="F71" t="s">
        <v>334</v>
      </c>
      <c r="G71" t="s">
        <v>303</v>
      </c>
      <c r="H71" t="s">
        <v>185</v>
      </c>
    </row>
    <row r="72" spans="1:8" x14ac:dyDescent="0.25">
      <c r="A72" t="s">
        <v>326</v>
      </c>
      <c r="B72">
        <v>2875</v>
      </c>
      <c r="C72" t="s">
        <v>236</v>
      </c>
      <c r="D72" t="s">
        <v>394</v>
      </c>
      <c r="E72" t="s">
        <v>185</v>
      </c>
      <c r="F72" t="s">
        <v>344</v>
      </c>
      <c r="G72" t="s">
        <v>329</v>
      </c>
      <c r="H72" t="s">
        <v>185</v>
      </c>
    </row>
    <row r="73" spans="1:8" x14ac:dyDescent="0.25">
      <c r="A73" t="s">
        <v>395</v>
      </c>
      <c r="B73">
        <v>2878</v>
      </c>
      <c r="C73" t="s">
        <v>236</v>
      </c>
      <c r="D73" t="s">
        <v>396</v>
      </c>
      <c r="E73" t="s">
        <v>185</v>
      </c>
      <c r="F73" t="s">
        <v>328</v>
      </c>
      <c r="G73" t="s">
        <v>329</v>
      </c>
      <c r="H73" t="s">
        <v>185</v>
      </c>
    </row>
    <row r="74" spans="1:8" x14ac:dyDescent="0.25">
      <c r="A74" t="s">
        <v>375</v>
      </c>
      <c r="B74">
        <v>2907</v>
      </c>
      <c r="C74" t="s">
        <v>236</v>
      </c>
      <c r="D74" t="s">
        <v>397</v>
      </c>
      <c r="E74" t="s">
        <v>185</v>
      </c>
      <c r="F74" t="s">
        <v>377</v>
      </c>
      <c r="G74" t="s">
        <v>297</v>
      </c>
      <c r="H74" t="s">
        <v>185</v>
      </c>
    </row>
    <row r="75" spans="1:8" x14ac:dyDescent="0.25">
      <c r="A75" t="s">
        <v>375</v>
      </c>
      <c r="B75">
        <v>2919</v>
      </c>
      <c r="C75" t="s">
        <v>236</v>
      </c>
      <c r="D75" t="s">
        <v>398</v>
      </c>
      <c r="E75" t="s">
        <v>185</v>
      </c>
      <c r="F75" t="s">
        <v>377</v>
      </c>
      <c r="G75" t="s">
        <v>297</v>
      </c>
      <c r="H75" t="s">
        <v>185</v>
      </c>
    </row>
    <row r="76" spans="1:8" x14ac:dyDescent="0.25">
      <c r="A76" t="s">
        <v>375</v>
      </c>
      <c r="B76">
        <v>2921</v>
      </c>
      <c r="C76" t="s">
        <v>236</v>
      </c>
      <c r="D76" t="s">
        <v>399</v>
      </c>
      <c r="E76" t="s">
        <v>185</v>
      </c>
      <c r="F76" t="s">
        <v>377</v>
      </c>
      <c r="G76" t="s">
        <v>297</v>
      </c>
      <c r="H76" t="s">
        <v>185</v>
      </c>
    </row>
    <row r="77" spans="1:8" x14ac:dyDescent="0.25">
      <c r="A77" t="s">
        <v>375</v>
      </c>
      <c r="B77">
        <v>2922</v>
      </c>
      <c r="C77" t="s">
        <v>236</v>
      </c>
      <c r="D77" t="s">
        <v>400</v>
      </c>
      <c r="E77" t="s">
        <v>185</v>
      </c>
      <c r="F77" t="s">
        <v>377</v>
      </c>
      <c r="G77" t="s">
        <v>297</v>
      </c>
      <c r="H77" t="s">
        <v>185</v>
      </c>
    </row>
    <row r="78" spans="1:8" x14ac:dyDescent="0.25">
      <c r="A78" t="s">
        <v>375</v>
      </c>
      <c r="B78">
        <v>2942</v>
      </c>
      <c r="C78" t="s">
        <v>236</v>
      </c>
      <c r="D78" t="s">
        <v>401</v>
      </c>
      <c r="E78" t="s">
        <v>185</v>
      </c>
      <c r="F78" t="s">
        <v>377</v>
      </c>
      <c r="G78" t="s">
        <v>297</v>
      </c>
      <c r="H78" t="s">
        <v>185</v>
      </c>
    </row>
    <row r="79" spans="1:8" x14ac:dyDescent="0.25">
      <c r="A79" t="s">
        <v>402</v>
      </c>
      <c r="B79">
        <v>3021</v>
      </c>
      <c r="C79" t="s">
        <v>236</v>
      </c>
      <c r="D79" t="s">
        <v>403</v>
      </c>
      <c r="E79" t="s">
        <v>185</v>
      </c>
      <c r="F79" t="s">
        <v>328</v>
      </c>
      <c r="G79" t="s">
        <v>329</v>
      </c>
      <c r="H79" t="s">
        <v>185</v>
      </c>
    </row>
    <row r="80" spans="1:8" x14ac:dyDescent="0.25">
      <c r="A80" t="s">
        <v>48</v>
      </c>
      <c r="B80">
        <v>3104</v>
      </c>
      <c r="C80" t="s">
        <v>236</v>
      </c>
      <c r="D80" t="s">
        <v>404</v>
      </c>
      <c r="E80" t="s">
        <v>185</v>
      </c>
      <c r="F80" t="s">
        <v>328</v>
      </c>
      <c r="G80" t="s">
        <v>329</v>
      </c>
      <c r="H80" t="s">
        <v>185</v>
      </c>
    </row>
    <row r="81" spans="1:8" x14ac:dyDescent="0.25">
      <c r="A81" t="s">
        <v>405</v>
      </c>
      <c r="B81">
        <v>3116</v>
      </c>
      <c r="C81" t="s">
        <v>236</v>
      </c>
      <c r="D81" t="s">
        <v>406</v>
      </c>
      <c r="E81" t="s">
        <v>185</v>
      </c>
      <c r="F81" t="s">
        <v>328</v>
      </c>
      <c r="G81" t="s">
        <v>329</v>
      </c>
      <c r="H81" t="s">
        <v>185</v>
      </c>
    </row>
    <row r="82" spans="1:8" x14ac:dyDescent="0.25">
      <c r="A82" t="s">
        <v>407</v>
      </c>
      <c r="B82">
        <v>3118</v>
      </c>
      <c r="C82" t="s">
        <v>236</v>
      </c>
      <c r="D82" t="s">
        <v>406</v>
      </c>
      <c r="E82" t="s">
        <v>185</v>
      </c>
      <c r="F82" t="s">
        <v>328</v>
      </c>
      <c r="G82" t="s">
        <v>329</v>
      </c>
      <c r="H82" t="s">
        <v>185</v>
      </c>
    </row>
    <row r="83" spans="1:8" x14ac:dyDescent="0.25">
      <c r="A83" t="s">
        <v>375</v>
      </c>
      <c r="B83">
        <v>3137</v>
      </c>
      <c r="C83" t="s">
        <v>236</v>
      </c>
      <c r="D83" t="s">
        <v>408</v>
      </c>
      <c r="E83" t="s">
        <v>185</v>
      </c>
      <c r="F83" t="s">
        <v>377</v>
      </c>
      <c r="G83" t="s">
        <v>297</v>
      </c>
      <c r="H83" t="s">
        <v>185</v>
      </c>
    </row>
    <row r="84" spans="1:8" x14ac:dyDescent="0.25">
      <c r="A84" t="s">
        <v>409</v>
      </c>
      <c r="B84">
        <v>3188</v>
      </c>
      <c r="C84" t="s">
        <v>236</v>
      </c>
      <c r="D84" t="s">
        <v>410</v>
      </c>
      <c r="E84" t="s">
        <v>185</v>
      </c>
      <c r="F84" t="s">
        <v>411</v>
      </c>
      <c r="G84" t="s">
        <v>329</v>
      </c>
      <c r="H84" t="s">
        <v>185</v>
      </c>
    </row>
    <row r="85" spans="1:8" x14ac:dyDescent="0.25">
      <c r="A85" t="s">
        <v>412</v>
      </c>
      <c r="B85">
        <v>3258</v>
      </c>
      <c r="C85" t="s">
        <v>236</v>
      </c>
      <c r="D85" t="s">
        <v>413</v>
      </c>
      <c r="E85" t="s">
        <v>185</v>
      </c>
      <c r="F85" t="s">
        <v>328</v>
      </c>
      <c r="G85" t="s">
        <v>329</v>
      </c>
      <c r="H85" t="s">
        <v>414</v>
      </c>
    </row>
    <row r="86" spans="1:8" x14ac:dyDescent="0.25">
      <c r="A86" t="s">
        <v>412</v>
      </c>
      <c r="B86">
        <v>3260</v>
      </c>
      <c r="C86" t="s">
        <v>236</v>
      </c>
      <c r="D86" t="s">
        <v>415</v>
      </c>
      <c r="E86" t="s">
        <v>185</v>
      </c>
      <c r="F86" t="s">
        <v>328</v>
      </c>
      <c r="G86" t="s">
        <v>329</v>
      </c>
      <c r="H86" t="s">
        <v>358</v>
      </c>
    </row>
    <row r="87" spans="1:8" x14ac:dyDescent="0.25">
      <c r="A87" t="s">
        <v>412</v>
      </c>
      <c r="B87">
        <v>3261</v>
      </c>
      <c r="C87" t="s">
        <v>236</v>
      </c>
      <c r="D87" t="s">
        <v>416</v>
      </c>
      <c r="E87" t="s">
        <v>185</v>
      </c>
      <c r="F87" t="s">
        <v>328</v>
      </c>
      <c r="G87" t="s">
        <v>329</v>
      </c>
      <c r="H87" t="s">
        <v>358</v>
      </c>
    </row>
    <row r="88" spans="1:8" x14ac:dyDescent="0.25">
      <c r="A88" t="s">
        <v>412</v>
      </c>
      <c r="B88">
        <v>3262</v>
      </c>
      <c r="C88" t="s">
        <v>236</v>
      </c>
      <c r="D88" t="s">
        <v>417</v>
      </c>
      <c r="E88" t="s">
        <v>185</v>
      </c>
      <c r="F88" t="s">
        <v>328</v>
      </c>
      <c r="G88" t="s">
        <v>329</v>
      </c>
      <c r="H88" t="s">
        <v>418</v>
      </c>
    </row>
    <row r="89" spans="1:8" x14ac:dyDescent="0.25">
      <c r="A89" t="s">
        <v>412</v>
      </c>
      <c r="B89">
        <v>3282</v>
      </c>
      <c r="C89" t="s">
        <v>236</v>
      </c>
      <c r="D89" t="s">
        <v>419</v>
      </c>
      <c r="E89" t="s">
        <v>185</v>
      </c>
      <c r="F89" t="s">
        <v>328</v>
      </c>
      <c r="G89" t="s">
        <v>329</v>
      </c>
      <c r="H89" t="s">
        <v>358</v>
      </c>
    </row>
    <row r="90" spans="1:8" x14ac:dyDescent="0.25">
      <c r="A90" t="s">
        <v>72</v>
      </c>
      <c r="B90">
        <v>3333</v>
      </c>
      <c r="C90" t="s">
        <v>236</v>
      </c>
      <c r="D90" t="s">
        <v>420</v>
      </c>
      <c r="E90" t="s">
        <v>185</v>
      </c>
      <c r="F90" t="s">
        <v>328</v>
      </c>
      <c r="G90" t="s">
        <v>329</v>
      </c>
      <c r="H90" t="s">
        <v>185</v>
      </c>
    </row>
    <row r="91" spans="1:8" x14ac:dyDescent="0.25">
      <c r="A91" t="s">
        <v>351</v>
      </c>
      <c r="B91">
        <v>3346</v>
      </c>
      <c r="C91" t="s">
        <v>236</v>
      </c>
      <c r="D91" t="s">
        <v>421</v>
      </c>
      <c r="E91" t="s">
        <v>185</v>
      </c>
      <c r="F91" t="s">
        <v>328</v>
      </c>
      <c r="G91" t="s">
        <v>329</v>
      </c>
      <c r="H91" t="s">
        <v>185</v>
      </c>
    </row>
    <row r="92" spans="1:8" x14ac:dyDescent="0.25">
      <c r="A92" t="s">
        <v>48</v>
      </c>
      <c r="B92">
        <v>3380</v>
      </c>
      <c r="C92" t="s">
        <v>236</v>
      </c>
      <c r="D92" t="s">
        <v>422</v>
      </c>
      <c r="E92" t="s">
        <v>185</v>
      </c>
      <c r="F92" t="s">
        <v>328</v>
      </c>
      <c r="G92" t="s">
        <v>329</v>
      </c>
      <c r="H92" t="s">
        <v>185</v>
      </c>
    </row>
    <row r="93" spans="1:8" x14ac:dyDescent="0.25">
      <c r="A93" t="s">
        <v>423</v>
      </c>
      <c r="B93">
        <v>3474</v>
      </c>
      <c r="C93" t="s">
        <v>236</v>
      </c>
      <c r="D93" t="s">
        <v>424</v>
      </c>
      <c r="E93" t="s">
        <v>185</v>
      </c>
      <c r="F93" t="s">
        <v>185</v>
      </c>
      <c r="G93" t="s">
        <v>353</v>
      </c>
      <c r="H93" t="s">
        <v>185</v>
      </c>
    </row>
    <row r="94" spans="1:8" x14ac:dyDescent="0.25">
      <c r="A94" t="s">
        <v>425</v>
      </c>
      <c r="B94">
        <v>3478</v>
      </c>
      <c r="C94" t="s">
        <v>236</v>
      </c>
      <c r="D94" t="s">
        <v>426</v>
      </c>
      <c r="E94" t="s">
        <v>185</v>
      </c>
      <c r="F94" t="s">
        <v>427</v>
      </c>
      <c r="G94" t="s">
        <v>329</v>
      </c>
      <c r="H94" t="s">
        <v>185</v>
      </c>
    </row>
    <row r="95" spans="1:8" x14ac:dyDescent="0.25">
      <c r="A95" t="s">
        <v>48</v>
      </c>
      <c r="B95">
        <v>3480</v>
      </c>
      <c r="C95" t="s">
        <v>236</v>
      </c>
      <c r="D95" t="s">
        <v>428</v>
      </c>
      <c r="E95" t="s">
        <v>185</v>
      </c>
      <c r="F95" t="s">
        <v>328</v>
      </c>
      <c r="G95" t="s">
        <v>329</v>
      </c>
      <c r="H95" t="s">
        <v>185</v>
      </c>
    </row>
    <row r="96" spans="1:8" x14ac:dyDescent="0.25">
      <c r="A96" t="s">
        <v>48</v>
      </c>
      <c r="B96">
        <v>3481</v>
      </c>
      <c r="C96" t="s">
        <v>236</v>
      </c>
      <c r="D96" t="s">
        <v>429</v>
      </c>
      <c r="E96" t="s">
        <v>185</v>
      </c>
      <c r="F96" t="s">
        <v>328</v>
      </c>
      <c r="G96" t="s">
        <v>329</v>
      </c>
      <c r="H96" t="s">
        <v>185</v>
      </c>
    </row>
    <row r="97" spans="1:8" x14ac:dyDescent="0.25">
      <c r="A97" t="s">
        <v>430</v>
      </c>
      <c r="B97">
        <v>3483</v>
      </c>
      <c r="C97" t="s">
        <v>236</v>
      </c>
      <c r="D97" t="s">
        <v>431</v>
      </c>
      <c r="E97" t="s">
        <v>185</v>
      </c>
      <c r="F97" t="s">
        <v>328</v>
      </c>
      <c r="G97" t="s">
        <v>329</v>
      </c>
      <c r="H97" t="s">
        <v>185</v>
      </c>
    </row>
    <row r="98" spans="1:8" x14ac:dyDescent="0.25">
      <c r="A98" t="s">
        <v>351</v>
      </c>
      <c r="B98">
        <v>3488</v>
      </c>
      <c r="C98" t="s">
        <v>236</v>
      </c>
      <c r="D98" t="s">
        <v>432</v>
      </c>
      <c r="E98" t="s">
        <v>185</v>
      </c>
      <c r="F98" t="s">
        <v>328</v>
      </c>
      <c r="G98" t="s">
        <v>329</v>
      </c>
      <c r="H98" t="s">
        <v>185</v>
      </c>
    </row>
    <row r="99" spans="1:8" x14ac:dyDescent="0.25">
      <c r="A99" t="s">
        <v>351</v>
      </c>
      <c r="B99">
        <v>3489</v>
      </c>
      <c r="C99" t="s">
        <v>236</v>
      </c>
      <c r="D99" t="s">
        <v>433</v>
      </c>
      <c r="E99" t="s">
        <v>185</v>
      </c>
      <c r="F99" t="s">
        <v>328</v>
      </c>
      <c r="G99" t="s">
        <v>329</v>
      </c>
      <c r="H99" t="s">
        <v>185</v>
      </c>
    </row>
    <row r="100" spans="1:8" x14ac:dyDescent="0.25">
      <c r="A100" t="s">
        <v>434</v>
      </c>
      <c r="B100">
        <v>3513</v>
      </c>
      <c r="C100" t="s">
        <v>236</v>
      </c>
      <c r="D100" t="s">
        <v>435</v>
      </c>
      <c r="E100" t="s">
        <v>185</v>
      </c>
      <c r="F100" t="s">
        <v>328</v>
      </c>
      <c r="G100" t="s">
        <v>329</v>
      </c>
      <c r="H100" t="s">
        <v>185</v>
      </c>
    </row>
    <row r="101" spans="1:8" x14ac:dyDescent="0.25">
      <c r="A101" t="s">
        <v>434</v>
      </c>
      <c r="B101">
        <v>3514</v>
      </c>
      <c r="C101" t="s">
        <v>236</v>
      </c>
      <c r="D101" t="s">
        <v>436</v>
      </c>
      <c r="E101" t="s">
        <v>185</v>
      </c>
      <c r="F101" t="s">
        <v>328</v>
      </c>
      <c r="G101" t="s">
        <v>329</v>
      </c>
      <c r="H101" t="s">
        <v>185</v>
      </c>
    </row>
    <row r="102" spans="1:8" x14ac:dyDescent="0.25">
      <c r="A102" t="s">
        <v>434</v>
      </c>
      <c r="B102">
        <v>3515</v>
      </c>
      <c r="C102" t="s">
        <v>236</v>
      </c>
      <c r="D102" t="s">
        <v>437</v>
      </c>
      <c r="E102" t="s">
        <v>185</v>
      </c>
      <c r="F102" t="s">
        <v>328</v>
      </c>
      <c r="G102" t="s">
        <v>329</v>
      </c>
      <c r="H102" t="s">
        <v>438</v>
      </c>
    </row>
    <row r="103" spans="1:8" x14ac:dyDescent="0.25">
      <c r="A103" t="s">
        <v>439</v>
      </c>
      <c r="B103">
        <v>3516</v>
      </c>
      <c r="C103" t="s">
        <v>236</v>
      </c>
      <c r="D103" t="s">
        <v>440</v>
      </c>
      <c r="E103" t="s">
        <v>185</v>
      </c>
      <c r="F103" t="s">
        <v>328</v>
      </c>
      <c r="G103" t="s">
        <v>329</v>
      </c>
      <c r="H103" t="s">
        <v>185</v>
      </c>
    </row>
    <row r="104" spans="1:8" x14ac:dyDescent="0.25">
      <c r="A104" t="s">
        <v>439</v>
      </c>
      <c r="B104">
        <v>3517</v>
      </c>
      <c r="C104" t="s">
        <v>236</v>
      </c>
      <c r="D104" t="s">
        <v>441</v>
      </c>
      <c r="E104" t="s">
        <v>185</v>
      </c>
      <c r="F104" t="s">
        <v>185</v>
      </c>
      <c r="G104" t="s">
        <v>297</v>
      </c>
      <c r="H104" t="s">
        <v>185</v>
      </c>
    </row>
    <row r="105" spans="1:8" x14ac:dyDescent="0.25">
      <c r="A105" t="s">
        <v>439</v>
      </c>
      <c r="B105">
        <v>3518</v>
      </c>
      <c r="C105" t="s">
        <v>236</v>
      </c>
      <c r="D105" t="s">
        <v>442</v>
      </c>
      <c r="E105" t="s">
        <v>185</v>
      </c>
      <c r="F105" t="s">
        <v>185</v>
      </c>
      <c r="G105" t="s">
        <v>297</v>
      </c>
      <c r="H105" t="s">
        <v>185</v>
      </c>
    </row>
    <row r="106" spans="1:8" x14ac:dyDescent="0.25">
      <c r="A106" t="s">
        <v>439</v>
      </c>
      <c r="B106">
        <v>3519</v>
      </c>
      <c r="C106" t="s">
        <v>236</v>
      </c>
      <c r="D106" t="s">
        <v>443</v>
      </c>
      <c r="E106" t="s">
        <v>185</v>
      </c>
      <c r="F106" t="s">
        <v>328</v>
      </c>
      <c r="G106" t="s">
        <v>329</v>
      </c>
      <c r="H106" t="s">
        <v>185</v>
      </c>
    </row>
    <row r="107" spans="1:8" x14ac:dyDescent="0.25">
      <c r="A107" t="s">
        <v>444</v>
      </c>
      <c r="B107">
        <v>3520</v>
      </c>
      <c r="C107" t="s">
        <v>236</v>
      </c>
      <c r="D107" t="s">
        <v>445</v>
      </c>
      <c r="E107" t="s">
        <v>185</v>
      </c>
      <c r="F107" t="s">
        <v>185</v>
      </c>
      <c r="G107" t="s">
        <v>297</v>
      </c>
      <c r="H107" t="s">
        <v>185</v>
      </c>
    </row>
    <row r="108" spans="1:8" x14ac:dyDescent="0.25">
      <c r="A108" t="s">
        <v>444</v>
      </c>
      <c r="B108">
        <v>3521</v>
      </c>
      <c r="C108" t="s">
        <v>236</v>
      </c>
      <c r="D108" t="s">
        <v>441</v>
      </c>
      <c r="E108" t="s">
        <v>185</v>
      </c>
      <c r="F108" t="s">
        <v>185</v>
      </c>
      <c r="G108" t="s">
        <v>297</v>
      </c>
      <c r="H108" t="s">
        <v>185</v>
      </c>
    </row>
    <row r="109" spans="1:8" x14ac:dyDescent="0.25">
      <c r="A109" t="s">
        <v>444</v>
      </c>
      <c r="B109">
        <v>3522</v>
      </c>
      <c r="C109" t="s">
        <v>236</v>
      </c>
      <c r="D109" t="s">
        <v>446</v>
      </c>
      <c r="E109" t="s">
        <v>185</v>
      </c>
      <c r="F109" t="s">
        <v>185</v>
      </c>
      <c r="G109" t="s">
        <v>297</v>
      </c>
      <c r="H109" t="s">
        <v>185</v>
      </c>
    </row>
    <row r="110" spans="1:8" x14ac:dyDescent="0.25">
      <c r="A110" t="s">
        <v>444</v>
      </c>
      <c r="B110">
        <v>3523</v>
      </c>
      <c r="C110" t="s">
        <v>236</v>
      </c>
      <c r="D110" t="s">
        <v>447</v>
      </c>
      <c r="E110" t="s">
        <v>185</v>
      </c>
      <c r="F110" t="s">
        <v>185</v>
      </c>
      <c r="G110" t="s">
        <v>297</v>
      </c>
      <c r="H110" t="s">
        <v>185</v>
      </c>
    </row>
    <row r="111" spans="1:8" x14ac:dyDescent="0.25">
      <c r="A111" t="s">
        <v>444</v>
      </c>
      <c r="B111">
        <v>3524</v>
      </c>
      <c r="C111" t="s">
        <v>236</v>
      </c>
      <c r="D111" t="s">
        <v>448</v>
      </c>
      <c r="E111" t="s">
        <v>185</v>
      </c>
      <c r="F111" t="s">
        <v>328</v>
      </c>
      <c r="G111" t="s">
        <v>329</v>
      </c>
      <c r="H111" t="s">
        <v>185</v>
      </c>
    </row>
    <row r="112" spans="1:8" x14ac:dyDescent="0.25">
      <c r="A112" t="s">
        <v>444</v>
      </c>
      <c r="B112">
        <v>3525</v>
      </c>
      <c r="C112" t="s">
        <v>236</v>
      </c>
      <c r="D112" t="s">
        <v>449</v>
      </c>
      <c r="E112" t="s">
        <v>185</v>
      </c>
      <c r="F112" t="s">
        <v>328</v>
      </c>
      <c r="G112" t="s">
        <v>329</v>
      </c>
      <c r="H112" t="s">
        <v>185</v>
      </c>
    </row>
    <row r="113" spans="1:8" x14ac:dyDescent="0.25">
      <c r="A113" t="s">
        <v>444</v>
      </c>
      <c r="B113">
        <v>3526</v>
      </c>
      <c r="C113" t="s">
        <v>236</v>
      </c>
      <c r="D113" t="s">
        <v>450</v>
      </c>
      <c r="E113" t="s">
        <v>185</v>
      </c>
      <c r="F113" t="s">
        <v>328</v>
      </c>
      <c r="G113" t="s">
        <v>297</v>
      </c>
      <c r="H113" t="s">
        <v>185</v>
      </c>
    </row>
    <row r="114" spans="1:8" x14ac:dyDescent="0.25">
      <c r="A114" t="s">
        <v>434</v>
      </c>
      <c r="B114">
        <v>3527</v>
      </c>
      <c r="C114" t="s">
        <v>236</v>
      </c>
      <c r="D114" t="s">
        <v>451</v>
      </c>
      <c r="E114" t="s">
        <v>185</v>
      </c>
      <c r="F114" t="s">
        <v>185</v>
      </c>
      <c r="G114" t="s">
        <v>369</v>
      </c>
      <c r="H114" t="s">
        <v>185</v>
      </c>
    </row>
    <row r="115" spans="1:8" x14ac:dyDescent="0.25">
      <c r="A115" t="s">
        <v>434</v>
      </c>
      <c r="B115">
        <v>3529</v>
      </c>
      <c r="C115" t="s">
        <v>236</v>
      </c>
      <c r="D115" t="s">
        <v>452</v>
      </c>
      <c r="E115" t="s">
        <v>185</v>
      </c>
      <c r="F115" t="s">
        <v>185</v>
      </c>
      <c r="G115" t="s">
        <v>369</v>
      </c>
      <c r="H115" t="s">
        <v>185</v>
      </c>
    </row>
    <row r="116" spans="1:8" x14ac:dyDescent="0.25">
      <c r="A116" t="s">
        <v>434</v>
      </c>
      <c r="B116">
        <v>3530</v>
      </c>
      <c r="C116" t="s">
        <v>236</v>
      </c>
      <c r="D116" t="s">
        <v>453</v>
      </c>
      <c r="E116" t="s">
        <v>185</v>
      </c>
      <c r="F116" t="s">
        <v>411</v>
      </c>
      <c r="G116" t="s">
        <v>369</v>
      </c>
      <c r="H116" t="s">
        <v>185</v>
      </c>
    </row>
    <row r="117" spans="1:8" x14ac:dyDescent="0.25">
      <c r="A117" t="s">
        <v>434</v>
      </c>
      <c r="B117">
        <v>3531</v>
      </c>
      <c r="C117" t="s">
        <v>236</v>
      </c>
      <c r="D117" t="s">
        <v>454</v>
      </c>
      <c r="E117" t="s">
        <v>185</v>
      </c>
      <c r="F117" t="s">
        <v>185</v>
      </c>
      <c r="G117" t="s">
        <v>369</v>
      </c>
      <c r="H117" t="s">
        <v>185</v>
      </c>
    </row>
    <row r="118" spans="1:8" x14ac:dyDescent="0.25">
      <c r="A118" t="s">
        <v>434</v>
      </c>
      <c r="B118">
        <v>3532</v>
      </c>
      <c r="C118" t="s">
        <v>236</v>
      </c>
      <c r="D118" t="s">
        <v>455</v>
      </c>
      <c r="E118" t="s">
        <v>185</v>
      </c>
      <c r="F118" t="s">
        <v>185</v>
      </c>
      <c r="G118" t="s">
        <v>369</v>
      </c>
      <c r="H118" t="s">
        <v>185</v>
      </c>
    </row>
    <row r="119" spans="1:8" x14ac:dyDescent="0.25">
      <c r="A119" t="s">
        <v>434</v>
      </c>
      <c r="B119">
        <v>3533</v>
      </c>
      <c r="C119" t="s">
        <v>236</v>
      </c>
      <c r="D119" t="s">
        <v>456</v>
      </c>
      <c r="E119" t="s">
        <v>185</v>
      </c>
      <c r="F119" t="s">
        <v>185</v>
      </c>
      <c r="G119" t="s">
        <v>297</v>
      </c>
      <c r="H119" t="s">
        <v>185</v>
      </c>
    </row>
    <row r="120" spans="1:8" x14ac:dyDescent="0.25">
      <c r="A120" t="s">
        <v>434</v>
      </c>
      <c r="B120">
        <v>3534</v>
      </c>
      <c r="C120" t="s">
        <v>236</v>
      </c>
      <c r="D120" t="s">
        <v>457</v>
      </c>
      <c r="E120" t="s">
        <v>185</v>
      </c>
      <c r="F120" t="s">
        <v>185</v>
      </c>
      <c r="G120" t="s">
        <v>353</v>
      </c>
      <c r="H120" t="s">
        <v>185</v>
      </c>
    </row>
    <row r="121" spans="1:8" x14ac:dyDescent="0.25">
      <c r="A121" t="s">
        <v>434</v>
      </c>
      <c r="B121">
        <v>3535</v>
      </c>
      <c r="C121" t="s">
        <v>236</v>
      </c>
      <c r="D121" t="s">
        <v>458</v>
      </c>
      <c r="E121" t="s">
        <v>185</v>
      </c>
      <c r="F121" t="s">
        <v>328</v>
      </c>
      <c r="G121" t="s">
        <v>329</v>
      </c>
      <c r="H121" t="s">
        <v>185</v>
      </c>
    </row>
    <row r="122" spans="1:8" x14ac:dyDescent="0.25">
      <c r="A122" t="s">
        <v>434</v>
      </c>
      <c r="B122">
        <v>3538</v>
      </c>
      <c r="C122" t="s">
        <v>236</v>
      </c>
      <c r="D122" t="s">
        <v>459</v>
      </c>
      <c r="E122" t="s">
        <v>185</v>
      </c>
      <c r="F122" t="s">
        <v>185</v>
      </c>
      <c r="G122" t="s">
        <v>369</v>
      </c>
      <c r="H122" t="s">
        <v>185</v>
      </c>
    </row>
    <row r="123" spans="1:8" x14ac:dyDescent="0.25">
      <c r="A123" t="s">
        <v>444</v>
      </c>
      <c r="B123">
        <v>3541</v>
      </c>
      <c r="C123" t="s">
        <v>236</v>
      </c>
      <c r="D123" t="s">
        <v>460</v>
      </c>
      <c r="E123" t="s">
        <v>185</v>
      </c>
      <c r="F123" t="s">
        <v>185</v>
      </c>
      <c r="G123" t="s">
        <v>297</v>
      </c>
      <c r="H123" t="s">
        <v>185</v>
      </c>
    </row>
    <row r="124" spans="1:8" x14ac:dyDescent="0.25">
      <c r="A124" t="s">
        <v>425</v>
      </c>
      <c r="B124">
        <v>3544</v>
      </c>
      <c r="C124" t="s">
        <v>236</v>
      </c>
      <c r="D124" t="s">
        <v>461</v>
      </c>
      <c r="E124" t="s">
        <v>185</v>
      </c>
      <c r="F124" t="s">
        <v>331</v>
      </c>
      <c r="G124" t="s">
        <v>329</v>
      </c>
      <c r="H124" t="s">
        <v>185</v>
      </c>
    </row>
    <row r="125" spans="1:8" x14ac:dyDescent="0.25">
      <c r="A125" t="s">
        <v>425</v>
      </c>
      <c r="B125">
        <v>3545</v>
      </c>
      <c r="C125" t="s">
        <v>236</v>
      </c>
      <c r="D125" t="s">
        <v>185</v>
      </c>
      <c r="E125" t="s">
        <v>462</v>
      </c>
      <c r="F125" t="s">
        <v>328</v>
      </c>
      <c r="G125" t="s">
        <v>329</v>
      </c>
      <c r="H125" t="s">
        <v>185</v>
      </c>
    </row>
    <row r="126" spans="1:8" x14ac:dyDescent="0.25">
      <c r="A126" t="s">
        <v>434</v>
      </c>
      <c r="B126">
        <v>3568</v>
      </c>
      <c r="C126" t="s">
        <v>236</v>
      </c>
      <c r="D126" t="s">
        <v>463</v>
      </c>
      <c r="E126" t="s">
        <v>185</v>
      </c>
      <c r="F126" t="s">
        <v>328</v>
      </c>
      <c r="G126" t="s">
        <v>329</v>
      </c>
      <c r="H126" t="s">
        <v>185</v>
      </c>
    </row>
    <row r="127" spans="1:8" x14ac:dyDescent="0.25">
      <c r="A127" t="s">
        <v>434</v>
      </c>
      <c r="B127">
        <v>3571</v>
      </c>
      <c r="C127" t="s">
        <v>236</v>
      </c>
      <c r="D127" t="s">
        <v>464</v>
      </c>
      <c r="E127" t="s">
        <v>185</v>
      </c>
      <c r="F127" t="s">
        <v>328</v>
      </c>
      <c r="G127" t="s">
        <v>329</v>
      </c>
      <c r="H127" t="s">
        <v>185</v>
      </c>
    </row>
    <row r="128" spans="1:8" x14ac:dyDescent="0.25">
      <c r="A128" t="s">
        <v>395</v>
      </c>
      <c r="B128">
        <v>3651</v>
      </c>
      <c r="C128" t="s">
        <v>236</v>
      </c>
      <c r="D128" t="s">
        <v>465</v>
      </c>
      <c r="E128" t="s">
        <v>185</v>
      </c>
      <c r="F128" t="s">
        <v>328</v>
      </c>
      <c r="G128" t="s">
        <v>329</v>
      </c>
      <c r="H128" t="s">
        <v>185</v>
      </c>
    </row>
    <row r="129" spans="1:8" x14ac:dyDescent="0.25">
      <c r="A129" t="s">
        <v>72</v>
      </c>
      <c r="B129">
        <v>3680</v>
      </c>
      <c r="C129" t="s">
        <v>236</v>
      </c>
      <c r="D129" t="s">
        <v>466</v>
      </c>
      <c r="E129" t="s">
        <v>185</v>
      </c>
      <c r="F129" t="s">
        <v>328</v>
      </c>
      <c r="G129" t="s">
        <v>329</v>
      </c>
      <c r="H129" t="s">
        <v>185</v>
      </c>
    </row>
    <row r="130" spans="1:8" x14ac:dyDescent="0.25">
      <c r="A130" t="s">
        <v>434</v>
      </c>
      <c r="B130">
        <v>3690</v>
      </c>
      <c r="C130" t="s">
        <v>236</v>
      </c>
      <c r="D130" t="s">
        <v>467</v>
      </c>
      <c r="E130" t="s">
        <v>185</v>
      </c>
      <c r="F130" t="s">
        <v>328</v>
      </c>
      <c r="G130" t="s">
        <v>329</v>
      </c>
      <c r="H130" t="s">
        <v>185</v>
      </c>
    </row>
    <row r="131" spans="1:8" x14ac:dyDescent="0.25">
      <c r="A131" t="s">
        <v>468</v>
      </c>
      <c r="B131">
        <v>3691</v>
      </c>
      <c r="C131" t="s">
        <v>236</v>
      </c>
      <c r="D131" t="s">
        <v>469</v>
      </c>
      <c r="E131" t="s">
        <v>185</v>
      </c>
      <c r="F131" t="s">
        <v>328</v>
      </c>
      <c r="G131" t="s">
        <v>329</v>
      </c>
      <c r="H131" t="s">
        <v>185</v>
      </c>
    </row>
    <row r="132" spans="1:8" x14ac:dyDescent="0.25">
      <c r="A132" t="s">
        <v>434</v>
      </c>
      <c r="B132">
        <v>3743</v>
      </c>
      <c r="C132" t="s">
        <v>236</v>
      </c>
      <c r="D132" t="s">
        <v>470</v>
      </c>
      <c r="E132" t="s">
        <v>185</v>
      </c>
      <c r="F132" t="s">
        <v>411</v>
      </c>
      <c r="G132" t="s">
        <v>329</v>
      </c>
      <c r="H132" t="s">
        <v>185</v>
      </c>
    </row>
    <row r="133" spans="1:8" x14ac:dyDescent="0.25">
      <c r="A133" t="s">
        <v>471</v>
      </c>
      <c r="B133">
        <v>3744</v>
      </c>
      <c r="C133" t="s">
        <v>236</v>
      </c>
      <c r="D133" t="s">
        <v>472</v>
      </c>
      <c r="E133" t="s">
        <v>185</v>
      </c>
      <c r="F133" t="s">
        <v>328</v>
      </c>
      <c r="G133" t="s">
        <v>329</v>
      </c>
      <c r="H133" t="s">
        <v>185</v>
      </c>
    </row>
    <row r="134" spans="1:8" x14ac:dyDescent="0.25">
      <c r="A134" t="s">
        <v>471</v>
      </c>
      <c r="B134">
        <v>3745</v>
      </c>
      <c r="C134" t="s">
        <v>236</v>
      </c>
      <c r="D134" t="s">
        <v>473</v>
      </c>
      <c r="E134" t="s">
        <v>185</v>
      </c>
      <c r="F134" t="s">
        <v>474</v>
      </c>
      <c r="G134" t="s">
        <v>329</v>
      </c>
      <c r="H134" t="s">
        <v>185</v>
      </c>
    </row>
    <row r="135" spans="1:8" x14ac:dyDescent="0.25">
      <c r="A135" t="s">
        <v>471</v>
      </c>
      <c r="B135">
        <v>3746</v>
      </c>
      <c r="C135" t="s">
        <v>236</v>
      </c>
      <c r="D135" t="s">
        <v>475</v>
      </c>
      <c r="E135" t="s">
        <v>185</v>
      </c>
      <c r="F135" t="s">
        <v>328</v>
      </c>
      <c r="G135" t="s">
        <v>329</v>
      </c>
      <c r="H135" t="s">
        <v>185</v>
      </c>
    </row>
    <row r="136" spans="1:8" x14ac:dyDescent="0.25">
      <c r="A136" t="s">
        <v>468</v>
      </c>
      <c r="B136">
        <v>3816</v>
      </c>
      <c r="C136" t="s">
        <v>236</v>
      </c>
      <c r="D136" t="s">
        <v>476</v>
      </c>
      <c r="E136" t="s">
        <v>185</v>
      </c>
      <c r="F136" t="s">
        <v>328</v>
      </c>
      <c r="G136" t="s">
        <v>329</v>
      </c>
      <c r="H136" t="s">
        <v>185</v>
      </c>
    </row>
    <row r="137" spans="1:8" x14ac:dyDescent="0.25">
      <c r="A137" t="s">
        <v>434</v>
      </c>
      <c r="B137">
        <v>3831</v>
      </c>
      <c r="C137" t="s">
        <v>236</v>
      </c>
      <c r="D137" t="s">
        <v>477</v>
      </c>
      <c r="E137" t="s">
        <v>185</v>
      </c>
      <c r="F137" t="s">
        <v>328</v>
      </c>
      <c r="G137" t="s">
        <v>329</v>
      </c>
      <c r="H137" t="s">
        <v>185</v>
      </c>
    </row>
    <row r="138" spans="1:8" x14ac:dyDescent="0.25">
      <c r="A138" t="s">
        <v>48</v>
      </c>
      <c r="B138">
        <v>3833</v>
      </c>
      <c r="C138" t="s">
        <v>236</v>
      </c>
      <c r="D138" t="s">
        <v>478</v>
      </c>
      <c r="E138" t="s">
        <v>185</v>
      </c>
      <c r="F138" t="s">
        <v>328</v>
      </c>
      <c r="G138" t="s">
        <v>329</v>
      </c>
      <c r="H138" t="s">
        <v>185</v>
      </c>
    </row>
    <row r="139" spans="1:8" x14ac:dyDescent="0.25">
      <c r="A139" t="s">
        <v>55</v>
      </c>
      <c r="B139">
        <v>3837</v>
      </c>
      <c r="C139" t="s">
        <v>236</v>
      </c>
      <c r="D139" t="s">
        <v>479</v>
      </c>
      <c r="E139" t="s">
        <v>185</v>
      </c>
      <c r="F139" t="s">
        <v>328</v>
      </c>
      <c r="G139" t="s">
        <v>329</v>
      </c>
      <c r="H139" t="s">
        <v>185</v>
      </c>
    </row>
    <row r="140" spans="1:8" x14ac:dyDescent="0.25">
      <c r="A140" t="s">
        <v>94</v>
      </c>
      <c r="B140">
        <v>3887</v>
      </c>
      <c r="C140" t="s">
        <v>236</v>
      </c>
      <c r="D140" t="s">
        <v>480</v>
      </c>
      <c r="E140" t="s">
        <v>185</v>
      </c>
      <c r="F140" t="s">
        <v>334</v>
      </c>
      <c r="G140" t="s">
        <v>329</v>
      </c>
      <c r="H140" t="s">
        <v>414</v>
      </c>
    </row>
    <row r="141" spans="1:8" x14ac:dyDescent="0.25">
      <c r="A141" t="s">
        <v>409</v>
      </c>
      <c r="B141">
        <v>3908</v>
      </c>
      <c r="C141" t="s">
        <v>236</v>
      </c>
      <c r="D141" t="s">
        <v>481</v>
      </c>
      <c r="E141" t="s">
        <v>185</v>
      </c>
      <c r="F141" t="s">
        <v>328</v>
      </c>
      <c r="G141" t="s">
        <v>329</v>
      </c>
      <c r="H141" t="s">
        <v>185</v>
      </c>
    </row>
    <row r="142" spans="1:8" x14ac:dyDescent="0.25">
      <c r="A142" t="s">
        <v>351</v>
      </c>
      <c r="B142">
        <v>3922</v>
      </c>
      <c r="C142" t="s">
        <v>236</v>
      </c>
      <c r="D142" t="s">
        <v>482</v>
      </c>
      <c r="E142" t="s">
        <v>185</v>
      </c>
      <c r="F142" t="s">
        <v>328</v>
      </c>
      <c r="G142" t="s">
        <v>329</v>
      </c>
      <c r="H142" t="s">
        <v>185</v>
      </c>
    </row>
    <row r="143" spans="1:8" x14ac:dyDescent="0.25">
      <c r="A143" t="s">
        <v>351</v>
      </c>
      <c r="B143">
        <v>3951</v>
      </c>
      <c r="C143" t="s">
        <v>236</v>
      </c>
      <c r="D143" t="s">
        <v>483</v>
      </c>
      <c r="E143" t="s">
        <v>185</v>
      </c>
      <c r="F143" t="s">
        <v>328</v>
      </c>
      <c r="G143" t="s">
        <v>329</v>
      </c>
      <c r="H143" t="s">
        <v>185</v>
      </c>
    </row>
    <row r="144" spans="1:8" x14ac:dyDescent="0.25">
      <c r="A144" t="s">
        <v>48</v>
      </c>
      <c r="B144">
        <v>4008</v>
      </c>
      <c r="C144" t="s">
        <v>236</v>
      </c>
      <c r="D144" t="s">
        <v>484</v>
      </c>
      <c r="E144" t="s">
        <v>185</v>
      </c>
      <c r="F144" t="s">
        <v>328</v>
      </c>
      <c r="G144" t="s">
        <v>329</v>
      </c>
      <c r="H144" t="s">
        <v>185</v>
      </c>
    </row>
    <row r="145" spans="1:8" x14ac:dyDescent="0.25">
      <c r="A145" t="s">
        <v>72</v>
      </c>
      <c r="B145">
        <v>4031</v>
      </c>
      <c r="C145" t="s">
        <v>236</v>
      </c>
      <c r="D145" t="s">
        <v>485</v>
      </c>
      <c r="E145" t="s">
        <v>185</v>
      </c>
      <c r="F145" t="s">
        <v>328</v>
      </c>
      <c r="G145" t="s">
        <v>329</v>
      </c>
      <c r="H145" t="s">
        <v>185</v>
      </c>
    </row>
    <row r="146" spans="1:8" x14ac:dyDescent="0.25">
      <c r="A146" t="s">
        <v>72</v>
      </c>
      <c r="B146">
        <v>4034</v>
      </c>
      <c r="C146" t="s">
        <v>236</v>
      </c>
      <c r="D146" t="s">
        <v>486</v>
      </c>
      <c r="E146" t="s">
        <v>185</v>
      </c>
      <c r="F146" t="s">
        <v>328</v>
      </c>
      <c r="G146" t="s">
        <v>329</v>
      </c>
      <c r="H146" t="s">
        <v>185</v>
      </c>
    </row>
    <row r="147" spans="1:8" x14ac:dyDescent="0.25">
      <c r="A147" t="s">
        <v>72</v>
      </c>
      <c r="B147">
        <v>4037</v>
      </c>
      <c r="C147" t="s">
        <v>236</v>
      </c>
      <c r="D147" t="s">
        <v>487</v>
      </c>
      <c r="E147" t="s">
        <v>185</v>
      </c>
      <c r="F147" t="s">
        <v>328</v>
      </c>
      <c r="G147" t="s">
        <v>329</v>
      </c>
      <c r="H147" t="s">
        <v>185</v>
      </c>
    </row>
    <row r="148" spans="1:8" x14ac:dyDescent="0.25">
      <c r="A148" t="s">
        <v>468</v>
      </c>
      <c r="B148">
        <v>4086</v>
      </c>
      <c r="C148" t="s">
        <v>236</v>
      </c>
      <c r="D148" t="s">
        <v>488</v>
      </c>
      <c r="E148" t="s">
        <v>185</v>
      </c>
      <c r="F148" t="s">
        <v>328</v>
      </c>
      <c r="G148" t="s">
        <v>329</v>
      </c>
      <c r="H148" t="s">
        <v>185</v>
      </c>
    </row>
    <row r="149" spans="1:8" x14ac:dyDescent="0.25">
      <c r="A149" t="s">
        <v>72</v>
      </c>
      <c r="B149">
        <v>4113</v>
      </c>
      <c r="C149" t="s">
        <v>236</v>
      </c>
      <c r="D149" t="s">
        <v>489</v>
      </c>
      <c r="E149" t="s">
        <v>185</v>
      </c>
      <c r="F149" t="s">
        <v>328</v>
      </c>
      <c r="G149" t="s">
        <v>329</v>
      </c>
      <c r="H149" t="s">
        <v>185</v>
      </c>
    </row>
    <row r="150" spans="1:8" x14ac:dyDescent="0.25">
      <c r="A150" t="s">
        <v>375</v>
      </c>
      <c r="B150">
        <v>4139</v>
      </c>
      <c r="C150" t="s">
        <v>236</v>
      </c>
      <c r="D150" t="s">
        <v>490</v>
      </c>
      <c r="E150" t="s">
        <v>185</v>
      </c>
      <c r="F150" t="s">
        <v>377</v>
      </c>
      <c r="G150" t="s">
        <v>297</v>
      </c>
      <c r="H150" t="s">
        <v>185</v>
      </c>
    </row>
    <row r="151" spans="1:8" x14ac:dyDescent="0.25">
      <c r="A151" t="s">
        <v>491</v>
      </c>
      <c r="B151">
        <v>4140</v>
      </c>
      <c r="C151" t="s">
        <v>236</v>
      </c>
      <c r="D151" t="s">
        <v>492</v>
      </c>
      <c r="E151" t="s">
        <v>185</v>
      </c>
      <c r="F151" t="s">
        <v>328</v>
      </c>
      <c r="G151" t="s">
        <v>329</v>
      </c>
      <c r="H151" t="s">
        <v>185</v>
      </c>
    </row>
    <row r="152" spans="1:8" x14ac:dyDescent="0.25">
      <c r="A152" t="s">
        <v>375</v>
      </c>
      <c r="B152">
        <v>4141</v>
      </c>
      <c r="C152" t="s">
        <v>236</v>
      </c>
      <c r="D152" t="s">
        <v>493</v>
      </c>
      <c r="E152" t="s">
        <v>185</v>
      </c>
      <c r="F152" t="s">
        <v>377</v>
      </c>
      <c r="G152" t="s">
        <v>297</v>
      </c>
      <c r="H152" t="s">
        <v>185</v>
      </c>
    </row>
    <row r="153" spans="1:8" x14ac:dyDescent="0.25">
      <c r="A153" t="s">
        <v>434</v>
      </c>
      <c r="B153">
        <v>4190</v>
      </c>
      <c r="C153" t="s">
        <v>236</v>
      </c>
      <c r="D153" t="s">
        <v>494</v>
      </c>
      <c r="E153" t="s">
        <v>185</v>
      </c>
      <c r="F153" t="s">
        <v>411</v>
      </c>
      <c r="G153" t="s">
        <v>329</v>
      </c>
      <c r="H153" t="s">
        <v>185</v>
      </c>
    </row>
    <row r="154" spans="1:8" x14ac:dyDescent="0.25">
      <c r="A154" t="s">
        <v>444</v>
      </c>
      <c r="B154">
        <v>4249</v>
      </c>
      <c r="C154" t="s">
        <v>236</v>
      </c>
      <c r="D154" t="s">
        <v>495</v>
      </c>
      <c r="E154" t="s">
        <v>185</v>
      </c>
      <c r="F154" t="s">
        <v>185</v>
      </c>
      <c r="G154" t="s">
        <v>297</v>
      </c>
      <c r="H154" t="s">
        <v>185</v>
      </c>
    </row>
    <row r="155" spans="1:8" x14ac:dyDescent="0.25">
      <c r="A155" t="s">
        <v>94</v>
      </c>
      <c r="B155">
        <v>4252</v>
      </c>
      <c r="C155" t="s">
        <v>236</v>
      </c>
      <c r="D155" t="s">
        <v>496</v>
      </c>
      <c r="E155" t="s">
        <v>185</v>
      </c>
      <c r="F155" t="s">
        <v>334</v>
      </c>
      <c r="G155" t="s">
        <v>353</v>
      </c>
      <c r="H155" t="s">
        <v>185</v>
      </c>
    </row>
    <row r="156" spans="1:8" x14ac:dyDescent="0.25">
      <c r="A156" t="s">
        <v>497</v>
      </c>
      <c r="B156">
        <v>4327</v>
      </c>
      <c r="C156" t="s">
        <v>236</v>
      </c>
      <c r="D156" t="s">
        <v>498</v>
      </c>
      <c r="E156" t="s">
        <v>185</v>
      </c>
      <c r="F156" t="s">
        <v>328</v>
      </c>
      <c r="G156" t="s">
        <v>329</v>
      </c>
      <c r="H156" t="s">
        <v>364</v>
      </c>
    </row>
    <row r="157" spans="1:8" x14ac:dyDescent="0.25">
      <c r="A157" t="s">
        <v>471</v>
      </c>
      <c r="B157">
        <v>4344</v>
      </c>
      <c r="C157" t="s">
        <v>236</v>
      </c>
      <c r="D157" t="s">
        <v>499</v>
      </c>
      <c r="E157" t="s">
        <v>185</v>
      </c>
      <c r="F157" t="s">
        <v>411</v>
      </c>
      <c r="G157" t="s">
        <v>329</v>
      </c>
      <c r="H157" t="s">
        <v>185</v>
      </c>
    </row>
    <row r="158" spans="1:8" x14ac:dyDescent="0.25">
      <c r="A158" t="s">
        <v>471</v>
      </c>
      <c r="B158">
        <v>4345</v>
      </c>
      <c r="C158" t="s">
        <v>236</v>
      </c>
      <c r="D158" t="s">
        <v>500</v>
      </c>
      <c r="E158" t="s">
        <v>185</v>
      </c>
      <c r="F158" t="s">
        <v>185</v>
      </c>
      <c r="G158" t="s">
        <v>353</v>
      </c>
      <c r="H158" t="s">
        <v>185</v>
      </c>
    </row>
    <row r="159" spans="1:8" x14ac:dyDescent="0.25">
      <c r="A159" t="s">
        <v>471</v>
      </c>
      <c r="B159">
        <v>4346</v>
      </c>
      <c r="C159" t="s">
        <v>236</v>
      </c>
      <c r="D159" t="s">
        <v>501</v>
      </c>
      <c r="E159" t="s">
        <v>185</v>
      </c>
      <c r="F159" t="s">
        <v>411</v>
      </c>
      <c r="G159" t="s">
        <v>329</v>
      </c>
      <c r="H159" t="s">
        <v>185</v>
      </c>
    </row>
    <row r="160" spans="1:8" x14ac:dyDescent="0.25">
      <c r="A160" t="s">
        <v>351</v>
      </c>
      <c r="B160">
        <v>4417</v>
      </c>
      <c r="C160" t="s">
        <v>236</v>
      </c>
      <c r="D160" t="s">
        <v>502</v>
      </c>
      <c r="E160" t="s">
        <v>185</v>
      </c>
      <c r="F160" t="s">
        <v>328</v>
      </c>
      <c r="G160" t="s">
        <v>329</v>
      </c>
      <c r="H160" t="s">
        <v>185</v>
      </c>
    </row>
    <row r="161" spans="1:8" x14ac:dyDescent="0.25">
      <c r="A161" t="s">
        <v>89</v>
      </c>
      <c r="B161">
        <v>4420</v>
      </c>
      <c r="C161" t="s">
        <v>236</v>
      </c>
      <c r="D161" t="s">
        <v>503</v>
      </c>
      <c r="E161" t="s">
        <v>185</v>
      </c>
      <c r="F161" t="s">
        <v>328</v>
      </c>
      <c r="G161" t="s">
        <v>329</v>
      </c>
      <c r="H161" t="s">
        <v>185</v>
      </c>
    </row>
    <row r="162" spans="1:8" x14ac:dyDescent="0.25">
      <c r="A162" t="s">
        <v>89</v>
      </c>
      <c r="B162">
        <v>4421</v>
      </c>
      <c r="C162" t="s">
        <v>236</v>
      </c>
      <c r="D162" t="s">
        <v>504</v>
      </c>
      <c r="E162" t="s">
        <v>185</v>
      </c>
      <c r="F162" t="s">
        <v>328</v>
      </c>
      <c r="G162" t="s">
        <v>329</v>
      </c>
      <c r="H162" t="s">
        <v>185</v>
      </c>
    </row>
    <row r="163" spans="1:8" x14ac:dyDescent="0.25">
      <c r="A163" t="s">
        <v>491</v>
      </c>
      <c r="B163">
        <v>4442</v>
      </c>
      <c r="C163" t="s">
        <v>236</v>
      </c>
      <c r="D163" t="s">
        <v>505</v>
      </c>
      <c r="E163" t="s">
        <v>185</v>
      </c>
      <c r="F163" t="s">
        <v>328</v>
      </c>
      <c r="G163" t="s">
        <v>329</v>
      </c>
      <c r="H163" t="s">
        <v>185</v>
      </c>
    </row>
    <row r="164" spans="1:8" x14ac:dyDescent="0.25">
      <c r="A164" t="s">
        <v>444</v>
      </c>
      <c r="B164">
        <v>4480</v>
      </c>
      <c r="C164" t="s">
        <v>236</v>
      </c>
      <c r="D164" t="s">
        <v>506</v>
      </c>
      <c r="E164" t="s">
        <v>185</v>
      </c>
      <c r="F164" t="s">
        <v>328</v>
      </c>
      <c r="G164" t="s">
        <v>329</v>
      </c>
      <c r="H164" t="s">
        <v>438</v>
      </c>
    </row>
    <row r="165" spans="1:8" x14ac:dyDescent="0.25">
      <c r="A165" t="s">
        <v>425</v>
      </c>
      <c r="B165">
        <v>4553</v>
      </c>
      <c r="C165" t="s">
        <v>236</v>
      </c>
      <c r="D165" t="s">
        <v>507</v>
      </c>
      <c r="E165" t="s">
        <v>185</v>
      </c>
      <c r="F165" t="s">
        <v>328</v>
      </c>
      <c r="G165" t="s">
        <v>329</v>
      </c>
      <c r="H165" t="s">
        <v>185</v>
      </c>
    </row>
    <row r="166" spans="1:8" x14ac:dyDescent="0.25">
      <c r="A166" t="s">
        <v>444</v>
      </c>
      <c r="B166">
        <v>4564</v>
      </c>
      <c r="C166" t="s">
        <v>236</v>
      </c>
      <c r="D166" t="s">
        <v>508</v>
      </c>
      <c r="E166" t="s">
        <v>185</v>
      </c>
      <c r="F166" t="s">
        <v>185</v>
      </c>
      <c r="G166" t="s">
        <v>297</v>
      </c>
      <c r="H166" t="s">
        <v>185</v>
      </c>
    </row>
    <row r="167" spans="1:8" x14ac:dyDescent="0.25">
      <c r="A167" t="s">
        <v>509</v>
      </c>
      <c r="B167">
        <v>4570</v>
      </c>
      <c r="C167" t="s">
        <v>236</v>
      </c>
      <c r="D167" t="s">
        <v>510</v>
      </c>
      <c r="E167" t="s">
        <v>185</v>
      </c>
      <c r="F167" t="s">
        <v>328</v>
      </c>
      <c r="G167" t="s">
        <v>329</v>
      </c>
      <c r="H167" t="s">
        <v>185</v>
      </c>
    </row>
    <row r="168" spans="1:8" x14ac:dyDescent="0.25">
      <c r="A168" t="s">
        <v>511</v>
      </c>
      <c r="B168">
        <v>4576</v>
      </c>
      <c r="C168" t="s">
        <v>236</v>
      </c>
      <c r="D168" t="s">
        <v>512</v>
      </c>
      <c r="E168" t="s">
        <v>185</v>
      </c>
      <c r="F168" t="s">
        <v>328</v>
      </c>
      <c r="G168" t="s">
        <v>329</v>
      </c>
      <c r="H168" t="s">
        <v>185</v>
      </c>
    </row>
    <row r="169" spans="1:8" x14ac:dyDescent="0.25">
      <c r="A169" t="s">
        <v>444</v>
      </c>
      <c r="B169">
        <v>4599</v>
      </c>
      <c r="C169" t="s">
        <v>236</v>
      </c>
      <c r="D169" t="s">
        <v>513</v>
      </c>
      <c r="E169" t="s">
        <v>185</v>
      </c>
      <c r="F169" t="s">
        <v>185</v>
      </c>
      <c r="G169" t="s">
        <v>297</v>
      </c>
      <c r="H169" t="s">
        <v>185</v>
      </c>
    </row>
    <row r="170" spans="1:8" x14ac:dyDescent="0.25">
      <c r="A170" t="s">
        <v>375</v>
      </c>
      <c r="B170">
        <v>4636</v>
      </c>
      <c r="C170" t="s">
        <v>236</v>
      </c>
      <c r="D170" t="s">
        <v>514</v>
      </c>
      <c r="E170" t="s">
        <v>185</v>
      </c>
      <c r="F170" t="s">
        <v>185</v>
      </c>
      <c r="G170" t="s">
        <v>297</v>
      </c>
      <c r="H170" t="s">
        <v>185</v>
      </c>
    </row>
    <row r="171" spans="1:8" x14ac:dyDescent="0.25">
      <c r="A171" t="s">
        <v>444</v>
      </c>
      <c r="B171">
        <v>4637</v>
      </c>
      <c r="C171" t="s">
        <v>236</v>
      </c>
      <c r="D171" t="s">
        <v>494</v>
      </c>
      <c r="E171" t="s">
        <v>185</v>
      </c>
      <c r="F171" t="s">
        <v>411</v>
      </c>
      <c r="G171" t="s">
        <v>369</v>
      </c>
      <c r="H171" t="s">
        <v>185</v>
      </c>
    </row>
    <row r="172" spans="1:8" x14ac:dyDescent="0.25">
      <c r="A172" t="s">
        <v>48</v>
      </c>
      <c r="B172">
        <v>4689</v>
      </c>
      <c r="C172" t="s">
        <v>236</v>
      </c>
      <c r="D172" t="s">
        <v>515</v>
      </c>
      <c r="E172" t="s">
        <v>185</v>
      </c>
      <c r="F172" t="s">
        <v>328</v>
      </c>
      <c r="G172" t="s">
        <v>329</v>
      </c>
      <c r="H172" t="s">
        <v>185</v>
      </c>
    </row>
    <row r="173" spans="1:8" x14ac:dyDescent="0.25">
      <c r="A173" t="s">
        <v>434</v>
      </c>
      <c r="B173">
        <v>4787</v>
      </c>
      <c r="C173" t="s">
        <v>236</v>
      </c>
      <c r="D173" t="s">
        <v>516</v>
      </c>
      <c r="E173" t="s">
        <v>185</v>
      </c>
      <c r="F173" t="s">
        <v>328</v>
      </c>
      <c r="G173" t="s">
        <v>329</v>
      </c>
      <c r="H173" t="s">
        <v>185</v>
      </c>
    </row>
    <row r="174" spans="1:8" x14ac:dyDescent="0.25">
      <c r="A174" t="s">
        <v>72</v>
      </c>
      <c r="B174">
        <v>4799</v>
      </c>
      <c r="C174" t="s">
        <v>236</v>
      </c>
      <c r="D174" t="s">
        <v>517</v>
      </c>
      <c r="E174" t="s">
        <v>185</v>
      </c>
      <c r="F174" t="s">
        <v>331</v>
      </c>
      <c r="G174" t="s">
        <v>329</v>
      </c>
      <c r="H174" t="s">
        <v>185</v>
      </c>
    </row>
    <row r="175" spans="1:8" x14ac:dyDescent="0.25">
      <c r="A175" t="s">
        <v>439</v>
      </c>
      <c r="B175">
        <v>4825</v>
      </c>
      <c r="C175" t="s">
        <v>236</v>
      </c>
      <c r="D175" t="s">
        <v>518</v>
      </c>
      <c r="E175" t="s">
        <v>185</v>
      </c>
      <c r="F175" t="s">
        <v>185</v>
      </c>
      <c r="G175" t="s">
        <v>369</v>
      </c>
      <c r="H175" t="s">
        <v>185</v>
      </c>
    </row>
    <row r="176" spans="1:8" x14ac:dyDescent="0.25">
      <c r="A176" t="s">
        <v>444</v>
      </c>
      <c r="B176">
        <v>4826</v>
      </c>
      <c r="C176" t="s">
        <v>236</v>
      </c>
      <c r="D176" t="s">
        <v>519</v>
      </c>
      <c r="E176" t="s">
        <v>185</v>
      </c>
      <c r="F176" t="s">
        <v>185</v>
      </c>
      <c r="G176" t="s">
        <v>297</v>
      </c>
      <c r="H176" t="s">
        <v>185</v>
      </c>
    </row>
    <row r="177" spans="1:8" x14ac:dyDescent="0.25">
      <c r="A177" t="s">
        <v>444</v>
      </c>
      <c r="B177">
        <v>4827</v>
      </c>
      <c r="C177" t="s">
        <v>236</v>
      </c>
      <c r="D177" t="s">
        <v>520</v>
      </c>
      <c r="E177" t="s">
        <v>185</v>
      </c>
      <c r="F177" t="s">
        <v>185</v>
      </c>
      <c r="G177" t="s">
        <v>297</v>
      </c>
      <c r="H177" t="s">
        <v>185</v>
      </c>
    </row>
    <row r="178" spans="1:8" x14ac:dyDescent="0.25">
      <c r="A178" t="s">
        <v>402</v>
      </c>
      <c r="B178">
        <v>4901</v>
      </c>
      <c r="C178" t="s">
        <v>236</v>
      </c>
      <c r="D178" t="s">
        <v>521</v>
      </c>
      <c r="E178" t="s">
        <v>185</v>
      </c>
      <c r="F178" t="s">
        <v>185</v>
      </c>
      <c r="G178" t="s">
        <v>297</v>
      </c>
      <c r="H178" t="s">
        <v>185</v>
      </c>
    </row>
    <row r="179" spans="1:8" x14ac:dyDescent="0.25">
      <c r="A179" t="s">
        <v>375</v>
      </c>
      <c r="B179">
        <v>4912</v>
      </c>
      <c r="C179" t="s">
        <v>236</v>
      </c>
      <c r="D179" t="s">
        <v>522</v>
      </c>
      <c r="E179" t="s">
        <v>185</v>
      </c>
      <c r="F179" t="s">
        <v>377</v>
      </c>
      <c r="G179" t="s">
        <v>297</v>
      </c>
      <c r="H179" t="s">
        <v>185</v>
      </c>
    </row>
    <row r="180" spans="1:8" x14ac:dyDescent="0.25">
      <c r="A180" t="s">
        <v>423</v>
      </c>
      <c r="B180">
        <v>4920</v>
      </c>
      <c r="C180" t="s">
        <v>236</v>
      </c>
      <c r="D180" t="s">
        <v>523</v>
      </c>
      <c r="E180" t="s">
        <v>185</v>
      </c>
      <c r="F180" t="s">
        <v>185</v>
      </c>
      <c r="G180" t="s">
        <v>353</v>
      </c>
      <c r="H180" t="s">
        <v>185</v>
      </c>
    </row>
    <row r="181" spans="1:8" x14ac:dyDescent="0.25">
      <c r="A181" t="s">
        <v>423</v>
      </c>
      <c r="B181">
        <v>4922</v>
      </c>
      <c r="C181" t="s">
        <v>236</v>
      </c>
      <c r="D181" t="s">
        <v>524</v>
      </c>
      <c r="E181" t="s">
        <v>185</v>
      </c>
      <c r="F181" t="s">
        <v>185</v>
      </c>
      <c r="G181" t="s">
        <v>353</v>
      </c>
      <c r="H181" t="s">
        <v>185</v>
      </c>
    </row>
    <row r="182" spans="1:8" x14ac:dyDescent="0.25">
      <c r="A182" t="s">
        <v>471</v>
      </c>
      <c r="B182">
        <v>4933</v>
      </c>
      <c r="C182" t="s">
        <v>236</v>
      </c>
      <c r="D182" t="s">
        <v>525</v>
      </c>
      <c r="E182" t="s">
        <v>185</v>
      </c>
      <c r="F182" t="s">
        <v>328</v>
      </c>
      <c r="G182" t="s">
        <v>329</v>
      </c>
      <c r="H182" t="s">
        <v>185</v>
      </c>
    </row>
    <row r="183" spans="1:8" x14ac:dyDescent="0.25">
      <c r="A183" t="s">
        <v>439</v>
      </c>
      <c r="B183">
        <v>4981</v>
      </c>
      <c r="C183" t="s">
        <v>236</v>
      </c>
      <c r="D183" t="s">
        <v>526</v>
      </c>
      <c r="E183" t="s">
        <v>185</v>
      </c>
      <c r="F183" t="s">
        <v>185</v>
      </c>
      <c r="G183" t="s">
        <v>297</v>
      </c>
      <c r="H183" t="s">
        <v>185</v>
      </c>
    </row>
    <row r="184" spans="1:8" x14ac:dyDescent="0.25">
      <c r="A184" t="s">
        <v>425</v>
      </c>
      <c r="B184">
        <v>4984</v>
      </c>
      <c r="C184" t="s">
        <v>236</v>
      </c>
      <c r="D184" t="s">
        <v>527</v>
      </c>
      <c r="E184" t="s">
        <v>185</v>
      </c>
      <c r="F184" t="s">
        <v>328</v>
      </c>
      <c r="G184" t="s">
        <v>329</v>
      </c>
      <c r="H184" t="s">
        <v>185</v>
      </c>
    </row>
    <row r="185" spans="1:8" x14ac:dyDescent="0.25">
      <c r="A185" t="s">
        <v>528</v>
      </c>
      <c r="B185">
        <v>4996</v>
      </c>
      <c r="C185" t="s">
        <v>236</v>
      </c>
      <c r="D185" t="s">
        <v>529</v>
      </c>
      <c r="E185" t="s">
        <v>185</v>
      </c>
      <c r="F185" t="s">
        <v>328</v>
      </c>
      <c r="G185" t="s">
        <v>329</v>
      </c>
      <c r="H185" t="s">
        <v>185</v>
      </c>
    </row>
    <row r="186" spans="1:8" x14ac:dyDescent="0.25">
      <c r="A186" t="s">
        <v>530</v>
      </c>
      <c r="B186">
        <v>5093</v>
      </c>
      <c r="C186" t="s">
        <v>236</v>
      </c>
      <c r="D186" t="s">
        <v>531</v>
      </c>
      <c r="E186" t="s">
        <v>185</v>
      </c>
      <c r="F186" t="s">
        <v>328</v>
      </c>
      <c r="G186" t="s">
        <v>329</v>
      </c>
      <c r="H186" t="s">
        <v>532</v>
      </c>
    </row>
    <row r="187" spans="1:8" x14ac:dyDescent="0.25">
      <c r="A187" t="s">
        <v>94</v>
      </c>
      <c r="B187">
        <v>5151</v>
      </c>
      <c r="C187" t="s">
        <v>236</v>
      </c>
      <c r="D187" t="s">
        <v>533</v>
      </c>
      <c r="E187" t="s">
        <v>185</v>
      </c>
      <c r="F187" t="s">
        <v>328</v>
      </c>
      <c r="G187" t="s">
        <v>329</v>
      </c>
      <c r="H187" t="s">
        <v>185</v>
      </c>
    </row>
    <row r="188" spans="1:8" x14ac:dyDescent="0.25">
      <c r="A188" t="s">
        <v>94</v>
      </c>
      <c r="B188">
        <v>5153</v>
      </c>
      <c r="C188" t="s">
        <v>236</v>
      </c>
      <c r="D188" t="s">
        <v>534</v>
      </c>
      <c r="E188" t="s">
        <v>185</v>
      </c>
      <c r="F188" t="s">
        <v>185</v>
      </c>
      <c r="G188" t="s">
        <v>369</v>
      </c>
      <c r="H188" t="s">
        <v>185</v>
      </c>
    </row>
    <row r="189" spans="1:8" x14ac:dyDescent="0.25">
      <c r="A189" t="s">
        <v>94</v>
      </c>
      <c r="B189">
        <v>5154</v>
      </c>
      <c r="C189" t="s">
        <v>236</v>
      </c>
      <c r="D189" t="s">
        <v>535</v>
      </c>
      <c r="E189" t="s">
        <v>185</v>
      </c>
      <c r="F189" t="s">
        <v>328</v>
      </c>
      <c r="G189" t="s">
        <v>329</v>
      </c>
      <c r="H189" t="s">
        <v>185</v>
      </c>
    </row>
    <row r="190" spans="1:8" x14ac:dyDescent="0.25">
      <c r="A190" t="s">
        <v>94</v>
      </c>
      <c r="B190">
        <v>5155</v>
      </c>
      <c r="C190" t="s">
        <v>236</v>
      </c>
      <c r="D190" t="s">
        <v>536</v>
      </c>
      <c r="E190" t="s">
        <v>185</v>
      </c>
      <c r="F190" t="s">
        <v>328</v>
      </c>
      <c r="G190" t="s">
        <v>329</v>
      </c>
      <c r="H190" t="s">
        <v>185</v>
      </c>
    </row>
    <row r="191" spans="1:8" x14ac:dyDescent="0.25">
      <c r="A191" t="s">
        <v>94</v>
      </c>
      <c r="B191">
        <v>5157</v>
      </c>
      <c r="C191" t="s">
        <v>236</v>
      </c>
      <c r="D191" t="s">
        <v>537</v>
      </c>
      <c r="E191" t="s">
        <v>185</v>
      </c>
      <c r="F191" t="s">
        <v>328</v>
      </c>
      <c r="G191" t="s">
        <v>329</v>
      </c>
      <c r="H191" t="s">
        <v>185</v>
      </c>
    </row>
    <row r="192" spans="1:8" x14ac:dyDescent="0.25">
      <c r="A192" t="s">
        <v>94</v>
      </c>
      <c r="B192">
        <v>5158</v>
      </c>
      <c r="C192" t="s">
        <v>236</v>
      </c>
      <c r="D192" t="s">
        <v>538</v>
      </c>
      <c r="E192" t="s">
        <v>185</v>
      </c>
      <c r="F192" t="s">
        <v>185</v>
      </c>
      <c r="G192" t="s">
        <v>353</v>
      </c>
      <c r="H192" t="s">
        <v>438</v>
      </c>
    </row>
    <row r="193" spans="1:8" x14ac:dyDescent="0.25">
      <c r="A193" t="s">
        <v>94</v>
      </c>
      <c r="B193">
        <v>5159</v>
      </c>
      <c r="C193" t="s">
        <v>236</v>
      </c>
      <c r="D193" t="s">
        <v>254</v>
      </c>
      <c r="E193" t="s">
        <v>185</v>
      </c>
      <c r="F193" t="s">
        <v>539</v>
      </c>
      <c r="G193" t="s">
        <v>303</v>
      </c>
      <c r="H193" t="s">
        <v>540</v>
      </c>
    </row>
    <row r="194" spans="1:8" x14ac:dyDescent="0.25">
      <c r="A194" t="s">
        <v>94</v>
      </c>
      <c r="B194">
        <v>5160</v>
      </c>
      <c r="C194" t="s">
        <v>236</v>
      </c>
      <c r="D194" t="s">
        <v>541</v>
      </c>
      <c r="E194" t="s">
        <v>185</v>
      </c>
      <c r="F194" t="s">
        <v>185</v>
      </c>
      <c r="G194" t="s">
        <v>353</v>
      </c>
      <c r="H194" t="s">
        <v>438</v>
      </c>
    </row>
    <row r="195" spans="1:8" x14ac:dyDescent="0.25">
      <c r="A195" t="s">
        <v>351</v>
      </c>
      <c r="B195">
        <v>5198</v>
      </c>
      <c r="C195" t="s">
        <v>236</v>
      </c>
      <c r="D195" t="s">
        <v>542</v>
      </c>
      <c r="E195" t="s">
        <v>185</v>
      </c>
      <c r="F195" t="s">
        <v>328</v>
      </c>
      <c r="G195" t="s">
        <v>329</v>
      </c>
      <c r="H195" t="s">
        <v>543</v>
      </c>
    </row>
    <row r="196" spans="1:8" x14ac:dyDescent="0.25">
      <c r="A196" t="s">
        <v>425</v>
      </c>
      <c r="B196">
        <v>5210</v>
      </c>
      <c r="C196" t="s">
        <v>236</v>
      </c>
      <c r="D196" t="s">
        <v>544</v>
      </c>
      <c r="E196" t="s">
        <v>185</v>
      </c>
      <c r="F196" t="s">
        <v>185</v>
      </c>
      <c r="G196" t="s">
        <v>297</v>
      </c>
      <c r="H196" t="s">
        <v>185</v>
      </c>
    </row>
    <row r="197" spans="1:8" x14ac:dyDescent="0.25">
      <c r="A197" t="s">
        <v>89</v>
      </c>
      <c r="B197">
        <v>5213</v>
      </c>
      <c r="C197" t="s">
        <v>236</v>
      </c>
      <c r="D197" t="s">
        <v>545</v>
      </c>
      <c r="E197" t="s">
        <v>185</v>
      </c>
      <c r="F197" t="s">
        <v>185</v>
      </c>
      <c r="G197" t="s">
        <v>297</v>
      </c>
      <c r="H197" t="s">
        <v>438</v>
      </c>
    </row>
    <row r="198" spans="1:8" x14ac:dyDescent="0.25">
      <c r="A198" t="s">
        <v>409</v>
      </c>
      <c r="B198">
        <v>5216</v>
      </c>
      <c r="C198" t="s">
        <v>236</v>
      </c>
      <c r="D198" t="s">
        <v>546</v>
      </c>
      <c r="E198" t="s">
        <v>185</v>
      </c>
      <c r="F198" t="s">
        <v>185</v>
      </c>
      <c r="G198" t="s">
        <v>353</v>
      </c>
      <c r="H198" t="s">
        <v>547</v>
      </c>
    </row>
    <row r="199" spans="1:8" x14ac:dyDescent="0.25">
      <c r="A199" t="s">
        <v>351</v>
      </c>
      <c r="B199">
        <v>5233</v>
      </c>
      <c r="C199" t="s">
        <v>236</v>
      </c>
      <c r="D199" t="s">
        <v>548</v>
      </c>
      <c r="E199" t="s">
        <v>185</v>
      </c>
      <c r="F199" t="s">
        <v>328</v>
      </c>
      <c r="G199" t="s">
        <v>329</v>
      </c>
      <c r="H199" t="s">
        <v>549</v>
      </c>
    </row>
    <row r="200" spans="1:8" x14ac:dyDescent="0.25">
      <c r="A200" t="s">
        <v>142</v>
      </c>
      <c r="B200">
        <v>5253</v>
      </c>
      <c r="C200" t="s">
        <v>236</v>
      </c>
      <c r="D200" t="s">
        <v>550</v>
      </c>
      <c r="E200" t="s">
        <v>185</v>
      </c>
      <c r="F200" t="s">
        <v>328</v>
      </c>
      <c r="G200" t="s">
        <v>329</v>
      </c>
      <c r="H200" t="s">
        <v>185</v>
      </c>
    </row>
    <row r="201" spans="1:8" x14ac:dyDescent="0.25">
      <c r="A201" t="s">
        <v>142</v>
      </c>
      <c r="B201">
        <v>5256</v>
      </c>
      <c r="C201" t="s">
        <v>236</v>
      </c>
      <c r="D201" t="s">
        <v>551</v>
      </c>
      <c r="E201" t="s">
        <v>185</v>
      </c>
      <c r="F201" t="s">
        <v>328</v>
      </c>
      <c r="G201" t="s">
        <v>329</v>
      </c>
      <c r="H201" t="s">
        <v>185</v>
      </c>
    </row>
    <row r="202" spans="1:8" x14ac:dyDescent="0.25">
      <c r="A202" t="s">
        <v>142</v>
      </c>
      <c r="B202">
        <v>5259</v>
      </c>
      <c r="C202" t="s">
        <v>236</v>
      </c>
      <c r="D202" t="s">
        <v>552</v>
      </c>
      <c r="E202" t="s">
        <v>185</v>
      </c>
      <c r="F202" t="s">
        <v>328</v>
      </c>
      <c r="G202" t="s">
        <v>329</v>
      </c>
      <c r="H202" t="s">
        <v>185</v>
      </c>
    </row>
    <row r="203" spans="1:8" x14ac:dyDescent="0.25">
      <c r="A203" t="s">
        <v>553</v>
      </c>
      <c r="B203">
        <v>5316</v>
      </c>
      <c r="C203" t="s">
        <v>236</v>
      </c>
      <c r="D203" t="s">
        <v>554</v>
      </c>
      <c r="E203" t="s">
        <v>185</v>
      </c>
      <c r="F203" t="s">
        <v>185</v>
      </c>
      <c r="G203" t="s">
        <v>297</v>
      </c>
      <c r="H203" t="s">
        <v>185</v>
      </c>
    </row>
    <row r="204" spans="1:8" x14ac:dyDescent="0.25">
      <c r="A204" t="s">
        <v>409</v>
      </c>
      <c r="B204">
        <v>5317</v>
      </c>
      <c r="C204" t="s">
        <v>236</v>
      </c>
      <c r="D204" t="s">
        <v>555</v>
      </c>
      <c r="E204" t="s">
        <v>185</v>
      </c>
      <c r="F204" t="s">
        <v>185</v>
      </c>
      <c r="G204" t="s">
        <v>353</v>
      </c>
      <c r="H204" t="s">
        <v>185</v>
      </c>
    </row>
    <row r="205" spans="1:8" x14ac:dyDescent="0.25">
      <c r="A205" t="s">
        <v>326</v>
      </c>
      <c r="B205">
        <v>5325</v>
      </c>
      <c r="C205" t="s">
        <v>236</v>
      </c>
      <c r="D205" t="s">
        <v>556</v>
      </c>
      <c r="E205" t="s">
        <v>185</v>
      </c>
      <c r="F205" t="s">
        <v>185</v>
      </c>
      <c r="G205" t="s">
        <v>369</v>
      </c>
      <c r="H205" t="s">
        <v>185</v>
      </c>
    </row>
    <row r="206" spans="1:8" x14ac:dyDescent="0.25">
      <c r="A206" t="s">
        <v>444</v>
      </c>
      <c r="B206">
        <v>5350</v>
      </c>
      <c r="C206" t="s">
        <v>236</v>
      </c>
      <c r="D206" t="s">
        <v>557</v>
      </c>
      <c r="E206" t="s">
        <v>185</v>
      </c>
      <c r="F206" t="s">
        <v>328</v>
      </c>
      <c r="G206" t="s">
        <v>329</v>
      </c>
      <c r="H206" t="s">
        <v>185</v>
      </c>
    </row>
    <row r="207" spans="1:8" x14ac:dyDescent="0.25">
      <c r="A207" t="s">
        <v>124</v>
      </c>
      <c r="B207">
        <v>5355</v>
      </c>
      <c r="C207" t="s">
        <v>236</v>
      </c>
      <c r="D207" t="s">
        <v>558</v>
      </c>
      <c r="E207" t="s">
        <v>185</v>
      </c>
      <c r="F207" t="s">
        <v>328</v>
      </c>
      <c r="G207" t="s">
        <v>303</v>
      </c>
      <c r="H207" t="s">
        <v>540</v>
      </c>
    </row>
    <row r="208" spans="1:8" x14ac:dyDescent="0.25">
      <c r="A208" t="s">
        <v>137</v>
      </c>
      <c r="B208">
        <v>5358</v>
      </c>
      <c r="C208" t="s">
        <v>236</v>
      </c>
      <c r="D208" t="s">
        <v>559</v>
      </c>
      <c r="E208" t="s">
        <v>185</v>
      </c>
      <c r="F208" t="s">
        <v>328</v>
      </c>
      <c r="G208" t="s">
        <v>329</v>
      </c>
      <c r="H208" t="s">
        <v>185</v>
      </c>
    </row>
    <row r="209" spans="1:8" x14ac:dyDescent="0.25">
      <c r="A209" t="s">
        <v>351</v>
      </c>
      <c r="B209">
        <v>5365</v>
      </c>
      <c r="C209" t="s">
        <v>236</v>
      </c>
      <c r="D209" t="s">
        <v>560</v>
      </c>
      <c r="E209" t="s">
        <v>185</v>
      </c>
      <c r="F209" t="s">
        <v>328</v>
      </c>
      <c r="G209" t="s">
        <v>329</v>
      </c>
      <c r="H209" t="s">
        <v>185</v>
      </c>
    </row>
    <row r="210" spans="1:8" x14ac:dyDescent="0.25">
      <c r="A210" t="s">
        <v>444</v>
      </c>
      <c r="B210">
        <v>5416</v>
      </c>
      <c r="C210" t="s">
        <v>236</v>
      </c>
      <c r="D210" t="s">
        <v>561</v>
      </c>
      <c r="E210" t="s">
        <v>185</v>
      </c>
      <c r="F210" t="s">
        <v>562</v>
      </c>
      <c r="G210" t="s">
        <v>329</v>
      </c>
      <c r="H210" t="s">
        <v>185</v>
      </c>
    </row>
    <row r="211" spans="1:8" x14ac:dyDescent="0.25">
      <c r="A211" t="s">
        <v>124</v>
      </c>
      <c r="B211">
        <v>5424</v>
      </c>
      <c r="C211" t="s">
        <v>236</v>
      </c>
      <c r="D211" t="s">
        <v>563</v>
      </c>
      <c r="E211" t="s">
        <v>185</v>
      </c>
      <c r="F211" t="s">
        <v>328</v>
      </c>
      <c r="G211" t="s">
        <v>329</v>
      </c>
      <c r="H211" t="s">
        <v>185</v>
      </c>
    </row>
    <row r="212" spans="1:8" x14ac:dyDescent="0.25">
      <c r="A212" t="s">
        <v>72</v>
      </c>
      <c r="B212">
        <v>5428</v>
      </c>
      <c r="C212" t="s">
        <v>236</v>
      </c>
      <c r="D212" t="s">
        <v>564</v>
      </c>
      <c r="E212" t="s">
        <v>185</v>
      </c>
      <c r="F212" t="s">
        <v>185</v>
      </c>
      <c r="G212" t="s">
        <v>297</v>
      </c>
      <c r="H212" t="s">
        <v>185</v>
      </c>
    </row>
    <row r="213" spans="1:8" x14ac:dyDescent="0.25">
      <c r="A213" t="s">
        <v>351</v>
      </c>
      <c r="B213">
        <v>5435</v>
      </c>
      <c r="C213" t="s">
        <v>236</v>
      </c>
      <c r="D213" t="s">
        <v>565</v>
      </c>
      <c r="E213" t="s">
        <v>185</v>
      </c>
      <c r="F213" t="s">
        <v>328</v>
      </c>
      <c r="G213" t="s">
        <v>329</v>
      </c>
      <c r="H213" t="s">
        <v>185</v>
      </c>
    </row>
    <row r="214" spans="1:8" x14ac:dyDescent="0.25">
      <c r="A214" t="s">
        <v>351</v>
      </c>
      <c r="B214">
        <v>5504</v>
      </c>
      <c r="C214" t="s">
        <v>236</v>
      </c>
      <c r="D214" t="s">
        <v>566</v>
      </c>
      <c r="E214" t="s">
        <v>185</v>
      </c>
      <c r="F214" t="s">
        <v>328</v>
      </c>
      <c r="G214" t="s">
        <v>329</v>
      </c>
      <c r="H214" t="s">
        <v>185</v>
      </c>
    </row>
    <row r="215" spans="1:8" x14ac:dyDescent="0.25">
      <c r="A215" t="s">
        <v>351</v>
      </c>
      <c r="B215">
        <v>5505</v>
      </c>
      <c r="C215" t="s">
        <v>236</v>
      </c>
      <c r="D215" t="s">
        <v>567</v>
      </c>
      <c r="E215" t="s">
        <v>185</v>
      </c>
      <c r="F215" t="s">
        <v>328</v>
      </c>
      <c r="G215" t="s">
        <v>329</v>
      </c>
      <c r="H215" t="s">
        <v>185</v>
      </c>
    </row>
    <row r="216" spans="1:8" x14ac:dyDescent="0.25">
      <c r="A216" t="s">
        <v>351</v>
      </c>
      <c r="B216">
        <v>5550</v>
      </c>
      <c r="C216" t="s">
        <v>236</v>
      </c>
      <c r="D216" t="s">
        <v>568</v>
      </c>
      <c r="E216" t="s">
        <v>185</v>
      </c>
      <c r="F216" t="s">
        <v>328</v>
      </c>
      <c r="G216" t="s">
        <v>329</v>
      </c>
      <c r="H216" t="s">
        <v>185</v>
      </c>
    </row>
    <row r="217" spans="1:8" x14ac:dyDescent="0.25">
      <c r="A217" t="s">
        <v>72</v>
      </c>
      <c r="B217">
        <v>5588</v>
      </c>
      <c r="C217" t="s">
        <v>236</v>
      </c>
      <c r="D217" t="s">
        <v>569</v>
      </c>
      <c r="E217" t="s">
        <v>185</v>
      </c>
      <c r="F217" t="s">
        <v>185</v>
      </c>
      <c r="G217" t="s">
        <v>297</v>
      </c>
      <c r="H217" t="s">
        <v>185</v>
      </c>
    </row>
    <row r="218" spans="1:8" x14ac:dyDescent="0.25">
      <c r="A218" t="s">
        <v>351</v>
      </c>
      <c r="B218">
        <v>5648</v>
      </c>
      <c r="C218" t="s">
        <v>236</v>
      </c>
      <c r="D218" t="s">
        <v>570</v>
      </c>
      <c r="E218" t="s">
        <v>185</v>
      </c>
      <c r="F218" t="s">
        <v>328</v>
      </c>
      <c r="G218" t="s">
        <v>329</v>
      </c>
      <c r="H218" t="s">
        <v>185</v>
      </c>
    </row>
    <row r="219" spans="1:8" x14ac:dyDescent="0.25">
      <c r="A219" t="s">
        <v>48</v>
      </c>
      <c r="B219">
        <v>5684</v>
      </c>
      <c r="C219" t="s">
        <v>236</v>
      </c>
      <c r="D219" t="s">
        <v>571</v>
      </c>
      <c r="E219" t="s">
        <v>185</v>
      </c>
      <c r="F219" t="s">
        <v>328</v>
      </c>
      <c r="G219" t="s">
        <v>329</v>
      </c>
      <c r="H219" t="s">
        <v>185</v>
      </c>
    </row>
    <row r="220" spans="1:8" x14ac:dyDescent="0.25">
      <c r="A220" t="s">
        <v>509</v>
      </c>
      <c r="B220">
        <v>5691</v>
      </c>
      <c r="C220" t="s">
        <v>236</v>
      </c>
      <c r="D220" t="s">
        <v>572</v>
      </c>
      <c r="E220" t="s">
        <v>185</v>
      </c>
      <c r="F220" t="s">
        <v>328</v>
      </c>
      <c r="G220" t="s">
        <v>329</v>
      </c>
      <c r="H220" t="s">
        <v>185</v>
      </c>
    </row>
    <row r="221" spans="1:8" x14ac:dyDescent="0.25">
      <c r="A221" t="s">
        <v>375</v>
      </c>
      <c r="B221">
        <v>5717</v>
      </c>
      <c r="C221" t="s">
        <v>236</v>
      </c>
      <c r="D221" t="s">
        <v>573</v>
      </c>
      <c r="E221" t="s">
        <v>185</v>
      </c>
      <c r="F221" t="s">
        <v>377</v>
      </c>
      <c r="G221" t="s">
        <v>297</v>
      </c>
      <c r="H221" t="s">
        <v>185</v>
      </c>
    </row>
    <row r="222" spans="1:8" x14ac:dyDescent="0.25">
      <c r="A222" t="s">
        <v>142</v>
      </c>
      <c r="B222">
        <v>5734</v>
      </c>
      <c r="C222" t="s">
        <v>236</v>
      </c>
      <c r="D222" t="s">
        <v>574</v>
      </c>
      <c r="E222" t="s">
        <v>185</v>
      </c>
      <c r="F222" t="s">
        <v>328</v>
      </c>
      <c r="G222" t="s">
        <v>329</v>
      </c>
      <c r="H222" t="s">
        <v>185</v>
      </c>
    </row>
    <row r="223" spans="1:8" x14ac:dyDescent="0.25">
      <c r="A223" t="s">
        <v>425</v>
      </c>
      <c r="B223">
        <v>5744</v>
      </c>
      <c r="C223" t="s">
        <v>236</v>
      </c>
      <c r="D223" t="s">
        <v>575</v>
      </c>
      <c r="E223" t="s">
        <v>185</v>
      </c>
      <c r="F223" t="s">
        <v>328</v>
      </c>
      <c r="G223" t="s">
        <v>329</v>
      </c>
      <c r="H223" t="s">
        <v>185</v>
      </c>
    </row>
    <row r="224" spans="1:8" x14ac:dyDescent="0.25">
      <c r="A224" t="s">
        <v>425</v>
      </c>
      <c r="B224">
        <v>5751</v>
      </c>
      <c r="C224" t="s">
        <v>236</v>
      </c>
      <c r="D224" t="s">
        <v>576</v>
      </c>
      <c r="E224" t="s">
        <v>185</v>
      </c>
      <c r="F224" t="s">
        <v>328</v>
      </c>
      <c r="G224" t="s">
        <v>329</v>
      </c>
      <c r="H224" t="s">
        <v>185</v>
      </c>
    </row>
    <row r="225" spans="1:8" x14ac:dyDescent="0.25">
      <c r="A225" t="s">
        <v>375</v>
      </c>
      <c r="B225">
        <v>5830</v>
      </c>
      <c r="C225" t="s">
        <v>236</v>
      </c>
      <c r="D225" t="s">
        <v>577</v>
      </c>
      <c r="E225" t="s">
        <v>185</v>
      </c>
      <c r="F225" t="s">
        <v>377</v>
      </c>
      <c r="G225" t="s">
        <v>297</v>
      </c>
      <c r="H225" t="s">
        <v>185</v>
      </c>
    </row>
    <row r="226" spans="1:8" x14ac:dyDescent="0.25">
      <c r="A226" t="s">
        <v>509</v>
      </c>
      <c r="B226">
        <v>5831</v>
      </c>
      <c r="C226" t="s">
        <v>236</v>
      </c>
      <c r="D226" t="s">
        <v>578</v>
      </c>
      <c r="E226" t="s">
        <v>185</v>
      </c>
      <c r="F226" t="s">
        <v>328</v>
      </c>
      <c r="G226" t="s">
        <v>329</v>
      </c>
      <c r="H226" t="s">
        <v>185</v>
      </c>
    </row>
    <row r="227" spans="1:8" x14ac:dyDescent="0.25">
      <c r="A227" t="s">
        <v>72</v>
      </c>
      <c r="B227">
        <v>5840</v>
      </c>
      <c r="C227" t="s">
        <v>236</v>
      </c>
      <c r="D227" t="s">
        <v>579</v>
      </c>
      <c r="E227" t="s">
        <v>185</v>
      </c>
      <c r="F227" t="s">
        <v>328</v>
      </c>
      <c r="G227" t="s">
        <v>329</v>
      </c>
      <c r="H227" t="s">
        <v>185</v>
      </c>
    </row>
    <row r="228" spans="1:8" x14ac:dyDescent="0.25">
      <c r="A228" t="s">
        <v>142</v>
      </c>
      <c r="B228">
        <v>5907</v>
      </c>
      <c r="C228" t="s">
        <v>236</v>
      </c>
      <c r="D228" t="s">
        <v>580</v>
      </c>
      <c r="E228" t="s">
        <v>185</v>
      </c>
      <c r="F228" t="s">
        <v>328</v>
      </c>
      <c r="G228" t="s">
        <v>329</v>
      </c>
      <c r="H228" t="s">
        <v>185</v>
      </c>
    </row>
    <row r="229" spans="1:8" x14ac:dyDescent="0.25">
      <c r="A229" t="s">
        <v>351</v>
      </c>
      <c r="B229">
        <v>5926</v>
      </c>
      <c r="C229" t="s">
        <v>236</v>
      </c>
      <c r="D229" t="s">
        <v>581</v>
      </c>
      <c r="E229" t="s">
        <v>185</v>
      </c>
      <c r="F229" t="s">
        <v>185</v>
      </c>
      <c r="G229" t="s">
        <v>297</v>
      </c>
      <c r="H229" t="s">
        <v>185</v>
      </c>
    </row>
    <row r="230" spans="1:8" x14ac:dyDescent="0.25">
      <c r="A230" t="s">
        <v>351</v>
      </c>
      <c r="B230">
        <v>5927</v>
      </c>
      <c r="C230" t="s">
        <v>236</v>
      </c>
      <c r="D230" t="s">
        <v>558</v>
      </c>
      <c r="E230" t="s">
        <v>185</v>
      </c>
      <c r="F230" t="s">
        <v>328</v>
      </c>
      <c r="G230" t="s">
        <v>303</v>
      </c>
      <c r="H230" t="s">
        <v>185</v>
      </c>
    </row>
    <row r="231" spans="1:8" x14ac:dyDescent="0.25">
      <c r="A231" t="s">
        <v>444</v>
      </c>
      <c r="B231">
        <v>5984</v>
      </c>
      <c r="C231" t="s">
        <v>236</v>
      </c>
      <c r="D231" t="s">
        <v>582</v>
      </c>
      <c r="E231" t="s">
        <v>185</v>
      </c>
      <c r="F231" t="s">
        <v>328</v>
      </c>
      <c r="G231" t="s">
        <v>329</v>
      </c>
      <c r="H231" t="s">
        <v>185</v>
      </c>
    </row>
    <row r="232" spans="1:8" x14ac:dyDescent="0.25">
      <c r="A232" t="s">
        <v>48</v>
      </c>
      <c r="B232">
        <v>6476</v>
      </c>
      <c r="C232" t="s">
        <v>236</v>
      </c>
      <c r="D232" t="s">
        <v>583</v>
      </c>
      <c r="E232" t="s">
        <v>185</v>
      </c>
      <c r="F232" t="s">
        <v>328</v>
      </c>
      <c r="G232" t="s">
        <v>329</v>
      </c>
      <c r="H232" t="s">
        <v>584</v>
      </c>
    </row>
    <row r="233" spans="1:8" x14ac:dyDescent="0.25">
      <c r="A233" t="s">
        <v>425</v>
      </c>
      <c r="B233">
        <v>6479</v>
      </c>
      <c r="C233" t="s">
        <v>236</v>
      </c>
      <c r="D233" t="s">
        <v>585</v>
      </c>
      <c r="E233" t="s">
        <v>185</v>
      </c>
      <c r="F233" t="s">
        <v>328</v>
      </c>
      <c r="G233" t="s">
        <v>329</v>
      </c>
      <c r="H233" t="s">
        <v>438</v>
      </c>
    </row>
    <row r="234" spans="1:8" x14ac:dyDescent="0.25">
      <c r="A234" t="s">
        <v>99</v>
      </c>
      <c r="B234">
        <v>6486</v>
      </c>
      <c r="C234" t="s">
        <v>236</v>
      </c>
      <c r="D234" t="s">
        <v>586</v>
      </c>
      <c r="E234" t="s">
        <v>185</v>
      </c>
      <c r="F234" t="s">
        <v>328</v>
      </c>
      <c r="G234" t="s">
        <v>329</v>
      </c>
      <c r="H234" t="s">
        <v>185</v>
      </c>
    </row>
    <row r="235" spans="1:8" x14ac:dyDescent="0.25">
      <c r="A235" t="s">
        <v>425</v>
      </c>
      <c r="B235">
        <v>6496</v>
      </c>
      <c r="C235" t="s">
        <v>236</v>
      </c>
      <c r="D235" t="s">
        <v>587</v>
      </c>
      <c r="E235" t="s">
        <v>185</v>
      </c>
      <c r="F235" t="s">
        <v>328</v>
      </c>
      <c r="G235" t="s">
        <v>329</v>
      </c>
      <c r="H235" t="s">
        <v>185</v>
      </c>
    </row>
    <row r="236" spans="1:8" x14ac:dyDescent="0.25">
      <c r="A236" t="s">
        <v>72</v>
      </c>
      <c r="B236">
        <v>6713</v>
      </c>
      <c r="C236" t="s">
        <v>236</v>
      </c>
      <c r="D236" t="s">
        <v>588</v>
      </c>
      <c r="E236" t="s">
        <v>185</v>
      </c>
      <c r="F236" t="s">
        <v>328</v>
      </c>
      <c r="G236" t="s">
        <v>329</v>
      </c>
      <c r="H236" t="s">
        <v>185</v>
      </c>
    </row>
    <row r="237" spans="1:8" x14ac:dyDescent="0.25">
      <c r="A237" t="s">
        <v>439</v>
      </c>
      <c r="B237">
        <v>6885</v>
      </c>
      <c r="C237" t="s">
        <v>236</v>
      </c>
      <c r="D237" t="s">
        <v>589</v>
      </c>
      <c r="E237" t="s">
        <v>185</v>
      </c>
      <c r="F237" t="s">
        <v>328</v>
      </c>
      <c r="G237" t="s">
        <v>329</v>
      </c>
      <c r="H237" t="s">
        <v>438</v>
      </c>
    </row>
    <row r="238" spans="1:8" x14ac:dyDescent="0.25">
      <c r="A238" t="s">
        <v>351</v>
      </c>
      <c r="B238">
        <v>6929</v>
      </c>
      <c r="C238" t="s">
        <v>236</v>
      </c>
      <c r="D238" t="s">
        <v>590</v>
      </c>
      <c r="E238" t="s">
        <v>185</v>
      </c>
      <c r="F238" t="s">
        <v>328</v>
      </c>
      <c r="G238" t="s">
        <v>329</v>
      </c>
      <c r="H238" t="s">
        <v>591</v>
      </c>
    </row>
    <row r="239" spans="1:8" x14ac:dyDescent="0.25">
      <c r="A239" t="s">
        <v>497</v>
      </c>
      <c r="B239">
        <v>7007</v>
      </c>
      <c r="C239" t="s">
        <v>236</v>
      </c>
      <c r="D239" t="s">
        <v>592</v>
      </c>
      <c r="E239" t="s">
        <v>185</v>
      </c>
      <c r="F239" t="s">
        <v>328</v>
      </c>
      <c r="G239" t="s">
        <v>303</v>
      </c>
      <c r="H239" t="s">
        <v>185</v>
      </c>
    </row>
    <row r="240" spans="1:8" x14ac:dyDescent="0.25">
      <c r="A240" t="s">
        <v>434</v>
      </c>
      <c r="B240">
        <v>7012</v>
      </c>
      <c r="C240" t="s">
        <v>236</v>
      </c>
      <c r="D240" t="s">
        <v>593</v>
      </c>
      <c r="E240" t="s">
        <v>185</v>
      </c>
      <c r="F240" t="s">
        <v>411</v>
      </c>
      <c r="G240" t="s">
        <v>329</v>
      </c>
      <c r="H240" t="s">
        <v>185</v>
      </c>
    </row>
    <row r="241" spans="1:8" x14ac:dyDescent="0.25">
      <c r="A241" t="s">
        <v>434</v>
      </c>
      <c r="B241">
        <v>7718</v>
      </c>
      <c r="C241" t="s">
        <v>236</v>
      </c>
      <c r="D241" t="s">
        <v>594</v>
      </c>
      <c r="E241" t="s">
        <v>185</v>
      </c>
      <c r="F241" t="s">
        <v>328</v>
      </c>
      <c r="G241" t="s">
        <v>329</v>
      </c>
      <c r="H241" t="s">
        <v>185</v>
      </c>
    </row>
    <row r="242" spans="1:8" x14ac:dyDescent="0.25">
      <c r="A242" t="s">
        <v>48</v>
      </c>
      <c r="B242">
        <v>7738</v>
      </c>
      <c r="C242" t="s">
        <v>236</v>
      </c>
      <c r="D242" t="s">
        <v>595</v>
      </c>
      <c r="E242" t="s">
        <v>185</v>
      </c>
      <c r="F242" t="s">
        <v>328</v>
      </c>
      <c r="G242" t="s">
        <v>329</v>
      </c>
      <c r="H242" t="s">
        <v>185</v>
      </c>
    </row>
    <row r="243" spans="1:8" x14ac:dyDescent="0.25">
      <c r="A243" t="s">
        <v>48</v>
      </c>
      <c r="B243">
        <v>7750</v>
      </c>
      <c r="C243" t="s">
        <v>236</v>
      </c>
      <c r="D243" t="s">
        <v>596</v>
      </c>
      <c r="E243" t="s">
        <v>185</v>
      </c>
      <c r="F243" t="s">
        <v>328</v>
      </c>
      <c r="G243" t="s">
        <v>329</v>
      </c>
      <c r="H243" t="s">
        <v>185</v>
      </c>
    </row>
    <row r="244" spans="1:8" x14ac:dyDescent="0.25">
      <c r="A244" t="s">
        <v>439</v>
      </c>
      <c r="B244">
        <v>7762</v>
      </c>
      <c r="C244" t="s">
        <v>236</v>
      </c>
      <c r="D244" t="s">
        <v>597</v>
      </c>
      <c r="E244" t="s">
        <v>185</v>
      </c>
      <c r="F244" t="s">
        <v>328</v>
      </c>
      <c r="G244" t="s">
        <v>329</v>
      </c>
      <c r="H244" t="s">
        <v>185</v>
      </c>
    </row>
    <row r="245" spans="1:8" x14ac:dyDescent="0.25">
      <c r="A245" t="s">
        <v>468</v>
      </c>
      <c r="B245">
        <v>7836</v>
      </c>
      <c r="C245" t="s">
        <v>236</v>
      </c>
      <c r="D245" t="s">
        <v>558</v>
      </c>
      <c r="E245" t="s">
        <v>185</v>
      </c>
      <c r="F245" t="s">
        <v>328</v>
      </c>
      <c r="G245" t="s">
        <v>329</v>
      </c>
      <c r="H245" t="s">
        <v>185</v>
      </c>
    </row>
    <row r="246" spans="1:8" x14ac:dyDescent="0.25">
      <c r="A246" t="s">
        <v>402</v>
      </c>
      <c r="B246">
        <v>7846</v>
      </c>
      <c r="C246" t="s">
        <v>236</v>
      </c>
      <c r="D246" t="s">
        <v>598</v>
      </c>
      <c r="E246" t="s">
        <v>185</v>
      </c>
      <c r="F246" t="s">
        <v>328</v>
      </c>
      <c r="G246" t="s">
        <v>329</v>
      </c>
      <c r="H246" t="s">
        <v>185</v>
      </c>
    </row>
    <row r="247" spans="1:8" x14ac:dyDescent="0.25">
      <c r="A247" t="s">
        <v>468</v>
      </c>
      <c r="B247">
        <v>7860</v>
      </c>
      <c r="C247" t="s">
        <v>236</v>
      </c>
      <c r="D247" t="s">
        <v>599</v>
      </c>
      <c r="E247" t="s">
        <v>185</v>
      </c>
      <c r="F247" t="s">
        <v>328</v>
      </c>
      <c r="G247" t="s">
        <v>329</v>
      </c>
      <c r="H247" t="s">
        <v>438</v>
      </c>
    </row>
    <row r="248" spans="1:8" x14ac:dyDescent="0.25">
      <c r="A248" t="s">
        <v>402</v>
      </c>
      <c r="B248">
        <v>7897</v>
      </c>
      <c r="C248" t="s">
        <v>236</v>
      </c>
      <c r="D248" t="s">
        <v>600</v>
      </c>
      <c r="E248" t="s">
        <v>185</v>
      </c>
      <c r="F248" t="s">
        <v>328</v>
      </c>
      <c r="G248" t="s">
        <v>329</v>
      </c>
      <c r="H248" t="s">
        <v>185</v>
      </c>
    </row>
    <row r="249" spans="1:8" x14ac:dyDescent="0.25">
      <c r="A249" t="s">
        <v>105</v>
      </c>
      <c r="B249">
        <v>7936</v>
      </c>
      <c r="C249" t="s">
        <v>236</v>
      </c>
      <c r="D249" t="s">
        <v>256</v>
      </c>
      <c r="E249" t="s">
        <v>185</v>
      </c>
      <c r="F249" t="s">
        <v>331</v>
      </c>
      <c r="G249" t="s">
        <v>303</v>
      </c>
      <c r="H249" t="s">
        <v>601</v>
      </c>
    </row>
    <row r="250" spans="1:8" x14ac:dyDescent="0.25">
      <c r="A250" t="s">
        <v>602</v>
      </c>
      <c r="B250">
        <v>7939</v>
      </c>
      <c r="C250" t="s">
        <v>236</v>
      </c>
      <c r="D250" t="s">
        <v>603</v>
      </c>
      <c r="E250" t="s">
        <v>185</v>
      </c>
      <c r="F250" t="s">
        <v>604</v>
      </c>
      <c r="G250" t="s">
        <v>303</v>
      </c>
      <c r="H250" t="s">
        <v>591</v>
      </c>
    </row>
    <row r="251" spans="1:8" x14ac:dyDescent="0.25">
      <c r="A251" t="s">
        <v>72</v>
      </c>
      <c r="B251">
        <v>7942</v>
      </c>
      <c r="C251" t="s">
        <v>236</v>
      </c>
      <c r="D251" t="s">
        <v>605</v>
      </c>
      <c r="E251" t="s">
        <v>185</v>
      </c>
      <c r="F251" t="s">
        <v>606</v>
      </c>
      <c r="G251" t="s">
        <v>303</v>
      </c>
      <c r="H251" t="s">
        <v>601</v>
      </c>
    </row>
    <row r="252" spans="1:8" x14ac:dyDescent="0.25">
      <c r="A252" t="s">
        <v>326</v>
      </c>
      <c r="B252">
        <v>7950</v>
      </c>
      <c r="C252" t="s">
        <v>236</v>
      </c>
      <c r="D252" t="s">
        <v>607</v>
      </c>
      <c r="E252" t="s">
        <v>185</v>
      </c>
      <c r="F252" t="s">
        <v>185</v>
      </c>
      <c r="G252" t="s">
        <v>329</v>
      </c>
      <c r="H252" t="s">
        <v>608</v>
      </c>
    </row>
    <row r="253" spans="1:8" x14ac:dyDescent="0.25">
      <c r="A253" t="s">
        <v>497</v>
      </c>
      <c r="B253">
        <v>7956</v>
      </c>
      <c r="C253" t="s">
        <v>236</v>
      </c>
      <c r="D253" t="s">
        <v>609</v>
      </c>
      <c r="E253" t="s">
        <v>185</v>
      </c>
      <c r="F253" t="s">
        <v>328</v>
      </c>
      <c r="G253" t="s">
        <v>329</v>
      </c>
      <c r="H253" t="s">
        <v>185</v>
      </c>
    </row>
    <row r="254" spans="1:8" x14ac:dyDescent="0.25">
      <c r="A254" t="s">
        <v>72</v>
      </c>
      <c r="B254">
        <v>8010</v>
      </c>
      <c r="C254" t="s">
        <v>236</v>
      </c>
      <c r="D254" t="s">
        <v>610</v>
      </c>
      <c r="E254" t="s">
        <v>185</v>
      </c>
      <c r="F254" t="s">
        <v>606</v>
      </c>
      <c r="G254" t="s">
        <v>303</v>
      </c>
      <c r="H254" t="s">
        <v>601</v>
      </c>
    </row>
    <row r="255" spans="1:8" x14ac:dyDescent="0.25">
      <c r="A255" t="s">
        <v>72</v>
      </c>
      <c r="B255">
        <v>8011</v>
      </c>
      <c r="C255" t="s">
        <v>236</v>
      </c>
      <c r="D255" t="s">
        <v>611</v>
      </c>
      <c r="E255" t="s">
        <v>185</v>
      </c>
      <c r="F255" t="s">
        <v>606</v>
      </c>
      <c r="G255" t="s">
        <v>303</v>
      </c>
      <c r="H255" t="s">
        <v>540</v>
      </c>
    </row>
    <row r="256" spans="1:8" x14ac:dyDescent="0.25">
      <c r="A256" t="s">
        <v>439</v>
      </c>
      <c r="B256">
        <v>8044</v>
      </c>
      <c r="C256" t="s">
        <v>236</v>
      </c>
      <c r="D256" t="s">
        <v>612</v>
      </c>
      <c r="E256" t="s">
        <v>185</v>
      </c>
      <c r="F256" t="s">
        <v>328</v>
      </c>
      <c r="G256" t="s">
        <v>329</v>
      </c>
      <c r="H256" t="s">
        <v>185</v>
      </c>
    </row>
    <row r="257" spans="1:8" x14ac:dyDescent="0.25">
      <c r="A257" t="s">
        <v>402</v>
      </c>
      <c r="B257">
        <v>8086</v>
      </c>
      <c r="C257" t="s">
        <v>236</v>
      </c>
      <c r="D257" t="s">
        <v>613</v>
      </c>
      <c r="E257" t="s">
        <v>185</v>
      </c>
      <c r="F257" t="s">
        <v>328</v>
      </c>
      <c r="G257" t="s">
        <v>329</v>
      </c>
      <c r="H257" t="s">
        <v>185</v>
      </c>
    </row>
    <row r="258" spans="1:8" x14ac:dyDescent="0.25">
      <c r="A258" t="s">
        <v>351</v>
      </c>
      <c r="B258">
        <v>8145</v>
      </c>
      <c r="C258" t="s">
        <v>236</v>
      </c>
      <c r="D258" t="s">
        <v>614</v>
      </c>
      <c r="E258" t="s">
        <v>185</v>
      </c>
      <c r="F258" t="s">
        <v>328</v>
      </c>
      <c r="G258" t="s">
        <v>329</v>
      </c>
      <c r="H258" t="s">
        <v>615</v>
      </c>
    </row>
    <row r="259" spans="1:8" x14ac:dyDescent="0.25">
      <c r="A259" t="s">
        <v>434</v>
      </c>
      <c r="B259">
        <v>8146</v>
      </c>
      <c r="C259" t="s">
        <v>236</v>
      </c>
      <c r="D259" t="s">
        <v>616</v>
      </c>
      <c r="E259" t="s">
        <v>185</v>
      </c>
      <c r="F259" t="s">
        <v>328</v>
      </c>
      <c r="G259" t="s">
        <v>329</v>
      </c>
      <c r="H259" t="s">
        <v>185</v>
      </c>
    </row>
    <row r="260" spans="1:8" x14ac:dyDescent="0.25">
      <c r="A260" t="s">
        <v>444</v>
      </c>
      <c r="B260">
        <v>8167</v>
      </c>
      <c r="C260" t="s">
        <v>236</v>
      </c>
      <c r="D260" t="s">
        <v>617</v>
      </c>
      <c r="E260" t="s">
        <v>185</v>
      </c>
      <c r="F260" t="s">
        <v>328</v>
      </c>
      <c r="G260" t="s">
        <v>329</v>
      </c>
      <c r="H260" t="s">
        <v>438</v>
      </c>
    </row>
    <row r="261" spans="1:8" x14ac:dyDescent="0.25">
      <c r="A261" t="s">
        <v>618</v>
      </c>
      <c r="B261">
        <v>8182</v>
      </c>
      <c r="C261" t="s">
        <v>236</v>
      </c>
      <c r="D261" t="s">
        <v>619</v>
      </c>
      <c r="E261" t="s">
        <v>185</v>
      </c>
      <c r="F261" t="s">
        <v>328</v>
      </c>
      <c r="G261" t="s">
        <v>297</v>
      </c>
      <c r="H261" t="s">
        <v>620</v>
      </c>
    </row>
    <row r="262" spans="1:8" x14ac:dyDescent="0.25">
      <c r="A262" t="s">
        <v>602</v>
      </c>
      <c r="B262">
        <v>8190</v>
      </c>
      <c r="C262" t="s">
        <v>236</v>
      </c>
      <c r="D262" t="s">
        <v>621</v>
      </c>
      <c r="E262" t="s">
        <v>185</v>
      </c>
      <c r="F262" t="s">
        <v>328</v>
      </c>
      <c r="G262" t="s">
        <v>329</v>
      </c>
      <c r="H262" t="s">
        <v>185</v>
      </c>
    </row>
    <row r="263" spans="1:8" x14ac:dyDescent="0.25">
      <c r="A263" t="s">
        <v>351</v>
      </c>
      <c r="B263">
        <v>8199</v>
      </c>
      <c r="C263" t="s">
        <v>236</v>
      </c>
      <c r="D263" t="s">
        <v>622</v>
      </c>
      <c r="E263" t="s">
        <v>185</v>
      </c>
      <c r="F263" t="s">
        <v>328</v>
      </c>
      <c r="G263" t="s">
        <v>329</v>
      </c>
      <c r="H263" t="s">
        <v>185</v>
      </c>
    </row>
    <row r="264" spans="1:8" x14ac:dyDescent="0.25">
      <c r="A264" t="s">
        <v>402</v>
      </c>
      <c r="B264">
        <v>8210</v>
      </c>
      <c r="C264" t="s">
        <v>236</v>
      </c>
      <c r="D264" t="s">
        <v>623</v>
      </c>
      <c r="E264" t="s">
        <v>185</v>
      </c>
      <c r="F264" t="s">
        <v>185</v>
      </c>
      <c r="G264" t="s">
        <v>369</v>
      </c>
      <c r="H264" t="s">
        <v>185</v>
      </c>
    </row>
    <row r="265" spans="1:8" x14ac:dyDescent="0.25">
      <c r="A265" t="s">
        <v>375</v>
      </c>
      <c r="B265">
        <v>8214</v>
      </c>
      <c r="C265" t="s">
        <v>236</v>
      </c>
      <c r="D265" t="s">
        <v>624</v>
      </c>
      <c r="E265" t="s">
        <v>185</v>
      </c>
      <c r="F265" t="s">
        <v>377</v>
      </c>
      <c r="G265" t="s">
        <v>297</v>
      </c>
      <c r="H265" t="s">
        <v>185</v>
      </c>
    </row>
    <row r="266" spans="1:8" x14ac:dyDescent="0.25">
      <c r="A266" t="s">
        <v>375</v>
      </c>
      <c r="B266">
        <v>8215</v>
      </c>
      <c r="C266" t="s">
        <v>236</v>
      </c>
      <c r="D266" t="s">
        <v>625</v>
      </c>
      <c r="E266" t="s">
        <v>185</v>
      </c>
      <c r="F266" t="s">
        <v>377</v>
      </c>
      <c r="G266" t="s">
        <v>297</v>
      </c>
      <c r="H266" t="s">
        <v>185</v>
      </c>
    </row>
    <row r="267" spans="1:8" x14ac:dyDescent="0.25">
      <c r="A267" t="s">
        <v>375</v>
      </c>
      <c r="B267">
        <v>8216</v>
      </c>
      <c r="C267" t="s">
        <v>236</v>
      </c>
      <c r="D267" t="s">
        <v>626</v>
      </c>
      <c r="E267" t="s">
        <v>185</v>
      </c>
      <c r="F267" t="s">
        <v>377</v>
      </c>
      <c r="G267" t="s">
        <v>297</v>
      </c>
      <c r="H267" t="s">
        <v>185</v>
      </c>
    </row>
    <row r="268" spans="1:8" x14ac:dyDescent="0.25">
      <c r="A268" t="s">
        <v>375</v>
      </c>
      <c r="B268">
        <v>8245</v>
      </c>
      <c r="C268" t="s">
        <v>236</v>
      </c>
      <c r="D268" t="s">
        <v>627</v>
      </c>
      <c r="E268" t="s">
        <v>185</v>
      </c>
      <c r="F268" t="s">
        <v>377</v>
      </c>
      <c r="G268" t="s">
        <v>297</v>
      </c>
      <c r="H268" t="s">
        <v>185</v>
      </c>
    </row>
    <row r="269" spans="1:8" x14ac:dyDescent="0.25">
      <c r="A269" t="s">
        <v>434</v>
      </c>
      <c r="B269">
        <v>8273</v>
      </c>
      <c r="C269" t="s">
        <v>236</v>
      </c>
      <c r="D269" t="s">
        <v>628</v>
      </c>
      <c r="E269" t="s">
        <v>185</v>
      </c>
      <c r="F269" t="s">
        <v>411</v>
      </c>
      <c r="G269" t="s">
        <v>303</v>
      </c>
      <c r="H269" t="s">
        <v>629</v>
      </c>
    </row>
    <row r="270" spans="1:8" x14ac:dyDescent="0.25">
      <c r="A270" t="s">
        <v>630</v>
      </c>
      <c r="B270">
        <v>8284</v>
      </c>
      <c r="C270" t="s">
        <v>236</v>
      </c>
      <c r="D270" t="s">
        <v>631</v>
      </c>
      <c r="E270" t="s">
        <v>185</v>
      </c>
      <c r="F270" t="s">
        <v>604</v>
      </c>
      <c r="G270" t="s">
        <v>329</v>
      </c>
      <c r="H270" t="s">
        <v>185</v>
      </c>
    </row>
    <row r="271" spans="1:8" x14ac:dyDescent="0.25">
      <c r="A271" t="s">
        <v>439</v>
      </c>
      <c r="B271">
        <v>8289</v>
      </c>
      <c r="C271" t="s">
        <v>236</v>
      </c>
      <c r="D271" t="s">
        <v>632</v>
      </c>
      <c r="E271" t="s">
        <v>185</v>
      </c>
      <c r="F271" t="s">
        <v>328</v>
      </c>
      <c r="G271" t="s">
        <v>329</v>
      </c>
      <c r="H271" t="s">
        <v>185</v>
      </c>
    </row>
    <row r="272" spans="1:8" x14ac:dyDescent="0.25">
      <c r="A272" t="s">
        <v>375</v>
      </c>
      <c r="B272">
        <v>8291</v>
      </c>
      <c r="C272" t="s">
        <v>236</v>
      </c>
      <c r="D272" t="s">
        <v>633</v>
      </c>
      <c r="E272" t="s">
        <v>185</v>
      </c>
      <c r="F272" t="s">
        <v>377</v>
      </c>
      <c r="G272" t="s">
        <v>297</v>
      </c>
      <c r="H272" t="s">
        <v>185</v>
      </c>
    </row>
    <row r="273" spans="1:8" x14ac:dyDescent="0.25">
      <c r="A273" t="s">
        <v>425</v>
      </c>
      <c r="B273">
        <v>8303</v>
      </c>
      <c r="C273" t="s">
        <v>236</v>
      </c>
      <c r="D273" t="s">
        <v>634</v>
      </c>
      <c r="E273" t="s">
        <v>185</v>
      </c>
      <c r="F273" t="s">
        <v>331</v>
      </c>
      <c r="G273" t="s">
        <v>329</v>
      </c>
      <c r="H273" t="s">
        <v>635</v>
      </c>
    </row>
    <row r="274" spans="1:8" x14ac:dyDescent="0.25">
      <c r="A274" t="s">
        <v>636</v>
      </c>
      <c r="B274">
        <v>8338</v>
      </c>
      <c r="C274" t="s">
        <v>236</v>
      </c>
      <c r="D274" t="s">
        <v>637</v>
      </c>
      <c r="E274" t="s">
        <v>185</v>
      </c>
      <c r="F274" t="s">
        <v>539</v>
      </c>
      <c r="G274" t="s">
        <v>329</v>
      </c>
      <c r="H274" t="s">
        <v>185</v>
      </c>
    </row>
    <row r="275" spans="1:8" x14ac:dyDescent="0.25">
      <c r="A275" t="s">
        <v>434</v>
      </c>
      <c r="B275">
        <v>8481</v>
      </c>
      <c r="C275" t="s">
        <v>236</v>
      </c>
      <c r="D275" t="s">
        <v>638</v>
      </c>
      <c r="E275" t="s">
        <v>185</v>
      </c>
      <c r="F275" t="s">
        <v>639</v>
      </c>
      <c r="G275" t="s">
        <v>329</v>
      </c>
      <c r="H275" t="s">
        <v>185</v>
      </c>
    </row>
    <row r="276" spans="1:8" x14ac:dyDescent="0.25">
      <c r="A276" t="s">
        <v>434</v>
      </c>
      <c r="B276">
        <v>8482</v>
      </c>
      <c r="C276" t="s">
        <v>236</v>
      </c>
      <c r="D276" t="s">
        <v>640</v>
      </c>
      <c r="E276" t="s">
        <v>185</v>
      </c>
      <c r="F276" t="s">
        <v>328</v>
      </c>
      <c r="G276" t="s">
        <v>329</v>
      </c>
      <c r="H276" t="s">
        <v>185</v>
      </c>
    </row>
    <row r="277" spans="1:8" x14ac:dyDescent="0.25">
      <c r="A277" t="s">
        <v>375</v>
      </c>
      <c r="B277">
        <v>8497</v>
      </c>
      <c r="C277" t="s">
        <v>236</v>
      </c>
      <c r="D277" t="s">
        <v>641</v>
      </c>
      <c r="E277" t="s">
        <v>185</v>
      </c>
      <c r="F277" t="s">
        <v>377</v>
      </c>
      <c r="G277" t="s">
        <v>297</v>
      </c>
      <c r="H277" t="s">
        <v>185</v>
      </c>
    </row>
    <row r="278" spans="1:8" x14ac:dyDescent="0.25">
      <c r="A278" t="s">
        <v>444</v>
      </c>
      <c r="B278">
        <v>8520</v>
      </c>
      <c r="C278" t="s">
        <v>236</v>
      </c>
      <c r="D278" t="s">
        <v>642</v>
      </c>
      <c r="E278" t="s">
        <v>185</v>
      </c>
      <c r="F278" t="s">
        <v>411</v>
      </c>
      <c r="G278" t="s">
        <v>329</v>
      </c>
      <c r="H278" t="s">
        <v>438</v>
      </c>
    </row>
    <row r="279" spans="1:8" x14ac:dyDescent="0.25">
      <c r="A279" t="s">
        <v>434</v>
      </c>
      <c r="B279">
        <v>8521</v>
      </c>
      <c r="C279" t="s">
        <v>236</v>
      </c>
      <c r="D279" t="s">
        <v>643</v>
      </c>
      <c r="E279" t="s">
        <v>185</v>
      </c>
      <c r="F279" t="s">
        <v>411</v>
      </c>
      <c r="G279" t="s">
        <v>329</v>
      </c>
      <c r="H279" t="s">
        <v>185</v>
      </c>
    </row>
    <row r="280" spans="1:8" x14ac:dyDescent="0.25">
      <c r="A280" t="s">
        <v>351</v>
      </c>
      <c r="B280">
        <v>8524</v>
      </c>
      <c r="C280" t="s">
        <v>236</v>
      </c>
      <c r="D280" t="s">
        <v>644</v>
      </c>
      <c r="E280" t="s">
        <v>185</v>
      </c>
      <c r="F280" t="s">
        <v>328</v>
      </c>
      <c r="G280" t="s">
        <v>329</v>
      </c>
      <c r="H280" t="s">
        <v>185</v>
      </c>
    </row>
    <row r="281" spans="1:8" x14ac:dyDescent="0.25">
      <c r="A281" t="s">
        <v>375</v>
      </c>
      <c r="B281">
        <v>8534</v>
      </c>
      <c r="C281" t="s">
        <v>236</v>
      </c>
      <c r="D281" t="s">
        <v>645</v>
      </c>
      <c r="E281" t="s">
        <v>185</v>
      </c>
      <c r="F281" t="s">
        <v>377</v>
      </c>
      <c r="G281" t="s">
        <v>297</v>
      </c>
      <c r="H281" t="s">
        <v>185</v>
      </c>
    </row>
    <row r="282" spans="1:8" x14ac:dyDescent="0.25">
      <c r="A282" t="s">
        <v>72</v>
      </c>
      <c r="B282">
        <v>8543</v>
      </c>
      <c r="C282" t="s">
        <v>236</v>
      </c>
      <c r="D282" t="s">
        <v>646</v>
      </c>
      <c r="E282" t="s">
        <v>185</v>
      </c>
      <c r="F282" t="s">
        <v>185</v>
      </c>
      <c r="G282" t="s">
        <v>297</v>
      </c>
      <c r="H282" t="s">
        <v>620</v>
      </c>
    </row>
    <row r="283" spans="1:8" x14ac:dyDescent="0.25">
      <c r="A283" t="s">
        <v>402</v>
      </c>
      <c r="B283">
        <v>8547</v>
      </c>
      <c r="C283" t="s">
        <v>236</v>
      </c>
      <c r="D283" t="s">
        <v>647</v>
      </c>
      <c r="E283" t="s">
        <v>185</v>
      </c>
      <c r="F283" t="s">
        <v>331</v>
      </c>
      <c r="G283" t="s">
        <v>329</v>
      </c>
      <c r="H283" t="s">
        <v>591</v>
      </c>
    </row>
    <row r="284" spans="1:8" x14ac:dyDescent="0.25">
      <c r="A284" t="s">
        <v>48</v>
      </c>
      <c r="B284">
        <v>8554</v>
      </c>
      <c r="C284" t="s">
        <v>236</v>
      </c>
      <c r="D284" t="s">
        <v>246</v>
      </c>
      <c r="E284" t="s">
        <v>185</v>
      </c>
      <c r="F284" t="s">
        <v>648</v>
      </c>
      <c r="G284" t="s">
        <v>303</v>
      </c>
      <c r="H284" t="s">
        <v>649</v>
      </c>
    </row>
    <row r="285" spans="1:8" x14ac:dyDescent="0.25">
      <c r="A285" t="s">
        <v>351</v>
      </c>
      <c r="B285">
        <v>8562</v>
      </c>
      <c r="C285" t="s">
        <v>236</v>
      </c>
      <c r="D285" t="s">
        <v>650</v>
      </c>
      <c r="E285" t="s">
        <v>185</v>
      </c>
      <c r="F285" t="s">
        <v>328</v>
      </c>
      <c r="G285" t="s">
        <v>329</v>
      </c>
      <c r="H285" t="s">
        <v>651</v>
      </c>
    </row>
    <row r="286" spans="1:8" x14ac:dyDescent="0.25">
      <c r="A286" t="s">
        <v>99</v>
      </c>
      <c r="B286">
        <v>8578</v>
      </c>
      <c r="C286" t="s">
        <v>236</v>
      </c>
      <c r="D286" t="s">
        <v>652</v>
      </c>
      <c r="E286" t="s">
        <v>185</v>
      </c>
      <c r="F286" t="s">
        <v>411</v>
      </c>
      <c r="G286" t="s">
        <v>329</v>
      </c>
      <c r="H286" t="s">
        <v>438</v>
      </c>
    </row>
    <row r="287" spans="1:8" x14ac:dyDescent="0.25">
      <c r="A287" t="s">
        <v>99</v>
      </c>
      <c r="B287">
        <v>8580</v>
      </c>
      <c r="C287" t="s">
        <v>236</v>
      </c>
      <c r="D287" t="s">
        <v>653</v>
      </c>
      <c r="E287" t="s">
        <v>185</v>
      </c>
      <c r="F287" t="s">
        <v>185</v>
      </c>
      <c r="G287" t="s">
        <v>369</v>
      </c>
      <c r="H287" t="s">
        <v>185</v>
      </c>
    </row>
    <row r="288" spans="1:8" x14ac:dyDescent="0.25">
      <c r="A288" t="s">
        <v>434</v>
      </c>
      <c r="B288">
        <v>8581</v>
      </c>
      <c r="C288" t="s">
        <v>236</v>
      </c>
      <c r="D288" t="s">
        <v>654</v>
      </c>
      <c r="E288" t="s">
        <v>185</v>
      </c>
      <c r="F288" t="s">
        <v>328</v>
      </c>
      <c r="G288" t="s">
        <v>329</v>
      </c>
      <c r="H288" t="s">
        <v>438</v>
      </c>
    </row>
    <row r="289" spans="1:8" x14ac:dyDescent="0.25">
      <c r="A289" t="s">
        <v>636</v>
      </c>
      <c r="B289">
        <v>8582</v>
      </c>
      <c r="C289" t="s">
        <v>236</v>
      </c>
      <c r="D289" t="s">
        <v>655</v>
      </c>
      <c r="E289" t="s">
        <v>185</v>
      </c>
      <c r="F289" t="s">
        <v>344</v>
      </c>
      <c r="G289" t="s">
        <v>329</v>
      </c>
      <c r="H289" t="s">
        <v>185</v>
      </c>
    </row>
    <row r="290" spans="1:8" x14ac:dyDescent="0.25">
      <c r="A290" t="s">
        <v>434</v>
      </c>
      <c r="B290">
        <v>8585</v>
      </c>
      <c r="C290" t="s">
        <v>236</v>
      </c>
      <c r="D290" t="s">
        <v>656</v>
      </c>
      <c r="E290" t="s">
        <v>185</v>
      </c>
      <c r="F290" t="s">
        <v>185</v>
      </c>
      <c r="G290" t="s">
        <v>297</v>
      </c>
      <c r="H290" t="s">
        <v>438</v>
      </c>
    </row>
    <row r="291" spans="1:8" x14ac:dyDescent="0.25">
      <c r="A291" t="s">
        <v>434</v>
      </c>
      <c r="B291">
        <v>8586</v>
      </c>
      <c r="C291" t="s">
        <v>236</v>
      </c>
      <c r="D291" t="s">
        <v>657</v>
      </c>
      <c r="E291" t="s">
        <v>185</v>
      </c>
      <c r="F291" t="s">
        <v>185</v>
      </c>
      <c r="G291" t="s">
        <v>297</v>
      </c>
      <c r="H291" t="s">
        <v>438</v>
      </c>
    </row>
    <row r="292" spans="1:8" x14ac:dyDescent="0.25">
      <c r="A292" t="s">
        <v>602</v>
      </c>
      <c r="B292">
        <v>8592</v>
      </c>
      <c r="C292" t="s">
        <v>236</v>
      </c>
      <c r="D292" t="s">
        <v>658</v>
      </c>
      <c r="E292" t="s">
        <v>185</v>
      </c>
      <c r="F292" t="s">
        <v>328</v>
      </c>
      <c r="G292" t="s">
        <v>329</v>
      </c>
      <c r="H292" t="s">
        <v>620</v>
      </c>
    </row>
    <row r="293" spans="1:8" x14ac:dyDescent="0.25">
      <c r="A293" t="s">
        <v>354</v>
      </c>
      <c r="B293">
        <v>8598</v>
      </c>
      <c r="C293" t="s">
        <v>236</v>
      </c>
      <c r="D293" t="s">
        <v>659</v>
      </c>
      <c r="E293" t="s">
        <v>185</v>
      </c>
      <c r="F293" t="s">
        <v>328</v>
      </c>
      <c r="G293" t="s">
        <v>329</v>
      </c>
      <c r="H293" t="s">
        <v>185</v>
      </c>
    </row>
    <row r="294" spans="1:8" x14ac:dyDescent="0.25">
      <c r="A294" t="s">
        <v>142</v>
      </c>
      <c r="B294">
        <v>8602</v>
      </c>
      <c r="C294" t="s">
        <v>236</v>
      </c>
      <c r="D294" t="s">
        <v>660</v>
      </c>
      <c r="E294" t="s">
        <v>185</v>
      </c>
      <c r="F294" t="s">
        <v>328</v>
      </c>
      <c r="G294" t="s">
        <v>329</v>
      </c>
      <c r="H294" t="s">
        <v>185</v>
      </c>
    </row>
    <row r="295" spans="1:8" x14ac:dyDescent="0.25">
      <c r="A295" t="s">
        <v>444</v>
      </c>
      <c r="B295">
        <v>8612</v>
      </c>
      <c r="C295" t="s">
        <v>236</v>
      </c>
      <c r="D295" t="s">
        <v>661</v>
      </c>
      <c r="E295" t="s">
        <v>185</v>
      </c>
      <c r="F295" t="s">
        <v>328</v>
      </c>
      <c r="G295" t="s">
        <v>329</v>
      </c>
      <c r="H295" t="s">
        <v>185</v>
      </c>
    </row>
    <row r="296" spans="1:8" x14ac:dyDescent="0.25">
      <c r="A296" t="s">
        <v>326</v>
      </c>
      <c r="B296">
        <v>8618</v>
      </c>
      <c r="C296" t="s">
        <v>236</v>
      </c>
      <c r="D296" t="s">
        <v>662</v>
      </c>
      <c r="E296" t="s">
        <v>185</v>
      </c>
      <c r="F296" t="s">
        <v>185</v>
      </c>
      <c r="G296" t="s">
        <v>297</v>
      </c>
      <c r="H296" t="s">
        <v>185</v>
      </c>
    </row>
    <row r="297" spans="1:8" x14ac:dyDescent="0.25">
      <c r="A297" t="s">
        <v>326</v>
      </c>
      <c r="B297">
        <v>8620</v>
      </c>
      <c r="C297" t="s">
        <v>236</v>
      </c>
      <c r="D297" t="s">
        <v>663</v>
      </c>
      <c r="E297" t="s">
        <v>185</v>
      </c>
      <c r="F297" t="s">
        <v>328</v>
      </c>
      <c r="G297" t="s">
        <v>329</v>
      </c>
      <c r="H297" t="s">
        <v>185</v>
      </c>
    </row>
    <row r="298" spans="1:8" x14ac:dyDescent="0.25">
      <c r="A298" t="s">
        <v>444</v>
      </c>
      <c r="B298">
        <v>8623</v>
      </c>
      <c r="C298" t="s">
        <v>236</v>
      </c>
      <c r="D298" t="s">
        <v>664</v>
      </c>
      <c r="E298" t="s">
        <v>185</v>
      </c>
      <c r="F298" t="s">
        <v>328</v>
      </c>
      <c r="G298" t="s">
        <v>329</v>
      </c>
      <c r="H298" t="s">
        <v>185</v>
      </c>
    </row>
    <row r="299" spans="1:8" x14ac:dyDescent="0.25">
      <c r="A299" t="s">
        <v>94</v>
      </c>
      <c r="B299">
        <v>8726</v>
      </c>
      <c r="C299" t="s">
        <v>236</v>
      </c>
      <c r="D299" t="s">
        <v>665</v>
      </c>
      <c r="E299" t="s">
        <v>185</v>
      </c>
      <c r="F299" t="s">
        <v>328</v>
      </c>
      <c r="G299" t="s">
        <v>329</v>
      </c>
      <c r="H299" t="s">
        <v>185</v>
      </c>
    </row>
    <row r="300" spans="1:8" x14ac:dyDescent="0.25">
      <c r="A300" t="s">
        <v>375</v>
      </c>
      <c r="B300">
        <v>8842</v>
      </c>
      <c r="C300" t="s">
        <v>236</v>
      </c>
      <c r="D300" t="s">
        <v>666</v>
      </c>
      <c r="E300" t="s">
        <v>185</v>
      </c>
      <c r="F300" t="s">
        <v>377</v>
      </c>
      <c r="G300" t="s">
        <v>297</v>
      </c>
      <c r="H300" t="s">
        <v>185</v>
      </c>
    </row>
    <row r="301" spans="1:8" x14ac:dyDescent="0.25">
      <c r="A301" t="s">
        <v>444</v>
      </c>
      <c r="B301">
        <v>8849</v>
      </c>
      <c r="C301" t="s">
        <v>236</v>
      </c>
      <c r="D301" t="s">
        <v>667</v>
      </c>
      <c r="E301" t="s">
        <v>185</v>
      </c>
      <c r="F301" t="s">
        <v>411</v>
      </c>
      <c r="G301" t="s">
        <v>329</v>
      </c>
      <c r="H301" t="s">
        <v>185</v>
      </c>
    </row>
    <row r="302" spans="1:8" x14ac:dyDescent="0.25">
      <c r="A302" t="s">
        <v>351</v>
      </c>
      <c r="B302">
        <v>8853</v>
      </c>
      <c r="C302" t="s">
        <v>236</v>
      </c>
      <c r="D302" t="s">
        <v>668</v>
      </c>
      <c r="E302" t="s">
        <v>185</v>
      </c>
      <c r="F302" t="s">
        <v>328</v>
      </c>
      <c r="G302" t="s">
        <v>329</v>
      </c>
      <c r="H302" t="s">
        <v>669</v>
      </c>
    </row>
    <row r="303" spans="1:8" x14ac:dyDescent="0.25">
      <c r="A303" t="s">
        <v>402</v>
      </c>
      <c r="B303">
        <v>8857</v>
      </c>
      <c r="C303" t="s">
        <v>236</v>
      </c>
      <c r="D303" t="s">
        <v>670</v>
      </c>
      <c r="E303" t="s">
        <v>185</v>
      </c>
      <c r="F303" t="s">
        <v>185</v>
      </c>
      <c r="G303" t="s">
        <v>369</v>
      </c>
      <c r="H303" t="s">
        <v>185</v>
      </c>
    </row>
    <row r="304" spans="1:8" x14ac:dyDescent="0.25">
      <c r="A304" t="s">
        <v>636</v>
      </c>
      <c r="B304">
        <v>8906</v>
      </c>
      <c r="C304" t="s">
        <v>236</v>
      </c>
      <c r="D304" t="s">
        <v>671</v>
      </c>
      <c r="E304" t="s">
        <v>185</v>
      </c>
      <c r="F304" t="s">
        <v>328</v>
      </c>
      <c r="G304" t="s">
        <v>303</v>
      </c>
      <c r="H304" t="s">
        <v>185</v>
      </c>
    </row>
    <row r="305" spans="1:8" x14ac:dyDescent="0.25">
      <c r="A305" t="s">
        <v>636</v>
      </c>
      <c r="B305">
        <v>8907</v>
      </c>
      <c r="C305" t="s">
        <v>236</v>
      </c>
      <c r="D305" t="s">
        <v>672</v>
      </c>
      <c r="E305" t="s">
        <v>185</v>
      </c>
      <c r="F305" t="s">
        <v>328</v>
      </c>
      <c r="G305" t="s">
        <v>329</v>
      </c>
      <c r="H305" t="s">
        <v>185</v>
      </c>
    </row>
    <row r="306" spans="1:8" x14ac:dyDescent="0.25">
      <c r="A306" t="s">
        <v>124</v>
      </c>
      <c r="B306">
        <v>9034</v>
      </c>
      <c r="C306" t="s">
        <v>236</v>
      </c>
      <c r="D306" t="s">
        <v>673</v>
      </c>
      <c r="E306" t="s">
        <v>185</v>
      </c>
      <c r="F306" t="s">
        <v>328</v>
      </c>
      <c r="G306" t="s">
        <v>329</v>
      </c>
      <c r="H306" t="s">
        <v>185</v>
      </c>
    </row>
    <row r="307" spans="1:8" x14ac:dyDescent="0.25">
      <c r="A307" t="s">
        <v>439</v>
      </c>
      <c r="B307">
        <v>9071</v>
      </c>
      <c r="C307" t="s">
        <v>236</v>
      </c>
      <c r="D307" t="s">
        <v>674</v>
      </c>
      <c r="E307" t="s">
        <v>185</v>
      </c>
      <c r="F307" t="s">
        <v>411</v>
      </c>
      <c r="G307" t="s">
        <v>329</v>
      </c>
      <c r="H307" t="s">
        <v>185</v>
      </c>
    </row>
    <row r="308" spans="1:8" x14ac:dyDescent="0.25">
      <c r="A308" t="s">
        <v>375</v>
      </c>
      <c r="B308">
        <v>9079</v>
      </c>
      <c r="C308" t="s">
        <v>236</v>
      </c>
      <c r="D308" t="s">
        <v>675</v>
      </c>
      <c r="E308" t="s">
        <v>185</v>
      </c>
      <c r="F308" t="s">
        <v>377</v>
      </c>
      <c r="G308" t="s">
        <v>297</v>
      </c>
      <c r="H308" t="s">
        <v>185</v>
      </c>
    </row>
    <row r="309" spans="1:8" x14ac:dyDescent="0.25">
      <c r="A309" t="s">
        <v>375</v>
      </c>
      <c r="B309">
        <v>9081</v>
      </c>
      <c r="C309" t="s">
        <v>236</v>
      </c>
      <c r="D309" t="s">
        <v>676</v>
      </c>
      <c r="E309" t="s">
        <v>185</v>
      </c>
      <c r="F309" t="s">
        <v>377</v>
      </c>
      <c r="G309" t="s">
        <v>353</v>
      </c>
      <c r="H309" t="s">
        <v>185</v>
      </c>
    </row>
    <row r="310" spans="1:8" x14ac:dyDescent="0.25">
      <c r="A310" t="s">
        <v>375</v>
      </c>
      <c r="B310">
        <v>9099</v>
      </c>
      <c r="C310" t="s">
        <v>236</v>
      </c>
      <c r="D310" t="s">
        <v>677</v>
      </c>
      <c r="E310" t="s">
        <v>185</v>
      </c>
      <c r="F310" t="s">
        <v>377</v>
      </c>
      <c r="G310" t="s">
        <v>297</v>
      </c>
      <c r="H310" t="s">
        <v>185</v>
      </c>
    </row>
    <row r="311" spans="1:8" x14ac:dyDescent="0.25">
      <c r="A311" t="s">
        <v>602</v>
      </c>
      <c r="B311">
        <v>9116</v>
      </c>
      <c r="C311" t="s">
        <v>236</v>
      </c>
      <c r="D311" t="s">
        <v>678</v>
      </c>
      <c r="E311" t="s">
        <v>185</v>
      </c>
      <c r="F311" t="s">
        <v>344</v>
      </c>
      <c r="G311" t="s">
        <v>329</v>
      </c>
      <c r="H311" t="s">
        <v>185</v>
      </c>
    </row>
    <row r="312" spans="1:8" x14ac:dyDescent="0.25">
      <c r="A312" t="s">
        <v>142</v>
      </c>
      <c r="B312">
        <v>9128</v>
      </c>
      <c r="C312" t="s">
        <v>236</v>
      </c>
      <c r="D312" t="s">
        <v>679</v>
      </c>
      <c r="E312" t="s">
        <v>185</v>
      </c>
      <c r="F312" t="s">
        <v>331</v>
      </c>
      <c r="G312" t="s">
        <v>329</v>
      </c>
      <c r="H312" t="s">
        <v>185</v>
      </c>
    </row>
    <row r="313" spans="1:8" x14ac:dyDescent="0.25">
      <c r="A313" t="s">
        <v>439</v>
      </c>
      <c r="B313">
        <v>9140</v>
      </c>
      <c r="C313" t="s">
        <v>236</v>
      </c>
      <c r="D313" t="s">
        <v>680</v>
      </c>
      <c r="E313" t="s">
        <v>185</v>
      </c>
      <c r="F313" t="s">
        <v>411</v>
      </c>
      <c r="G313" t="s">
        <v>329</v>
      </c>
      <c r="H313" t="s">
        <v>185</v>
      </c>
    </row>
    <row r="314" spans="1:8" x14ac:dyDescent="0.25">
      <c r="A314" t="s">
        <v>471</v>
      </c>
      <c r="B314">
        <v>9148</v>
      </c>
      <c r="C314" t="s">
        <v>236</v>
      </c>
      <c r="D314" t="s">
        <v>681</v>
      </c>
      <c r="E314" t="s">
        <v>185</v>
      </c>
      <c r="F314" t="s">
        <v>411</v>
      </c>
      <c r="G314" t="s">
        <v>329</v>
      </c>
      <c r="H314" t="s">
        <v>185</v>
      </c>
    </row>
    <row r="315" spans="1:8" x14ac:dyDescent="0.25">
      <c r="A315" t="s">
        <v>444</v>
      </c>
      <c r="B315">
        <v>9149</v>
      </c>
      <c r="C315" t="s">
        <v>236</v>
      </c>
      <c r="D315" t="s">
        <v>682</v>
      </c>
      <c r="E315" t="s">
        <v>185</v>
      </c>
      <c r="F315" t="s">
        <v>185</v>
      </c>
      <c r="G315" t="s">
        <v>353</v>
      </c>
      <c r="H315" t="s">
        <v>185</v>
      </c>
    </row>
    <row r="316" spans="1:8" x14ac:dyDescent="0.25">
      <c r="A316" t="s">
        <v>434</v>
      </c>
      <c r="B316">
        <v>9212</v>
      </c>
      <c r="C316" t="s">
        <v>236</v>
      </c>
      <c r="D316" t="s">
        <v>683</v>
      </c>
      <c r="E316" t="s">
        <v>185</v>
      </c>
      <c r="F316" t="s">
        <v>562</v>
      </c>
      <c r="G316" t="s">
        <v>329</v>
      </c>
      <c r="H316" t="s">
        <v>185</v>
      </c>
    </row>
    <row r="317" spans="1:8" x14ac:dyDescent="0.25">
      <c r="A317" t="s">
        <v>82</v>
      </c>
      <c r="B317">
        <v>9238</v>
      </c>
      <c r="C317" t="s">
        <v>236</v>
      </c>
      <c r="D317" t="s">
        <v>251</v>
      </c>
      <c r="E317" t="s">
        <v>185</v>
      </c>
      <c r="F317" t="s">
        <v>684</v>
      </c>
      <c r="G317" t="s">
        <v>303</v>
      </c>
      <c r="H317" t="s">
        <v>685</v>
      </c>
    </row>
    <row r="318" spans="1:8" x14ac:dyDescent="0.25">
      <c r="A318" t="s">
        <v>375</v>
      </c>
      <c r="B318">
        <v>9241</v>
      </c>
      <c r="C318" t="s">
        <v>236</v>
      </c>
      <c r="D318" t="s">
        <v>686</v>
      </c>
      <c r="E318" t="s">
        <v>185</v>
      </c>
      <c r="F318" t="s">
        <v>377</v>
      </c>
      <c r="G318" t="s">
        <v>353</v>
      </c>
      <c r="H318" t="s">
        <v>185</v>
      </c>
    </row>
    <row r="319" spans="1:8" x14ac:dyDescent="0.25">
      <c r="A319" t="s">
        <v>409</v>
      </c>
      <c r="B319">
        <v>9242</v>
      </c>
      <c r="C319" t="s">
        <v>236</v>
      </c>
      <c r="D319" t="s">
        <v>687</v>
      </c>
      <c r="E319" t="s">
        <v>185</v>
      </c>
      <c r="F319" t="s">
        <v>185</v>
      </c>
      <c r="G319" t="s">
        <v>353</v>
      </c>
      <c r="H319" t="s">
        <v>688</v>
      </c>
    </row>
    <row r="320" spans="1:8" x14ac:dyDescent="0.25">
      <c r="A320" t="s">
        <v>94</v>
      </c>
      <c r="B320">
        <v>9256</v>
      </c>
      <c r="C320" t="s">
        <v>236</v>
      </c>
      <c r="D320" t="s">
        <v>689</v>
      </c>
      <c r="E320" t="s">
        <v>185</v>
      </c>
      <c r="F320" t="s">
        <v>185</v>
      </c>
      <c r="G320" t="s">
        <v>353</v>
      </c>
      <c r="H320" t="s">
        <v>185</v>
      </c>
    </row>
    <row r="321" spans="1:8" x14ac:dyDescent="0.25">
      <c r="A321" t="s">
        <v>439</v>
      </c>
      <c r="B321">
        <v>9266</v>
      </c>
      <c r="C321" t="s">
        <v>236</v>
      </c>
      <c r="D321" t="s">
        <v>690</v>
      </c>
      <c r="E321" t="s">
        <v>185</v>
      </c>
      <c r="F321" t="s">
        <v>411</v>
      </c>
      <c r="G321" t="s">
        <v>329</v>
      </c>
      <c r="H321" t="s">
        <v>185</v>
      </c>
    </row>
    <row r="322" spans="1:8" x14ac:dyDescent="0.25">
      <c r="A322" t="s">
        <v>137</v>
      </c>
      <c r="B322">
        <v>9267</v>
      </c>
      <c r="C322" t="s">
        <v>236</v>
      </c>
      <c r="D322" t="s">
        <v>691</v>
      </c>
      <c r="E322" t="s">
        <v>185</v>
      </c>
      <c r="F322" t="s">
        <v>185</v>
      </c>
      <c r="G322" t="s">
        <v>353</v>
      </c>
      <c r="H322" t="s">
        <v>635</v>
      </c>
    </row>
    <row r="323" spans="1:8" x14ac:dyDescent="0.25">
      <c r="A323" t="s">
        <v>602</v>
      </c>
      <c r="B323">
        <v>9281</v>
      </c>
      <c r="C323" t="s">
        <v>236</v>
      </c>
      <c r="D323" t="s">
        <v>476</v>
      </c>
      <c r="E323" t="s">
        <v>185</v>
      </c>
      <c r="F323" t="s">
        <v>331</v>
      </c>
      <c r="G323" t="s">
        <v>329</v>
      </c>
      <c r="H323" t="s">
        <v>591</v>
      </c>
    </row>
    <row r="324" spans="1:8" x14ac:dyDescent="0.25">
      <c r="A324" t="s">
        <v>444</v>
      </c>
      <c r="B324">
        <v>9289</v>
      </c>
      <c r="C324" t="s">
        <v>236</v>
      </c>
      <c r="D324" t="s">
        <v>692</v>
      </c>
      <c r="E324" t="s">
        <v>185</v>
      </c>
      <c r="F324" t="s">
        <v>411</v>
      </c>
      <c r="G324" t="s">
        <v>329</v>
      </c>
      <c r="H324" t="s">
        <v>185</v>
      </c>
    </row>
    <row r="325" spans="1:8" x14ac:dyDescent="0.25">
      <c r="A325" t="s">
        <v>439</v>
      </c>
      <c r="B325">
        <v>9294</v>
      </c>
      <c r="C325" t="s">
        <v>236</v>
      </c>
      <c r="D325" t="s">
        <v>693</v>
      </c>
      <c r="E325" t="s">
        <v>185</v>
      </c>
      <c r="F325" t="s">
        <v>411</v>
      </c>
      <c r="G325" t="s">
        <v>329</v>
      </c>
      <c r="H325" t="s">
        <v>185</v>
      </c>
    </row>
    <row r="326" spans="1:8" x14ac:dyDescent="0.25">
      <c r="A326" t="s">
        <v>99</v>
      </c>
      <c r="B326">
        <v>9297</v>
      </c>
      <c r="C326" t="s">
        <v>236</v>
      </c>
      <c r="D326" t="s">
        <v>694</v>
      </c>
      <c r="E326" t="s">
        <v>185</v>
      </c>
      <c r="F326" t="s">
        <v>411</v>
      </c>
      <c r="G326" t="s">
        <v>329</v>
      </c>
      <c r="H326" t="s">
        <v>185</v>
      </c>
    </row>
    <row r="327" spans="1:8" x14ac:dyDescent="0.25">
      <c r="A327" t="s">
        <v>423</v>
      </c>
      <c r="B327">
        <v>9299</v>
      </c>
      <c r="C327" t="s">
        <v>236</v>
      </c>
      <c r="D327" t="s">
        <v>695</v>
      </c>
      <c r="E327" t="s">
        <v>185</v>
      </c>
      <c r="F327" t="s">
        <v>185</v>
      </c>
      <c r="G327" t="s">
        <v>353</v>
      </c>
      <c r="H327" t="s">
        <v>185</v>
      </c>
    </row>
    <row r="328" spans="1:8" x14ac:dyDescent="0.25">
      <c r="A328" t="s">
        <v>55</v>
      </c>
      <c r="B328">
        <v>9308</v>
      </c>
      <c r="C328" t="s">
        <v>236</v>
      </c>
      <c r="D328" t="s">
        <v>247</v>
      </c>
      <c r="E328" t="s">
        <v>185</v>
      </c>
      <c r="F328" t="s">
        <v>331</v>
      </c>
      <c r="G328" t="s">
        <v>303</v>
      </c>
      <c r="H328" t="s">
        <v>696</v>
      </c>
    </row>
    <row r="329" spans="1:8" x14ac:dyDescent="0.25">
      <c r="A329" t="s">
        <v>351</v>
      </c>
      <c r="B329">
        <v>9311</v>
      </c>
      <c r="C329" t="s">
        <v>236</v>
      </c>
      <c r="D329" t="s">
        <v>697</v>
      </c>
      <c r="E329" t="s">
        <v>185</v>
      </c>
      <c r="F329" t="s">
        <v>427</v>
      </c>
      <c r="G329" t="s">
        <v>329</v>
      </c>
      <c r="H329" t="s">
        <v>608</v>
      </c>
    </row>
    <row r="330" spans="1:8" x14ac:dyDescent="0.25">
      <c r="A330" t="s">
        <v>412</v>
      </c>
      <c r="B330">
        <v>9313</v>
      </c>
      <c r="C330" t="s">
        <v>236</v>
      </c>
      <c r="D330" t="s">
        <v>698</v>
      </c>
      <c r="E330" t="s">
        <v>185</v>
      </c>
      <c r="F330" t="s">
        <v>344</v>
      </c>
      <c r="G330" t="s">
        <v>329</v>
      </c>
      <c r="H330" t="s">
        <v>185</v>
      </c>
    </row>
    <row r="331" spans="1:8" x14ac:dyDescent="0.25">
      <c r="A331" t="s">
        <v>72</v>
      </c>
      <c r="B331">
        <v>9327</v>
      </c>
      <c r="C331" t="s">
        <v>236</v>
      </c>
      <c r="D331" t="s">
        <v>699</v>
      </c>
      <c r="E331" t="s">
        <v>185</v>
      </c>
      <c r="F331" t="s">
        <v>185</v>
      </c>
      <c r="G331" t="s">
        <v>329</v>
      </c>
      <c r="H331" t="s">
        <v>700</v>
      </c>
    </row>
    <row r="332" spans="1:8" x14ac:dyDescent="0.25">
      <c r="A332" t="s">
        <v>444</v>
      </c>
      <c r="B332">
        <v>9358</v>
      </c>
      <c r="C332" t="s">
        <v>236</v>
      </c>
      <c r="D332" t="s">
        <v>701</v>
      </c>
      <c r="E332" t="s">
        <v>185</v>
      </c>
      <c r="F332" t="s">
        <v>411</v>
      </c>
      <c r="G332" t="s">
        <v>329</v>
      </c>
      <c r="H332" t="s">
        <v>185</v>
      </c>
    </row>
    <row r="333" spans="1:8" x14ac:dyDescent="0.25">
      <c r="A333" t="s">
        <v>48</v>
      </c>
      <c r="B333">
        <v>9490</v>
      </c>
      <c r="C333" t="s">
        <v>236</v>
      </c>
      <c r="D333" t="s">
        <v>702</v>
      </c>
      <c r="E333" t="s">
        <v>185</v>
      </c>
      <c r="F333" t="s">
        <v>331</v>
      </c>
      <c r="G333" t="s">
        <v>329</v>
      </c>
      <c r="H333" t="s">
        <v>185</v>
      </c>
    </row>
    <row r="334" spans="1:8" x14ac:dyDescent="0.25">
      <c r="A334" t="s">
        <v>439</v>
      </c>
      <c r="B334">
        <v>9541</v>
      </c>
      <c r="C334" t="s">
        <v>236</v>
      </c>
      <c r="D334" t="s">
        <v>703</v>
      </c>
      <c r="E334" t="s">
        <v>185</v>
      </c>
      <c r="F334" t="s">
        <v>411</v>
      </c>
      <c r="G334" t="s">
        <v>329</v>
      </c>
      <c r="H334" t="s">
        <v>540</v>
      </c>
    </row>
    <row r="335" spans="1:8" x14ac:dyDescent="0.25">
      <c r="A335" t="s">
        <v>89</v>
      </c>
      <c r="B335">
        <v>9576</v>
      </c>
      <c r="C335" t="s">
        <v>236</v>
      </c>
      <c r="D335" t="s">
        <v>252</v>
      </c>
      <c r="E335" t="s">
        <v>185</v>
      </c>
      <c r="F335" t="s">
        <v>704</v>
      </c>
      <c r="G335" t="s">
        <v>303</v>
      </c>
      <c r="H335" t="s">
        <v>705</v>
      </c>
    </row>
    <row r="336" spans="1:8" x14ac:dyDescent="0.25">
      <c r="A336" t="s">
        <v>351</v>
      </c>
      <c r="B336">
        <v>9598</v>
      </c>
      <c r="C336" t="s">
        <v>236</v>
      </c>
      <c r="D336" t="s">
        <v>706</v>
      </c>
      <c r="E336" t="s">
        <v>185</v>
      </c>
      <c r="F336" t="s">
        <v>331</v>
      </c>
      <c r="G336" t="s">
        <v>329</v>
      </c>
      <c r="H336" t="s">
        <v>707</v>
      </c>
    </row>
    <row r="337" spans="1:8" x14ac:dyDescent="0.25">
      <c r="A337" t="s">
        <v>708</v>
      </c>
      <c r="B337">
        <v>9606</v>
      </c>
      <c r="C337" t="s">
        <v>236</v>
      </c>
      <c r="D337" t="s">
        <v>709</v>
      </c>
      <c r="E337" t="s">
        <v>185</v>
      </c>
      <c r="F337" t="s">
        <v>185</v>
      </c>
      <c r="G337" t="s">
        <v>353</v>
      </c>
      <c r="H337" t="s">
        <v>185</v>
      </c>
    </row>
    <row r="338" spans="1:8" x14ac:dyDescent="0.25">
      <c r="A338" t="s">
        <v>708</v>
      </c>
      <c r="B338">
        <v>9633</v>
      </c>
      <c r="C338" t="s">
        <v>236</v>
      </c>
      <c r="D338" t="s">
        <v>710</v>
      </c>
      <c r="E338" t="s">
        <v>185</v>
      </c>
      <c r="F338" t="s">
        <v>185</v>
      </c>
      <c r="G338" t="s">
        <v>353</v>
      </c>
      <c r="H338" t="s">
        <v>185</v>
      </c>
    </row>
    <row r="339" spans="1:8" x14ac:dyDescent="0.25">
      <c r="A339" t="s">
        <v>351</v>
      </c>
      <c r="B339">
        <v>9701</v>
      </c>
      <c r="C339" t="s">
        <v>236</v>
      </c>
      <c r="D339" t="s">
        <v>711</v>
      </c>
      <c r="E339" t="s">
        <v>185</v>
      </c>
      <c r="F339" t="s">
        <v>427</v>
      </c>
      <c r="G339" t="s">
        <v>329</v>
      </c>
      <c r="H339" t="s">
        <v>712</v>
      </c>
    </row>
    <row r="340" spans="1:8" x14ac:dyDescent="0.25">
      <c r="A340" t="s">
        <v>713</v>
      </c>
      <c r="B340">
        <v>9707</v>
      </c>
      <c r="C340" t="s">
        <v>236</v>
      </c>
      <c r="D340" t="s">
        <v>714</v>
      </c>
      <c r="E340" t="s">
        <v>185</v>
      </c>
      <c r="F340" t="s">
        <v>344</v>
      </c>
      <c r="G340" t="s">
        <v>329</v>
      </c>
      <c r="H340" t="s">
        <v>705</v>
      </c>
    </row>
    <row r="341" spans="1:8" x14ac:dyDescent="0.25">
      <c r="A341" t="s">
        <v>439</v>
      </c>
      <c r="B341">
        <v>9755</v>
      </c>
      <c r="C341" t="s">
        <v>236</v>
      </c>
      <c r="D341" t="s">
        <v>715</v>
      </c>
      <c r="E341" t="s">
        <v>185</v>
      </c>
      <c r="F341" t="s">
        <v>185</v>
      </c>
      <c r="G341" t="s">
        <v>353</v>
      </c>
      <c r="H341" t="s">
        <v>185</v>
      </c>
    </row>
    <row r="342" spans="1:8" x14ac:dyDescent="0.25">
      <c r="A342" t="s">
        <v>439</v>
      </c>
      <c r="B342">
        <v>9784</v>
      </c>
      <c r="C342" t="s">
        <v>236</v>
      </c>
      <c r="D342" t="s">
        <v>716</v>
      </c>
      <c r="E342" t="s">
        <v>185</v>
      </c>
      <c r="F342" t="s">
        <v>562</v>
      </c>
      <c r="G342" t="s">
        <v>329</v>
      </c>
      <c r="H342" t="s">
        <v>185</v>
      </c>
    </row>
    <row r="343" spans="1:8" x14ac:dyDescent="0.25">
      <c r="A343" t="s">
        <v>439</v>
      </c>
      <c r="B343">
        <v>9787</v>
      </c>
      <c r="C343" t="s">
        <v>236</v>
      </c>
      <c r="D343" t="s">
        <v>717</v>
      </c>
      <c r="E343" t="s">
        <v>185</v>
      </c>
      <c r="F343" t="s">
        <v>411</v>
      </c>
      <c r="G343" t="s">
        <v>329</v>
      </c>
      <c r="H343" t="s">
        <v>705</v>
      </c>
    </row>
    <row r="344" spans="1:8" x14ac:dyDescent="0.25">
      <c r="A344" t="s">
        <v>713</v>
      </c>
      <c r="B344">
        <v>9796</v>
      </c>
      <c r="C344" t="s">
        <v>236</v>
      </c>
      <c r="D344" t="s">
        <v>718</v>
      </c>
      <c r="E344" t="s">
        <v>185</v>
      </c>
      <c r="F344" t="s">
        <v>185</v>
      </c>
      <c r="G344" t="s">
        <v>369</v>
      </c>
      <c r="H344" t="s">
        <v>185</v>
      </c>
    </row>
    <row r="345" spans="1:8" x14ac:dyDescent="0.25">
      <c r="A345" t="s">
        <v>142</v>
      </c>
      <c r="B345">
        <v>9833</v>
      </c>
      <c r="C345" t="s">
        <v>236</v>
      </c>
      <c r="D345" t="s">
        <v>719</v>
      </c>
      <c r="E345" t="s">
        <v>185</v>
      </c>
      <c r="F345" t="s">
        <v>344</v>
      </c>
      <c r="G345" t="s">
        <v>329</v>
      </c>
      <c r="H345" t="s">
        <v>185</v>
      </c>
    </row>
    <row r="346" spans="1:8" x14ac:dyDescent="0.25">
      <c r="A346" t="s">
        <v>434</v>
      </c>
      <c r="B346">
        <v>9892</v>
      </c>
      <c r="C346" t="s">
        <v>236</v>
      </c>
      <c r="D346" t="s">
        <v>720</v>
      </c>
      <c r="E346" t="s">
        <v>185</v>
      </c>
      <c r="F346" t="s">
        <v>411</v>
      </c>
      <c r="G346" t="s">
        <v>329</v>
      </c>
      <c r="H346" t="s">
        <v>185</v>
      </c>
    </row>
    <row r="347" spans="1:8" x14ac:dyDescent="0.25">
      <c r="A347" t="s">
        <v>530</v>
      </c>
      <c r="B347">
        <v>9895</v>
      </c>
      <c r="C347" t="s">
        <v>236</v>
      </c>
      <c r="D347" t="s">
        <v>721</v>
      </c>
      <c r="E347" t="s">
        <v>185</v>
      </c>
      <c r="F347" t="s">
        <v>411</v>
      </c>
      <c r="G347" t="s">
        <v>329</v>
      </c>
      <c r="H347" t="s">
        <v>185</v>
      </c>
    </row>
    <row r="348" spans="1:8" x14ac:dyDescent="0.25">
      <c r="A348" t="s">
        <v>444</v>
      </c>
      <c r="B348">
        <v>9898</v>
      </c>
      <c r="C348" t="s">
        <v>236</v>
      </c>
      <c r="D348" t="s">
        <v>722</v>
      </c>
      <c r="E348" t="s">
        <v>185</v>
      </c>
      <c r="F348" t="s">
        <v>411</v>
      </c>
      <c r="G348" t="s">
        <v>329</v>
      </c>
      <c r="H348" t="s">
        <v>185</v>
      </c>
    </row>
    <row r="349" spans="1:8" x14ac:dyDescent="0.25">
      <c r="A349" t="s">
        <v>402</v>
      </c>
      <c r="B349">
        <v>9956</v>
      </c>
      <c r="C349" t="s">
        <v>236</v>
      </c>
      <c r="D349" t="s">
        <v>723</v>
      </c>
      <c r="E349" t="s">
        <v>185</v>
      </c>
      <c r="F349" t="s">
        <v>331</v>
      </c>
      <c r="G349" t="s">
        <v>329</v>
      </c>
      <c r="H349" t="s">
        <v>185</v>
      </c>
    </row>
    <row r="350" spans="1:8" x14ac:dyDescent="0.25">
      <c r="A350" t="s">
        <v>326</v>
      </c>
      <c r="B350">
        <v>9966</v>
      </c>
      <c r="C350" t="s">
        <v>236</v>
      </c>
      <c r="D350" t="s">
        <v>724</v>
      </c>
      <c r="E350" t="s">
        <v>185</v>
      </c>
      <c r="F350" t="s">
        <v>331</v>
      </c>
      <c r="G350" t="s">
        <v>329</v>
      </c>
      <c r="H350" t="s">
        <v>185</v>
      </c>
    </row>
    <row r="351" spans="1:8" x14ac:dyDescent="0.25">
      <c r="A351" t="s">
        <v>444</v>
      </c>
      <c r="B351">
        <v>9978</v>
      </c>
      <c r="C351" t="s">
        <v>236</v>
      </c>
      <c r="D351" t="s">
        <v>725</v>
      </c>
      <c r="E351" t="s">
        <v>185</v>
      </c>
      <c r="F351" t="s">
        <v>411</v>
      </c>
      <c r="G351" t="s">
        <v>329</v>
      </c>
      <c r="H351" t="s">
        <v>185</v>
      </c>
    </row>
    <row r="352" spans="1:8" x14ac:dyDescent="0.25">
      <c r="A352" t="s">
        <v>351</v>
      </c>
      <c r="B352">
        <v>9980</v>
      </c>
      <c r="C352" t="s">
        <v>236</v>
      </c>
      <c r="D352" t="s">
        <v>726</v>
      </c>
      <c r="E352" t="s">
        <v>185</v>
      </c>
      <c r="F352" t="s">
        <v>427</v>
      </c>
      <c r="G352" t="s">
        <v>329</v>
      </c>
      <c r="H352" t="s">
        <v>727</v>
      </c>
    </row>
    <row r="353" spans="1:8" x14ac:dyDescent="0.25">
      <c r="A353" t="s">
        <v>511</v>
      </c>
      <c r="B353">
        <v>9985</v>
      </c>
      <c r="C353" t="s">
        <v>236</v>
      </c>
      <c r="D353" t="s">
        <v>728</v>
      </c>
      <c r="E353" t="s">
        <v>185</v>
      </c>
      <c r="F353" t="s">
        <v>648</v>
      </c>
      <c r="G353" t="s">
        <v>329</v>
      </c>
      <c r="H353" t="s">
        <v>727</v>
      </c>
    </row>
    <row r="354" spans="1:8" x14ac:dyDescent="0.25">
      <c r="A354" t="s">
        <v>326</v>
      </c>
      <c r="B354">
        <v>9997</v>
      </c>
      <c r="C354" t="s">
        <v>236</v>
      </c>
      <c r="D354" t="s">
        <v>729</v>
      </c>
      <c r="E354" t="s">
        <v>185</v>
      </c>
      <c r="F354" t="s">
        <v>331</v>
      </c>
      <c r="G354" t="s">
        <v>329</v>
      </c>
      <c r="H354" t="s">
        <v>185</v>
      </c>
    </row>
    <row r="355" spans="1:8" x14ac:dyDescent="0.25">
      <c r="A355" t="s">
        <v>439</v>
      </c>
      <c r="B355">
        <v>10004</v>
      </c>
      <c r="C355" t="s">
        <v>236</v>
      </c>
      <c r="D355" t="s">
        <v>730</v>
      </c>
      <c r="E355" t="s">
        <v>185</v>
      </c>
      <c r="F355" t="s">
        <v>411</v>
      </c>
      <c r="G355" t="s">
        <v>329</v>
      </c>
      <c r="H355" t="s">
        <v>185</v>
      </c>
    </row>
    <row r="356" spans="1:8" x14ac:dyDescent="0.25">
      <c r="A356" t="s">
        <v>72</v>
      </c>
      <c r="B356">
        <v>10008</v>
      </c>
      <c r="C356" t="s">
        <v>236</v>
      </c>
      <c r="D356" t="s">
        <v>731</v>
      </c>
      <c r="E356" t="s">
        <v>185</v>
      </c>
      <c r="F356" t="s">
        <v>331</v>
      </c>
      <c r="G356" t="s">
        <v>329</v>
      </c>
      <c r="H356" t="s">
        <v>732</v>
      </c>
    </row>
    <row r="357" spans="1:8" x14ac:dyDescent="0.25">
      <c r="A357" t="s">
        <v>354</v>
      </c>
      <c r="B357">
        <v>10012</v>
      </c>
      <c r="C357" t="s">
        <v>236</v>
      </c>
      <c r="D357" t="s">
        <v>710</v>
      </c>
      <c r="E357" t="s">
        <v>185</v>
      </c>
      <c r="F357" t="s">
        <v>331</v>
      </c>
      <c r="G357" t="s">
        <v>329</v>
      </c>
      <c r="H357" t="s">
        <v>185</v>
      </c>
    </row>
    <row r="358" spans="1:8" x14ac:dyDescent="0.25">
      <c r="A358" t="s">
        <v>425</v>
      </c>
      <c r="B358">
        <v>10025</v>
      </c>
      <c r="C358" t="s">
        <v>236</v>
      </c>
      <c r="D358" t="s">
        <v>733</v>
      </c>
      <c r="E358" t="s">
        <v>185</v>
      </c>
      <c r="F358" t="s">
        <v>331</v>
      </c>
      <c r="G358" t="s">
        <v>329</v>
      </c>
      <c r="H358" t="s">
        <v>591</v>
      </c>
    </row>
    <row r="359" spans="1:8" x14ac:dyDescent="0.25">
      <c r="A359" t="s">
        <v>124</v>
      </c>
      <c r="B359">
        <v>10054</v>
      </c>
      <c r="C359" t="s">
        <v>236</v>
      </c>
      <c r="D359" t="s">
        <v>734</v>
      </c>
      <c r="E359" t="s">
        <v>185</v>
      </c>
      <c r="F359" t="s">
        <v>331</v>
      </c>
      <c r="G359" t="s">
        <v>303</v>
      </c>
      <c r="H359" t="s">
        <v>732</v>
      </c>
    </row>
    <row r="360" spans="1:8" x14ac:dyDescent="0.25">
      <c r="A360" t="s">
        <v>468</v>
      </c>
      <c r="B360">
        <v>10128</v>
      </c>
      <c r="C360" t="s">
        <v>236</v>
      </c>
      <c r="D360" t="s">
        <v>735</v>
      </c>
      <c r="E360" t="s">
        <v>185</v>
      </c>
      <c r="F360" t="s">
        <v>185</v>
      </c>
      <c r="G360" t="s">
        <v>353</v>
      </c>
      <c r="H360" t="s">
        <v>185</v>
      </c>
    </row>
    <row r="361" spans="1:8" x14ac:dyDescent="0.25">
      <c r="A361" t="s">
        <v>434</v>
      </c>
      <c r="B361">
        <v>10133</v>
      </c>
      <c r="C361" t="s">
        <v>236</v>
      </c>
      <c r="D361" t="s">
        <v>736</v>
      </c>
      <c r="E361" t="s">
        <v>185</v>
      </c>
      <c r="F361" t="s">
        <v>411</v>
      </c>
      <c r="G361" t="s">
        <v>329</v>
      </c>
      <c r="H361" t="s">
        <v>185</v>
      </c>
    </row>
    <row r="362" spans="1:8" x14ac:dyDescent="0.25">
      <c r="A362" t="s">
        <v>713</v>
      </c>
      <c r="B362">
        <v>10142</v>
      </c>
      <c r="C362" t="s">
        <v>236</v>
      </c>
      <c r="D362" t="s">
        <v>737</v>
      </c>
      <c r="E362" t="s">
        <v>185</v>
      </c>
      <c r="F362" t="s">
        <v>185</v>
      </c>
      <c r="G362" t="s">
        <v>353</v>
      </c>
      <c r="H362" t="s">
        <v>705</v>
      </c>
    </row>
    <row r="363" spans="1:8" x14ac:dyDescent="0.25">
      <c r="A363" t="s">
        <v>72</v>
      </c>
      <c r="B363">
        <v>10159</v>
      </c>
      <c r="C363" t="s">
        <v>236</v>
      </c>
      <c r="D363" t="s">
        <v>738</v>
      </c>
      <c r="E363" t="s">
        <v>185</v>
      </c>
      <c r="F363" t="s">
        <v>606</v>
      </c>
      <c r="G363" t="s">
        <v>303</v>
      </c>
      <c r="H363" t="s">
        <v>185</v>
      </c>
    </row>
    <row r="364" spans="1:8" x14ac:dyDescent="0.25">
      <c r="A364" t="s">
        <v>402</v>
      </c>
      <c r="B364">
        <v>10237</v>
      </c>
      <c r="C364" t="s">
        <v>236</v>
      </c>
      <c r="D364" t="s">
        <v>739</v>
      </c>
      <c r="E364" t="s">
        <v>185</v>
      </c>
      <c r="F364" t="s">
        <v>185</v>
      </c>
      <c r="G364" t="s">
        <v>353</v>
      </c>
      <c r="H364" t="s">
        <v>185</v>
      </c>
    </row>
    <row r="365" spans="1:8" x14ac:dyDescent="0.25">
      <c r="A365" t="s">
        <v>602</v>
      </c>
      <c r="B365">
        <v>10238</v>
      </c>
      <c r="C365" t="s">
        <v>236</v>
      </c>
      <c r="D365" t="s">
        <v>739</v>
      </c>
      <c r="E365" t="s">
        <v>185</v>
      </c>
      <c r="F365" t="s">
        <v>185</v>
      </c>
      <c r="G365" t="s">
        <v>353</v>
      </c>
      <c r="H365" t="s">
        <v>185</v>
      </c>
    </row>
    <row r="366" spans="1:8" x14ac:dyDescent="0.25">
      <c r="A366" t="s">
        <v>351</v>
      </c>
      <c r="B366">
        <v>10245</v>
      </c>
      <c r="C366" t="s">
        <v>236</v>
      </c>
      <c r="D366" t="s">
        <v>740</v>
      </c>
      <c r="E366" t="s">
        <v>185</v>
      </c>
      <c r="F366" t="s">
        <v>427</v>
      </c>
      <c r="G366" t="s">
        <v>329</v>
      </c>
      <c r="H366" t="s">
        <v>185</v>
      </c>
    </row>
    <row r="367" spans="1:8" x14ac:dyDescent="0.25">
      <c r="A367" t="s">
        <v>72</v>
      </c>
      <c r="B367">
        <v>10356</v>
      </c>
      <c r="C367" t="s">
        <v>236</v>
      </c>
      <c r="D367" t="s">
        <v>741</v>
      </c>
      <c r="E367" t="s">
        <v>185</v>
      </c>
      <c r="F367" t="s">
        <v>344</v>
      </c>
      <c r="G367" t="s">
        <v>329</v>
      </c>
      <c r="H367" t="s">
        <v>185</v>
      </c>
    </row>
    <row r="368" spans="1:8" x14ac:dyDescent="0.25">
      <c r="A368" t="s">
        <v>375</v>
      </c>
      <c r="B368">
        <v>10381</v>
      </c>
      <c r="C368" t="s">
        <v>236</v>
      </c>
      <c r="D368" t="s">
        <v>742</v>
      </c>
      <c r="E368" t="s">
        <v>185</v>
      </c>
      <c r="F368" t="s">
        <v>185</v>
      </c>
      <c r="G368" t="s">
        <v>353</v>
      </c>
      <c r="H368" t="s">
        <v>185</v>
      </c>
    </row>
    <row r="369" spans="1:8" x14ac:dyDescent="0.25">
      <c r="A369" t="s">
        <v>351</v>
      </c>
      <c r="B369">
        <v>10387</v>
      </c>
      <c r="C369" t="s">
        <v>236</v>
      </c>
      <c r="D369" t="s">
        <v>743</v>
      </c>
      <c r="E369" t="s">
        <v>185</v>
      </c>
      <c r="F369" t="s">
        <v>331</v>
      </c>
      <c r="G369" t="s">
        <v>329</v>
      </c>
      <c r="H369" t="s">
        <v>744</v>
      </c>
    </row>
    <row r="370" spans="1:8" x14ac:dyDescent="0.25">
      <c r="A370" t="s">
        <v>351</v>
      </c>
      <c r="B370">
        <v>10409</v>
      </c>
      <c r="C370" t="s">
        <v>236</v>
      </c>
      <c r="D370" t="s">
        <v>745</v>
      </c>
      <c r="E370" t="s">
        <v>185</v>
      </c>
      <c r="F370" t="s">
        <v>427</v>
      </c>
      <c r="G370" t="s">
        <v>329</v>
      </c>
      <c r="H370" t="s">
        <v>705</v>
      </c>
    </row>
    <row r="371" spans="1:8" x14ac:dyDescent="0.25">
      <c r="A371" t="s">
        <v>48</v>
      </c>
      <c r="B371">
        <v>10419</v>
      </c>
      <c r="C371" t="s">
        <v>236</v>
      </c>
      <c r="D371" t="s">
        <v>746</v>
      </c>
      <c r="E371" t="s">
        <v>185</v>
      </c>
      <c r="F371" t="s">
        <v>344</v>
      </c>
      <c r="G371" t="s">
        <v>329</v>
      </c>
      <c r="H371" t="s">
        <v>185</v>
      </c>
    </row>
    <row r="372" spans="1:8" x14ac:dyDescent="0.25">
      <c r="A372" t="s">
        <v>434</v>
      </c>
      <c r="B372">
        <v>10500</v>
      </c>
      <c r="C372" t="s">
        <v>236</v>
      </c>
      <c r="D372" t="s">
        <v>747</v>
      </c>
      <c r="E372" t="s">
        <v>185</v>
      </c>
      <c r="F372" t="s">
        <v>411</v>
      </c>
      <c r="G372" t="s">
        <v>329</v>
      </c>
      <c r="H372" t="s">
        <v>185</v>
      </c>
    </row>
    <row r="373" spans="1:8" x14ac:dyDescent="0.25">
      <c r="A373" t="s">
        <v>630</v>
      </c>
      <c r="B373">
        <v>10510</v>
      </c>
      <c r="C373" t="s">
        <v>236</v>
      </c>
      <c r="D373" t="s">
        <v>748</v>
      </c>
      <c r="E373" t="s">
        <v>185</v>
      </c>
      <c r="F373" t="s">
        <v>344</v>
      </c>
      <c r="G373" t="s">
        <v>329</v>
      </c>
      <c r="H373" t="s">
        <v>185</v>
      </c>
    </row>
    <row r="374" spans="1:8" x14ac:dyDescent="0.25">
      <c r="A374" t="s">
        <v>425</v>
      </c>
      <c r="B374">
        <v>10536</v>
      </c>
      <c r="C374" t="s">
        <v>236</v>
      </c>
      <c r="D374" t="s">
        <v>749</v>
      </c>
      <c r="E374" t="s">
        <v>185</v>
      </c>
      <c r="F374" t="s">
        <v>331</v>
      </c>
      <c r="G374" t="s">
        <v>303</v>
      </c>
      <c r="H374" t="s">
        <v>750</v>
      </c>
    </row>
    <row r="375" spans="1:8" x14ac:dyDescent="0.25">
      <c r="A375" t="s">
        <v>471</v>
      </c>
      <c r="B375">
        <v>10692</v>
      </c>
      <c r="C375" t="s">
        <v>236</v>
      </c>
      <c r="D375" t="s">
        <v>751</v>
      </c>
      <c r="E375" t="s">
        <v>185</v>
      </c>
      <c r="F375" t="s">
        <v>411</v>
      </c>
      <c r="G375" t="s">
        <v>329</v>
      </c>
      <c r="H375" t="s">
        <v>185</v>
      </c>
    </row>
    <row r="376" spans="1:8" x14ac:dyDescent="0.25">
      <c r="A376" t="s">
        <v>434</v>
      </c>
      <c r="B376">
        <v>10694</v>
      </c>
      <c r="C376" t="s">
        <v>236</v>
      </c>
      <c r="D376" t="s">
        <v>752</v>
      </c>
      <c r="E376" t="s">
        <v>185</v>
      </c>
      <c r="F376" t="s">
        <v>753</v>
      </c>
      <c r="G376" t="s">
        <v>329</v>
      </c>
      <c r="H376" t="s">
        <v>185</v>
      </c>
    </row>
    <row r="377" spans="1:8" x14ac:dyDescent="0.25">
      <c r="A377" t="s">
        <v>754</v>
      </c>
      <c r="B377">
        <v>10697</v>
      </c>
      <c r="C377" t="s">
        <v>236</v>
      </c>
      <c r="D377" t="s">
        <v>755</v>
      </c>
      <c r="E377" t="s">
        <v>185</v>
      </c>
      <c r="F377" t="s">
        <v>185</v>
      </c>
      <c r="G377" t="s">
        <v>297</v>
      </c>
      <c r="H377" t="s">
        <v>185</v>
      </c>
    </row>
    <row r="378" spans="1:8" x14ac:dyDescent="0.25">
      <c r="A378" t="s">
        <v>439</v>
      </c>
      <c r="B378">
        <v>10699</v>
      </c>
      <c r="C378" t="s">
        <v>236</v>
      </c>
      <c r="D378" t="s">
        <v>756</v>
      </c>
      <c r="E378" t="s">
        <v>185</v>
      </c>
      <c r="F378" t="s">
        <v>185</v>
      </c>
      <c r="G378" t="s">
        <v>369</v>
      </c>
      <c r="H378" t="s">
        <v>185</v>
      </c>
    </row>
    <row r="379" spans="1:8" x14ac:dyDescent="0.25">
      <c r="A379" t="s">
        <v>757</v>
      </c>
      <c r="B379">
        <v>10705</v>
      </c>
      <c r="C379" t="s">
        <v>236</v>
      </c>
      <c r="D379" t="s">
        <v>758</v>
      </c>
      <c r="E379" t="s">
        <v>185</v>
      </c>
      <c r="F379" t="s">
        <v>185</v>
      </c>
      <c r="G379" t="s">
        <v>353</v>
      </c>
      <c r="H379" t="s">
        <v>185</v>
      </c>
    </row>
    <row r="380" spans="1:8" x14ac:dyDescent="0.25">
      <c r="A380" t="s">
        <v>89</v>
      </c>
      <c r="B380">
        <v>10764</v>
      </c>
      <c r="C380" t="s">
        <v>236</v>
      </c>
      <c r="D380" t="s">
        <v>759</v>
      </c>
      <c r="E380" t="s">
        <v>185</v>
      </c>
      <c r="F380" t="s">
        <v>185</v>
      </c>
      <c r="G380" t="s">
        <v>353</v>
      </c>
      <c r="H380" t="s">
        <v>185</v>
      </c>
    </row>
    <row r="381" spans="1:8" x14ac:dyDescent="0.25">
      <c r="A381" t="s">
        <v>89</v>
      </c>
      <c r="B381">
        <v>10765</v>
      </c>
      <c r="C381" t="s">
        <v>236</v>
      </c>
      <c r="D381" t="s">
        <v>760</v>
      </c>
      <c r="E381" t="s">
        <v>185</v>
      </c>
      <c r="F381" t="s">
        <v>185</v>
      </c>
      <c r="G381" t="s">
        <v>353</v>
      </c>
      <c r="H381" t="s">
        <v>185</v>
      </c>
    </row>
    <row r="382" spans="1:8" x14ac:dyDescent="0.25">
      <c r="A382" t="s">
        <v>89</v>
      </c>
      <c r="B382">
        <v>10766</v>
      </c>
      <c r="C382" t="s">
        <v>236</v>
      </c>
      <c r="D382" t="s">
        <v>761</v>
      </c>
      <c r="E382" t="s">
        <v>185</v>
      </c>
      <c r="F382" t="s">
        <v>185</v>
      </c>
      <c r="G382" t="s">
        <v>353</v>
      </c>
      <c r="H382" t="s">
        <v>185</v>
      </c>
    </row>
    <row r="383" spans="1:8" x14ac:dyDescent="0.25">
      <c r="A383" t="s">
        <v>89</v>
      </c>
      <c r="B383">
        <v>10767</v>
      </c>
      <c r="C383" t="s">
        <v>236</v>
      </c>
      <c r="D383" t="s">
        <v>762</v>
      </c>
      <c r="E383" t="s">
        <v>185</v>
      </c>
      <c r="F383" t="s">
        <v>185</v>
      </c>
      <c r="G383" t="s">
        <v>353</v>
      </c>
      <c r="H383" t="s">
        <v>185</v>
      </c>
    </row>
    <row r="384" spans="1:8" x14ac:dyDescent="0.25">
      <c r="A384" t="s">
        <v>434</v>
      </c>
      <c r="B384">
        <v>10773</v>
      </c>
      <c r="C384" t="s">
        <v>236</v>
      </c>
      <c r="D384" t="s">
        <v>763</v>
      </c>
      <c r="E384" t="s">
        <v>185</v>
      </c>
      <c r="F384" t="s">
        <v>411</v>
      </c>
      <c r="G384" t="s">
        <v>329</v>
      </c>
      <c r="H384" t="s">
        <v>185</v>
      </c>
    </row>
    <row r="385" spans="1:8" x14ac:dyDescent="0.25">
      <c r="A385" t="s">
        <v>434</v>
      </c>
      <c r="B385">
        <v>10808</v>
      </c>
      <c r="C385" t="s">
        <v>236</v>
      </c>
      <c r="D385" t="s">
        <v>764</v>
      </c>
      <c r="E385" t="s">
        <v>185</v>
      </c>
      <c r="F385" t="s">
        <v>411</v>
      </c>
      <c r="G385" t="s">
        <v>303</v>
      </c>
      <c r="H385" t="s">
        <v>185</v>
      </c>
    </row>
    <row r="386" spans="1:8" x14ac:dyDescent="0.25">
      <c r="A386" t="s">
        <v>402</v>
      </c>
      <c r="B386">
        <v>10819</v>
      </c>
      <c r="C386" t="s">
        <v>236</v>
      </c>
      <c r="D386" t="s">
        <v>765</v>
      </c>
      <c r="E386" t="s">
        <v>185</v>
      </c>
      <c r="F386" t="s">
        <v>344</v>
      </c>
      <c r="G386" t="s">
        <v>353</v>
      </c>
      <c r="H386" t="s">
        <v>185</v>
      </c>
    </row>
    <row r="387" spans="1:8" x14ac:dyDescent="0.25">
      <c r="A387" t="s">
        <v>402</v>
      </c>
      <c r="B387">
        <v>10828</v>
      </c>
      <c r="C387" t="s">
        <v>236</v>
      </c>
      <c r="D387" t="s">
        <v>766</v>
      </c>
      <c r="E387" t="s">
        <v>185</v>
      </c>
      <c r="F387" t="s">
        <v>185</v>
      </c>
      <c r="G387" t="s">
        <v>353</v>
      </c>
      <c r="H387" t="s">
        <v>685</v>
      </c>
    </row>
    <row r="388" spans="1:8" x14ac:dyDescent="0.25">
      <c r="A388" t="s">
        <v>55</v>
      </c>
      <c r="B388">
        <v>10867</v>
      </c>
      <c r="C388" t="s">
        <v>236</v>
      </c>
      <c r="D388" t="s">
        <v>767</v>
      </c>
      <c r="E388" t="s">
        <v>185</v>
      </c>
      <c r="F388" t="s">
        <v>648</v>
      </c>
      <c r="G388" t="s">
        <v>329</v>
      </c>
      <c r="H388" t="s">
        <v>185</v>
      </c>
    </row>
    <row r="389" spans="1:8" x14ac:dyDescent="0.25">
      <c r="A389" t="s">
        <v>351</v>
      </c>
      <c r="B389">
        <v>10949</v>
      </c>
      <c r="C389" t="s">
        <v>236</v>
      </c>
      <c r="D389" t="s">
        <v>768</v>
      </c>
      <c r="E389" t="s">
        <v>185</v>
      </c>
      <c r="F389" t="s">
        <v>331</v>
      </c>
      <c r="G389" t="s">
        <v>329</v>
      </c>
      <c r="H389" t="s">
        <v>185</v>
      </c>
    </row>
    <row r="390" spans="1:8" x14ac:dyDescent="0.25">
      <c r="A390" t="s">
        <v>425</v>
      </c>
      <c r="B390">
        <v>10954</v>
      </c>
      <c r="C390" t="s">
        <v>236</v>
      </c>
      <c r="D390" t="s">
        <v>769</v>
      </c>
      <c r="E390" t="s">
        <v>185</v>
      </c>
      <c r="F390" t="s">
        <v>344</v>
      </c>
      <c r="G390" t="s">
        <v>329</v>
      </c>
      <c r="H390" t="s">
        <v>185</v>
      </c>
    </row>
    <row r="391" spans="1:8" x14ac:dyDescent="0.25">
      <c r="A391" t="s">
        <v>402</v>
      </c>
      <c r="B391">
        <v>10955</v>
      </c>
      <c r="C391" t="s">
        <v>236</v>
      </c>
      <c r="D391" t="s">
        <v>770</v>
      </c>
      <c r="E391" t="s">
        <v>185</v>
      </c>
      <c r="F391" t="s">
        <v>185</v>
      </c>
      <c r="G391" t="s">
        <v>353</v>
      </c>
      <c r="H391" t="s">
        <v>771</v>
      </c>
    </row>
    <row r="392" spans="1:8" x14ac:dyDescent="0.25">
      <c r="A392" t="s">
        <v>354</v>
      </c>
      <c r="B392">
        <v>10972</v>
      </c>
      <c r="C392" t="s">
        <v>236</v>
      </c>
      <c r="D392" t="s">
        <v>772</v>
      </c>
      <c r="E392" t="s">
        <v>185</v>
      </c>
      <c r="F392" t="s">
        <v>185</v>
      </c>
      <c r="G392" t="s">
        <v>353</v>
      </c>
      <c r="H392" t="s">
        <v>185</v>
      </c>
    </row>
    <row r="393" spans="1:8" x14ac:dyDescent="0.25">
      <c r="A393" t="s">
        <v>439</v>
      </c>
      <c r="B393">
        <v>11007</v>
      </c>
      <c r="C393" t="s">
        <v>236</v>
      </c>
      <c r="D393" t="s">
        <v>773</v>
      </c>
      <c r="E393" t="s">
        <v>185</v>
      </c>
      <c r="F393" t="s">
        <v>411</v>
      </c>
      <c r="G393" t="s">
        <v>329</v>
      </c>
      <c r="H393" t="s">
        <v>185</v>
      </c>
    </row>
    <row r="394" spans="1:8" x14ac:dyDescent="0.25">
      <c r="A394" t="s">
        <v>444</v>
      </c>
      <c r="B394">
        <v>11022</v>
      </c>
      <c r="C394" t="s">
        <v>236</v>
      </c>
      <c r="D394" t="s">
        <v>774</v>
      </c>
      <c r="E394" t="s">
        <v>185</v>
      </c>
      <c r="F394" t="s">
        <v>753</v>
      </c>
      <c r="G394" t="s">
        <v>329</v>
      </c>
      <c r="H394" t="s">
        <v>185</v>
      </c>
    </row>
    <row r="395" spans="1:8" x14ac:dyDescent="0.25">
      <c r="A395" t="s">
        <v>89</v>
      </c>
      <c r="B395">
        <v>11028</v>
      </c>
      <c r="C395" t="s">
        <v>236</v>
      </c>
      <c r="D395" t="s">
        <v>775</v>
      </c>
      <c r="E395" t="s">
        <v>185</v>
      </c>
      <c r="F395" t="s">
        <v>185</v>
      </c>
      <c r="G395" t="s">
        <v>353</v>
      </c>
      <c r="H395" t="s">
        <v>185</v>
      </c>
    </row>
    <row r="396" spans="1:8" x14ac:dyDescent="0.25">
      <c r="A396" t="s">
        <v>48</v>
      </c>
      <c r="B396">
        <v>11106</v>
      </c>
      <c r="C396" t="s">
        <v>236</v>
      </c>
      <c r="D396" t="s">
        <v>776</v>
      </c>
      <c r="E396" t="s">
        <v>185</v>
      </c>
      <c r="F396" t="s">
        <v>331</v>
      </c>
      <c r="G396" t="s">
        <v>329</v>
      </c>
      <c r="H396" t="s">
        <v>185</v>
      </c>
    </row>
    <row r="397" spans="1:8" x14ac:dyDescent="0.25">
      <c r="A397" t="s">
        <v>439</v>
      </c>
      <c r="B397">
        <v>11120</v>
      </c>
      <c r="C397" t="s">
        <v>236</v>
      </c>
      <c r="D397" t="s">
        <v>777</v>
      </c>
      <c r="E397" t="s">
        <v>185</v>
      </c>
      <c r="F397" t="s">
        <v>411</v>
      </c>
      <c r="G397" t="s">
        <v>329</v>
      </c>
      <c r="H397" t="s">
        <v>185</v>
      </c>
    </row>
    <row r="398" spans="1:8" x14ac:dyDescent="0.25">
      <c r="A398" t="s">
        <v>439</v>
      </c>
      <c r="B398">
        <v>11154</v>
      </c>
      <c r="C398" t="s">
        <v>236</v>
      </c>
      <c r="D398" t="s">
        <v>778</v>
      </c>
      <c r="E398" t="s">
        <v>185</v>
      </c>
      <c r="F398" t="s">
        <v>411</v>
      </c>
      <c r="G398" t="s">
        <v>329</v>
      </c>
      <c r="H398" t="s">
        <v>438</v>
      </c>
    </row>
    <row r="399" spans="1:8" x14ac:dyDescent="0.25">
      <c r="A399" t="s">
        <v>713</v>
      </c>
      <c r="B399">
        <v>11159</v>
      </c>
      <c r="C399" t="s">
        <v>236</v>
      </c>
      <c r="D399" t="s">
        <v>779</v>
      </c>
      <c r="E399" t="s">
        <v>185</v>
      </c>
      <c r="F399" t="s">
        <v>185</v>
      </c>
      <c r="G399" t="s">
        <v>353</v>
      </c>
      <c r="H399" t="s">
        <v>780</v>
      </c>
    </row>
    <row r="400" spans="1:8" x14ac:dyDescent="0.25">
      <c r="A400" t="s">
        <v>48</v>
      </c>
      <c r="B400">
        <v>11173</v>
      </c>
      <c r="C400" t="s">
        <v>236</v>
      </c>
      <c r="D400" t="s">
        <v>781</v>
      </c>
      <c r="E400" t="s">
        <v>185</v>
      </c>
      <c r="F400" t="s">
        <v>331</v>
      </c>
      <c r="G400" t="s">
        <v>329</v>
      </c>
      <c r="H400" t="s">
        <v>185</v>
      </c>
    </row>
    <row r="401" spans="1:8" x14ac:dyDescent="0.25">
      <c r="A401" t="s">
        <v>434</v>
      </c>
      <c r="B401">
        <v>11182</v>
      </c>
      <c r="C401" t="s">
        <v>236</v>
      </c>
      <c r="D401" t="s">
        <v>782</v>
      </c>
      <c r="E401" t="s">
        <v>185</v>
      </c>
      <c r="F401" t="s">
        <v>411</v>
      </c>
      <c r="G401" t="s">
        <v>329</v>
      </c>
      <c r="H401" t="s">
        <v>185</v>
      </c>
    </row>
    <row r="402" spans="1:8" x14ac:dyDescent="0.25">
      <c r="A402" t="s">
        <v>72</v>
      </c>
      <c r="B402">
        <v>11290</v>
      </c>
      <c r="C402" t="s">
        <v>236</v>
      </c>
      <c r="D402" t="s">
        <v>783</v>
      </c>
      <c r="E402" t="s">
        <v>185</v>
      </c>
      <c r="F402" t="s">
        <v>185</v>
      </c>
      <c r="G402" t="s">
        <v>353</v>
      </c>
      <c r="H402" t="s">
        <v>185</v>
      </c>
    </row>
    <row r="403" spans="1:8" x14ac:dyDescent="0.25">
      <c r="A403" t="s">
        <v>72</v>
      </c>
      <c r="B403">
        <v>11291</v>
      </c>
      <c r="C403" t="s">
        <v>236</v>
      </c>
      <c r="D403" t="s">
        <v>784</v>
      </c>
      <c r="E403" t="s">
        <v>185</v>
      </c>
      <c r="F403" t="s">
        <v>185</v>
      </c>
      <c r="G403" t="s">
        <v>353</v>
      </c>
      <c r="H403" t="s">
        <v>185</v>
      </c>
    </row>
    <row r="404" spans="1:8" x14ac:dyDescent="0.25">
      <c r="A404" t="s">
        <v>72</v>
      </c>
      <c r="B404">
        <v>11295</v>
      </c>
      <c r="C404" t="s">
        <v>236</v>
      </c>
      <c r="D404" t="s">
        <v>785</v>
      </c>
      <c r="E404" t="s">
        <v>185</v>
      </c>
      <c r="F404" t="s">
        <v>185</v>
      </c>
      <c r="G404" t="s">
        <v>353</v>
      </c>
      <c r="H404" t="s">
        <v>185</v>
      </c>
    </row>
    <row r="405" spans="1:8" x14ac:dyDescent="0.25">
      <c r="A405" t="s">
        <v>99</v>
      </c>
      <c r="B405">
        <v>11309</v>
      </c>
      <c r="C405" t="s">
        <v>236</v>
      </c>
      <c r="D405" t="s">
        <v>786</v>
      </c>
      <c r="E405" t="s">
        <v>185</v>
      </c>
      <c r="F405" t="s">
        <v>185</v>
      </c>
      <c r="G405" t="s">
        <v>353</v>
      </c>
      <c r="H405" t="s">
        <v>185</v>
      </c>
    </row>
    <row r="406" spans="1:8" x14ac:dyDescent="0.25">
      <c r="A406" t="s">
        <v>471</v>
      </c>
      <c r="B406">
        <v>11528</v>
      </c>
      <c r="C406" t="s">
        <v>236</v>
      </c>
      <c r="D406" t="s">
        <v>787</v>
      </c>
      <c r="E406" t="s">
        <v>185</v>
      </c>
      <c r="F406" t="s">
        <v>411</v>
      </c>
      <c r="G406" t="s">
        <v>329</v>
      </c>
      <c r="H406" t="s">
        <v>185</v>
      </c>
    </row>
    <row r="407" spans="1:8" x14ac:dyDescent="0.25">
      <c r="A407" t="s">
        <v>471</v>
      </c>
      <c r="B407">
        <v>11545</v>
      </c>
      <c r="C407" t="s">
        <v>236</v>
      </c>
      <c r="D407" t="s">
        <v>788</v>
      </c>
      <c r="E407" t="s">
        <v>185</v>
      </c>
      <c r="F407" t="s">
        <v>411</v>
      </c>
      <c r="G407" t="s">
        <v>303</v>
      </c>
      <c r="H407" t="s">
        <v>185</v>
      </c>
    </row>
    <row r="408" spans="1:8" x14ac:dyDescent="0.25">
      <c r="A408" t="s">
        <v>444</v>
      </c>
      <c r="B408">
        <v>11576</v>
      </c>
      <c r="C408" t="s">
        <v>236</v>
      </c>
      <c r="D408" t="s">
        <v>789</v>
      </c>
      <c r="E408" t="s">
        <v>185</v>
      </c>
      <c r="F408" t="s">
        <v>411</v>
      </c>
      <c r="G408" t="s">
        <v>329</v>
      </c>
      <c r="H408" t="s">
        <v>185</v>
      </c>
    </row>
    <row r="409" spans="1:8" x14ac:dyDescent="0.25">
      <c r="A409" t="s">
        <v>444</v>
      </c>
      <c r="B409">
        <v>11581</v>
      </c>
      <c r="C409" t="s">
        <v>236</v>
      </c>
      <c r="D409" t="s">
        <v>790</v>
      </c>
      <c r="E409" t="s">
        <v>185</v>
      </c>
      <c r="F409" t="s">
        <v>185</v>
      </c>
      <c r="G409" t="s">
        <v>369</v>
      </c>
      <c r="H409" t="s">
        <v>185</v>
      </c>
    </row>
    <row r="410" spans="1:8" x14ac:dyDescent="0.25">
      <c r="A410" t="s">
        <v>142</v>
      </c>
      <c r="B410">
        <v>11583</v>
      </c>
      <c r="C410" t="s">
        <v>236</v>
      </c>
      <c r="D410" t="s">
        <v>791</v>
      </c>
      <c r="E410" t="s">
        <v>185</v>
      </c>
      <c r="F410" t="s">
        <v>344</v>
      </c>
      <c r="G410" t="s">
        <v>329</v>
      </c>
      <c r="H410" t="s">
        <v>185</v>
      </c>
    </row>
    <row r="411" spans="1:8" x14ac:dyDescent="0.25">
      <c r="A411" t="s">
        <v>439</v>
      </c>
      <c r="B411">
        <v>11720</v>
      </c>
      <c r="C411" t="s">
        <v>236</v>
      </c>
      <c r="D411" t="s">
        <v>792</v>
      </c>
      <c r="E411" t="s">
        <v>185</v>
      </c>
      <c r="F411" t="s">
        <v>411</v>
      </c>
      <c r="G411" t="s">
        <v>329</v>
      </c>
      <c r="H411" t="s">
        <v>185</v>
      </c>
    </row>
    <row r="412" spans="1:8" x14ac:dyDescent="0.25">
      <c r="A412" t="s">
        <v>425</v>
      </c>
      <c r="B412">
        <v>11731</v>
      </c>
      <c r="C412" t="s">
        <v>236</v>
      </c>
      <c r="D412" t="s">
        <v>793</v>
      </c>
      <c r="E412" t="s">
        <v>185</v>
      </c>
      <c r="F412" t="s">
        <v>344</v>
      </c>
      <c r="G412" t="s">
        <v>329</v>
      </c>
      <c r="H412" t="s">
        <v>185</v>
      </c>
    </row>
    <row r="413" spans="1:8" x14ac:dyDescent="0.25">
      <c r="A413" t="s">
        <v>351</v>
      </c>
      <c r="B413">
        <v>11768</v>
      </c>
      <c r="C413" t="s">
        <v>236</v>
      </c>
      <c r="D413" t="s">
        <v>794</v>
      </c>
      <c r="E413" t="s">
        <v>185</v>
      </c>
      <c r="F413" t="s">
        <v>185</v>
      </c>
      <c r="G413" t="s">
        <v>353</v>
      </c>
      <c r="H413" t="s">
        <v>185</v>
      </c>
    </row>
    <row r="414" spans="1:8" x14ac:dyDescent="0.25">
      <c r="A414" t="s">
        <v>351</v>
      </c>
      <c r="B414">
        <v>11769</v>
      </c>
      <c r="C414" t="s">
        <v>236</v>
      </c>
      <c r="D414" t="s">
        <v>795</v>
      </c>
      <c r="E414" t="s">
        <v>185</v>
      </c>
      <c r="F414" t="s">
        <v>185</v>
      </c>
      <c r="G414" t="s">
        <v>353</v>
      </c>
      <c r="H414" t="s">
        <v>185</v>
      </c>
    </row>
    <row r="415" spans="1:8" x14ac:dyDescent="0.25">
      <c r="A415" t="s">
        <v>351</v>
      </c>
      <c r="B415">
        <v>11770</v>
      </c>
      <c r="C415" t="s">
        <v>236</v>
      </c>
      <c r="D415" t="s">
        <v>796</v>
      </c>
      <c r="E415" t="s">
        <v>185</v>
      </c>
      <c r="F415" t="s">
        <v>185</v>
      </c>
      <c r="G415" t="s">
        <v>353</v>
      </c>
      <c r="H415" t="s">
        <v>185</v>
      </c>
    </row>
    <row r="416" spans="1:8" x14ac:dyDescent="0.25">
      <c r="A416" t="s">
        <v>439</v>
      </c>
      <c r="B416">
        <v>11795</v>
      </c>
      <c r="C416" t="s">
        <v>236</v>
      </c>
      <c r="D416" t="s">
        <v>797</v>
      </c>
      <c r="E416" t="s">
        <v>185</v>
      </c>
      <c r="F416" t="s">
        <v>185</v>
      </c>
      <c r="G416" t="s">
        <v>353</v>
      </c>
      <c r="H416" t="s">
        <v>185</v>
      </c>
    </row>
    <row r="417" spans="1:8" x14ac:dyDescent="0.25">
      <c r="A417" t="s">
        <v>434</v>
      </c>
      <c r="B417">
        <v>11803</v>
      </c>
      <c r="C417" t="s">
        <v>236</v>
      </c>
      <c r="D417" t="s">
        <v>798</v>
      </c>
      <c r="E417" t="s">
        <v>185</v>
      </c>
      <c r="F417" t="s">
        <v>411</v>
      </c>
      <c r="G417" t="s">
        <v>329</v>
      </c>
      <c r="H417" t="s">
        <v>185</v>
      </c>
    </row>
    <row r="418" spans="1:8" x14ac:dyDescent="0.25">
      <c r="A418" t="s">
        <v>412</v>
      </c>
      <c r="B418">
        <v>11806</v>
      </c>
      <c r="C418" t="s">
        <v>236</v>
      </c>
      <c r="D418" t="s">
        <v>799</v>
      </c>
      <c r="E418" t="s">
        <v>185</v>
      </c>
      <c r="F418" t="s">
        <v>185</v>
      </c>
      <c r="G418" t="s">
        <v>353</v>
      </c>
      <c r="H418" t="s">
        <v>688</v>
      </c>
    </row>
    <row r="419" spans="1:8" x14ac:dyDescent="0.25">
      <c r="A419" t="s">
        <v>425</v>
      </c>
      <c r="B419">
        <v>11814</v>
      </c>
      <c r="C419" t="s">
        <v>236</v>
      </c>
      <c r="D419" t="s">
        <v>800</v>
      </c>
      <c r="E419" t="s">
        <v>185</v>
      </c>
      <c r="F419" t="s">
        <v>344</v>
      </c>
      <c r="G419" t="s">
        <v>329</v>
      </c>
      <c r="H419" t="s">
        <v>185</v>
      </c>
    </row>
    <row r="420" spans="1:8" x14ac:dyDescent="0.25">
      <c r="A420" t="s">
        <v>402</v>
      </c>
      <c r="B420">
        <v>11815</v>
      </c>
      <c r="C420" t="s">
        <v>236</v>
      </c>
      <c r="D420" t="s">
        <v>801</v>
      </c>
      <c r="E420" t="s">
        <v>185</v>
      </c>
      <c r="F420" t="s">
        <v>185</v>
      </c>
      <c r="G420" t="s">
        <v>353</v>
      </c>
      <c r="H420" t="s">
        <v>185</v>
      </c>
    </row>
    <row r="421" spans="1:8" x14ac:dyDescent="0.25">
      <c r="A421" t="s">
        <v>354</v>
      </c>
      <c r="B421">
        <v>11837</v>
      </c>
      <c r="C421" t="s">
        <v>236</v>
      </c>
      <c r="D421" t="s">
        <v>802</v>
      </c>
      <c r="E421" t="s">
        <v>185</v>
      </c>
      <c r="F421" t="s">
        <v>185</v>
      </c>
      <c r="G421" t="s">
        <v>353</v>
      </c>
      <c r="H421" t="s">
        <v>185</v>
      </c>
    </row>
    <row r="422" spans="1:8" x14ac:dyDescent="0.25">
      <c r="A422" t="s">
        <v>72</v>
      </c>
      <c r="B422">
        <v>11851</v>
      </c>
      <c r="C422" t="s">
        <v>236</v>
      </c>
      <c r="D422" t="s">
        <v>803</v>
      </c>
      <c r="E422" t="s">
        <v>185</v>
      </c>
      <c r="F422" t="s">
        <v>427</v>
      </c>
      <c r="G422" t="s">
        <v>329</v>
      </c>
      <c r="H422" t="s">
        <v>185</v>
      </c>
    </row>
    <row r="423" spans="1:8" x14ac:dyDescent="0.25">
      <c r="A423" t="s">
        <v>618</v>
      </c>
      <c r="B423">
        <v>11852</v>
      </c>
      <c r="C423" t="s">
        <v>236</v>
      </c>
      <c r="D423" t="s">
        <v>804</v>
      </c>
      <c r="E423" t="s">
        <v>185</v>
      </c>
      <c r="F423" t="s">
        <v>427</v>
      </c>
      <c r="G423" t="s">
        <v>329</v>
      </c>
      <c r="H423" t="s">
        <v>185</v>
      </c>
    </row>
    <row r="424" spans="1:8" x14ac:dyDescent="0.25">
      <c r="A424" t="s">
        <v>602</v>
      </c>
      <c r="B424">
        <v>11866</v>
      </c>
      <c r="C424" t="s">
        <v>236</v>
      </c>
      <c r="D424" t="s">
        <v>805</v>
      </c>
      <c r="E424" t="s">
        <v>185</v>
      </c>
      <c r="F424" t="s">
        <v>704</v>
      </c>
      <c r="G424" t="s">
        <v>329</v>
      </c>
      <c r="H424" t="s">
        <v>185</v>
      </c>
    </row>
    <row r="425" spans="1:8" x14ac:dyDescent="0.25">
      <c r="A425" t="s">
        <v>99</v>
      </c>
      <c r="B425">
        <v>11867</v>
      </c>
      <c r="C425" t="s">
        <v>236</v>
      </c>
      <c r="D425" t="s">
        <v>806</v>
      </c>
      <c r="E425" t="s">
        <v>185</v>
      </c>
      <c r="F425" t="s">
        <v>185</v>
      </c>
      <c r="G425" t="s">
        <v>353</v>
      </c>
      <c r="H425" t="s">
        <v>185</v>
      </c>
    </row>
    <row r="426" spans="1:8" x14ac:dyDescent="0.25">
      <c r="A426" t="s">
        <v>409</v>
      </c>
      <c r="B426">
        <v>11881</v>
      </c>
      <c r="C426" t="s">
        <v>236</v>
      </c>
      <c r="D426" t="s">
        <v>807</v>
      </c>
      <c r="E426" t="s">
        <v>185</v>
      </c>
      <c r="F426" t="s">
        <v>185</v>
      </c>
      <c r="G426" t="s">
        <v>353</v>
      </c>
      <c r="H426" t="s">
        <v>185</v>
      </c>
    </row>
    <row r="427" spans="1:8" x14ac:dyDescent="0.25">
      <c r="A427" t="s">
        <v>48</v>
      </c>
      <c r="B427">
        <v>11918</v>
      </c>
      <c r="C427" t="s">
        <v>236</v>
      </c>
      <c r="D427" t="s">
        <v>808</v>
      </c>
      <c r="E427" t="s">
        <v>185</v>
      </c>
      <c r="F427" t="s">
        <v>185</v>
      </c>
      <c r="G427" t="s">
        <v>353</v>
      </c>
      <c r="H427" t="s">
        <v>185</v>
      </c>
    </row>
    <row r="428" spans="1:8" x14ac:dyDescent="0.25">
      <c r="A428" t="s">
        <v>351</v>
      </c>
      <c r="B428">
        <v>11955</v>
      </c>
      <c r="C428" t="s">
        <v>236</v>
      </c>
      <c r="D428" t="s">
        <v>809</v>
      </c>
      <c r="E428" t="s">
        <v>185</v>
      </c>
      <c r="F428" t="s">
        <v>185</v>
      </c>
      <c r="G428" t="s">
        <v>353</v>
      </c>
      <c r="H428" t="s">
        <v>185</v>
      </c>
    </row>
    <row r="429" spans="1:8" x14ac:dyDescent="0.25">
      <c r="A429" t="s">
        <v>351</v>
      </c>
      <c r="B429">
        <v>11958</v>
      </c>
      <c r="C429" t="s">
        <v>236</v>
      </c>
      <c r="D429" t="s">
        <v>810</v>
      </c>
      <c r="E429" t="s">
        <v>185</v>
      </c>
      <c r="F429" t="s">
        <v>185</v>
      </c>
      <c r="G429" t="s">
        <v>353</v>
      </c>
      <c r="H429" t="s">
        <v>185</v>
      </c>
    </row>
    <row r="430" spans="1:8" x14ac:dyDescent="0.25">
      <c r="A430" t="s">
        <v>351</v>
      </c>
      <c r="B430">
        <v>11959</v>
      </c>
      <c r="C430" t="s">
        <v>236</v>
      </c>
      <c r="D430" t="s">
        <v>811</v>
      </c>
      <c r="E430" t="s">
        <v>185</v>
      </c>
      <c r="F430" t="s">
        <v>185</v>
      </c>
      <c r="G430" t="s">
        <v>353</v>
      </c>
      <c r="H430" t="s">
        <v>185</v>
      </c>
    </row>
    <row r="431" spans="1:8" x14ac:dyDescent="0.25">
      <c r="A431" t="s">
        <v>812</v>
      </c>
      <c r="B431">
        <v>11987</v>
      </c>
      <c r="C431" t="s">
        <v>236</v>
      </c>
      <c r="D431" t="s">
        <v>813</v>
      </c>
      <c r="E431" t="s">
        <v>185</v>
      </c>
      <c r="F431" t="s">
        <v>648</v>
      </c>
      <c r="G431" t="s">
        <v>329</v>
      </c>
      <c r="H431" t="s">
        <v>185</v>
      </c>
    </row>
    <row r="432" spans="1:8" x14ac:dyDescent="0.25">
      <c r="A432" t="s">
        <v>444</v>
      </c>
      <c r="B432">
        <v>11989</v>
      </c>
      <c r="C432" t="s">
        <v>236</v>
      </c>
      <c r="D432" t="s">
        <v>814</v>
      </c>
      <c r="E432" t="s">
        <v>185</v>
      </c>
      <c r="F432" t="s">
        <v>411</v>
      </c>
      <c r="G432" t="s">
        <v>303</v>
      </c>
      <c r="H432" t="s">
        <v>185</v>
      </c>
    </row>
    <row r="433" spans="1:8" x14ac:dyDescent="0.25">
      <c r="A433" t="s">
        <v>471</v>
      </c>
      <c r="B433">
        <v>12045</v>
      </c>
      <c r="C433" t="s">
        <v>236</v>
      </c>
      <c r="D433" t="s">
        <v>815</v>
      </c>
      <c r="E433" t="s">
        <v>185</v>
      </c>
      <c r="F433" t="s">
        <v>185</v>
      </c>
      <c r="G433" t="s">
        <v>353</v>
      </c>
      <c r="H433" t="s">
        <v>185</v>
      </c>
    </row>
    <row r="434" spans="1:8" x14ac:dyDescent="0.25">
      <c r="A434" t="s">
        <v>471</v>
      </c>
      <c r="B434">
        <v>12047</v>
      </c>
      <c r="C434" t="s">
        <v>236</v>
      </c>
      <c r="D434" t="s">
        <v>816</v>
      </c>
      <c r="E434" t="s">
        <v>185</v>
      </c>
      <c r="F434" t="s">
        <v>185</v>
      </c>
      <c r="G434" t="s">
        <v>353</v>
      </c>
      <c r="H434" t="s">
        <v>185</v>
      </c>
    </row>
    <row r="435" spans="1:8" x14ac:dyDescent="0.25">
      <c r="A435" t="s">
        <v>471</v>
      </c>
      <c r="B435">
        <v>12049</v>
      </c>
      <c r="C435" t="s">
        <v>236</v>
      </c>
      <c r="D435" t="s">
        <v>817</v>
      </c>
      <c r="E435" t="s">
        <v>185</v>
      </c>
      <c r="F435" t="s">
        <v>185</v>
      </c>
      <c r="G435" t="s">
        <v>353</v>
      </c>
      <c r="H435" t="s">
        <v>185</v>
      </c>
    </row>
    <row r="436" spans="1:8" x14ac:dyDescent="0.25">
      <c r="A436" t="s">
        <v>471</v>
      </c>
      <c r="B436">
        <v>12051</v>
      </c>
      <c r="C436" t="s">
        <v>236</v>
      </c>
      <c r="D436" t="s">
        <v>818</v>
      </c>
      <c r="E436" t="s">
        <v>185</v>
      </c>
      <c r="F436" t="s">
        <v>185</v>
      </c>
      <c r="G436" t="s">
        <v>353</v>
      </c>
      <c r="H436" t="s">
        <v>532</v>
      </c>
    </row>
    <row r="437" spans="1:8" x14ac:dyDescent="0.25">
      <c r="A437" t="s">
        <v>351</v>
      </c>
      <c r="B437">
        <v>12061</v>
      </c>
      <c r="C437" t="s">
        <v>236</v>
      </c>
      <c r="D437" t="s">
        <v>819</v>
      </c>
      <c r="E437" t="s">
        <v>185</v>
      </c>
      <c r="F437" t="s">
        <v>185</v>
      </c>
      <c r="G437" t="s">
        <v>353</v>
      </c>
      <c r="H437" t="s">
        <v>185</v>
      </c>
    </row>
    <row r="438" spans="1:8" x14ac:dyDescent="0.25">
      <c r="A438" t="s">
        <v>351</v>
      </c>
      <c r="B438">
        <v>12091</v>
      </c>
      <c r="C438" t="s">
        <v>236</v>
      </c>
      <c r="D438" t="s">
        <v>820</v>
      </c>
      <c r="E438" t="s">
        <v>185</v>
      </c>
      <c r="F438" t="s">
        <v>427</v>
      </c>
      <c r="G438" t="s">
        <v>329</v>
      </c>
      <c r="H438" t="s">
        <v>185</v>
      </c>
    </row>
    <row r="439" spans="1:8" x14ac:dyDescent="0.25">
      <c r="A439" t="s">
        <v>72</v>
      </c>
      <c r="B439">
        <v>12094</v>
      </c>
      <c r="C439" t="s">
        <v>236</v>
      </c>
      <c r="D439" t="s">
        <v>821</v>
      </c>
      <c r="E439" t="s">
        <v>185</v>
      </c>
      <c r="F439" t="s">
        <v>185</v>
      </c>
      <c r="G439" t="s">
        <v>353</v>
      </c>
      <c r="H439" t="s">
        <v>185</v>
      </c>
    </row>
    <row r="440" spans="1:8" x14ac:dyDescent="0.25">
      <c r="A440" t="s">
        <v>511</v>
      </c>
      <c r="B440">
        <v>12099</v>
      </c>
      <c r="C440" t="s">
        <v>236</v>
      </c>
      <c r="D440" t="s">
        <v>822</v>
      </c>
      <c r="E440" t="s">
        <v>185</v>
      </c>
      <c r="F440" t="s">
        <v>427</v>
      </c>
      <c r="G440" t="s">
        <v>329</v>
      </c>
      <c r="H440" t="s">
        <v>185</v>
      </c>
    </row>
    <row r="441" spans="1:8" x14ac:dyDescent="0.25">
      <c r="A441" t="s">
        <v>72</v>
      </c>
      <c r="B441">
        <v>12173</v>
      </c>
      <c r="C441" t="s">
        <v>236</v>
      </c>
      <c r="D441" t="s">
        <v>823</v>
      </c>
      <c r="E441" t="s">
        <v>185</v>
      </c>
      <c r="F441" t="s">
        <v>185</v>
      </c>
      <c r="G441" t="s">
        <v>353</v>
      </c>
      <c r="H441" t="s">
        <v>185</v>
      </c>
    </row>
    <row r="442" spans="1:8" x14ac:dyDescent="0.25">
      <c r="A442" t="s">
        <v>812</v>
      </c>
      <c r="B442">
        <v>12176</v>
      </c>
      <c r="C442" t="s">
        <v>236</v>
      </c>
      <c r="D442" t="s">
        <v>824</v>
      </c>
      <c r="E442" t="s">
        <v>185</v>
      </c>
      <c r="F442" t="s">
        <v>185</v>
      </c>
      <c r="G442" t="s">
        <v>353</v>
      </c>
      <c r="H442" t="s">
        <v>185</v>
      </c>
    </row>
    <row r="443" spans="1:8" x14ac:dyDescent="0.25">
      <c r="A443" t="s">
        <v>72</v>
      </c>
      <c r="B443">
        <v>12179</v>
      </c>
      <c r="C443" t="s">
        <v>236</v>
      </c>
      <c r="D443" t="s">
        <v>262</v>
      </c>
      <c r="E443" t="s">
        <v>185</v>
      </c>
      <c r="F443" t="s">
        <v>427</v>
      </c>
      <c r="G443" t="s">
        <v>303</v>
      </c>
      <c r="H443" t="s">
        <v>185</v>
      </c>
    </row>
    <row r="444" spans="1:8" x14ac:dyDescent="0.25">
      <c r="A444" t="s">
        <v>434</v>
      </c>
      <c r="B444">
        <v>12236</v>
      </c>
      <c r="C444" t="s">
        <v>236</v>
      </c>
      <c r="D444" t="s">
        <v>825</v>
      </c>
      <c r="E444" t="s">
        <v>185</v>
      </c>
      <c r="F444" t="s">
        <v>185</v>
      </c>
      <c r="G444" t="s">
        <v>353</v>
      </c>
      <c r="H444" t="s">
        <v>185</v>
      </c>
    </row>
    <row r="445" spans="1:8" x14ac:dyDescent="0.25">
      <c r="A445" t="s">
        <v>444</v>
      </c>
      <c r="B445">
        <v>12239</v>
      </c>
      <c r="C445" t="s">
        <v>236</v>
      </c>
      <c r="D445" t="s">
        <v>826</v>
      </c>
      <c r="E445" t="s">
        <v>185</v>
      </c>
      <c r="F445" t="s">
        <v>185</v>
      </c>
      <c r="G445" t="s">
        <v>353</v>
      </c>
      <c r="H445" t="s">
        <v>185</v>
      </c>
    </row>
    <row r="446" spans="1:8" x14ac:dyDescent="0.25">
      <c r="A446" t="s">
        <v>434</v>
      </c>
      <c r="B446">
        <v>12241</v>
      </c>
      <c r="C446" t="s">
        <v>236</v>
      </c>
      <c r="D446" t="s">
        <v>827</v>
      </c>
      <c r="E446" t="s">
        <v>185</v>
      </c>
      <c r="F446" t="s">
        <v>185</v>
      </c>
      <c r="G446" t="s">
        <v>353</v>
      </c>
      <c r="H446" t="s">
        <v>185</v>
      </c>
    </row>
    <row r="447" spans="1:8" x14ac:dyDescent="0.25">
      <c r="A447" t="s">
        <v>471</v>
      </c>
      <c r="B447">
        <v>12243</v>
      </c>
      <c r="C447" t="s">
        <v>236</v>
      </c>
      <c r="D447" t="s">
        <v>828</v>
      </c>
      <c r="E447" t="s">
        <v>185</v>
      </c>
      <c r="F447" t="s">
        <v>411</v>
      </c>
      <c r="G447" t="s">
        <v>329</v>
      </c>
      <c r="H447" t="s">
        <v>185</v>
      </c>
    </row>
    <row r="448" spans="1:8" x14ac:dyDescent="0.25">
      <c r="A448" t="s">
        <v>351</v>
      </c>
      <c r="B448">
        <v>12266</v>
      </c>
      <c r="C448" t="s">
        <v>236</v>
      </c>
      <c r="D448" t="s">
        <v>829</v>
      </c>
      <c r="E448" t="s">
        <v>185</v>
      </c>
      <c r="F448" t="s">
        <v>185</v>
      </c>
      <c r="G448" t="s">
        <v>353</v>
      </c>
      <c r="H448" t="s">
        <v>685</v>
      </c>
    </row>
    <row r="449" spans="1:8" x14ac:dyDescent="0.25">
      <c r="A449" t="s">
        <v>812</v>
      </c>
      <c r="B449">
        <v>12478</v>
      </c>
      <c r="C449" t="s">
        <v>236</v>
      </c>
      <c r="D449" t="s">
        <v>830</v>
      </c>
      <c r="E449" t="s">
        <v>185</v>
      </c>
      <c r="F449" t="s">
        <v>185</v>
      </c>
      <c r="G449" t="s">
        <v>353</v>
      </c>
      <c r="H449" t="s">
        <v>831</v>
      </c>
    </row>
    <row r="450" spans="1:8" x14ac:dyDescent="0.25">
      <c r="A450" t="s">
        <v>72</v>
      </c>
      <c r="B450">
        <v>12480</v>
      </c>
      <c r="C450" t="s">
        <v>236</v>
      </c>
      <c r="D450" t="s">
        <v>832</v>
      </c>
      <c r="E450" t="s">
        <v>185</v>
      </c>
      <c r="F450" t="s">
        <v>185</v>
      </c>
      <c r="G450" t="s">
        <v>353</v>
      </c>
      <c r="H450" t="s">
        <v>185</v>
      </c>
    </row>
    <row r="451" spans="1:8" x14ac:dyDescent="0.25">
      <c r="A451" t="s">
        <v>48</v>
      </c>
      <c r="B451">
        <v>12492</v>
      </c>
      <c r="C451" t="s">
        <v>236</v>
      </c>
      <c r="D451" t="s">
        <v>833</v>
      </c>
      <c r="E451" t="s">
        <v>185</v>
      </c>
      <c r="F451" t="s">
        <v>185</v>
      </c>
      <c r="G451" t="s">
        <v>353</v>
      </c>
      <c r="H451" t="s">
        <v>185</v>
      </c>
    </row>
    <row r="452" spans="1:8" x14ac:dyDescent="0.25">
      <c r="A452" t="s">
        <v>72</v>
      </c>
      <c r="B452">
        <v>12525</v>
      </c>
      <c r="C452" t="s">
        <v>236</v>
      </c>
      <c r="D452" t="s">
        <v>834</v>
      </c>
      <c r="E452" t="s">
        <v>185</v>
      </c>
      <c r="F452" t="s">
        <v>185</v>
      </c>
      <c r="G452" t="s">
        <v>353</v>
      </c>
      <c r="H452" t="s">
        <v>185</v>
      </c>
    </row>
    <row r="453" spans="1:8" x14ac:dyDescent="0.25">
      <c r="A453" t="s">
        <v>137</v>
      </c>
      <c r="B453">
        <v>12533</v>
      </c>
      <c r="C453" t="s">
        <v>236</v>
      </c>
      <c r="D453" t="s">
        <v>138</v>
      </c>
      <c r="E453" t="s">
        <v>185</v>
      </c>
      <c r="F453" t="s">
        <v>539</v>
      </c>
      <c r="G453" t="s">
        <v>329</v>
      </c>
      <c r="H453" t="s">
        <v>185</v>
      </c>
    </row>
    <row r="454" spans="1:8" x14ac:dyDescent="0.25">
      <c r="A454" t="s">
        <v>72</v>
      </c>
      <c r="B454">
        <v>12537</v>
      </c>
      <c r="C454" t="s">
        <v>236</v>
      </c>
      <c r="D454" t="s">
        <v>835</v>
      </c>
      <c r="E454" t="s">
        <v>185</v>
      </c>
      <c r="F454" t="s">
        <v>185</v>
      </c>
      <c r="G454" t="s">
        <v>353</v>
      </c>
      <c r="H454" t="s">
        <v>185</v>
      </c>
    </row>
    <row r="455" spans="1:8" x14ac:dyDescent="0.25">
      <c r="A455" t="s">
        <v>124</v>
      </c>
      <c r="B455">
        <v>12550</v>
      </c>
      <c r="C455" t="s">
        <v>236</v>
      </c>
      <c r="D455" t="s">
        <v>836</v>
      </c>
      <c r="E455" t="s">
        <v>185</v>
      </c>
      <c r="F455" t="s">
        <v>837</v>
      </c>
      <c r="G455" t="s">
        <v>303</v>
      </c>
      <c r="H455" t="s">
        <v>185</v>
      </c>
    </row>
    <row r="456" spans="1:8" x14ac:dyDescent="0.25">
      <c r="A456" t="s">
        <v>425</v>
      </c>
      <c r="B456">
        <v>12560</v>
      </c>
      <c r="C456" t="s">
        <v>236</v>
      </c>
      <c r="D456" t="s">
        <v>838</v>
      </c>
      <c r="E456" t="s">
        <v>185</v>
      </c>
      <c r="F456" t="s">
        <v>185</v>
      </c>
      <c r="G456" t="s">
        <v>353</v>
      </c>
      <c r="H456" t="s">
        <v>688</v>
      </c>
    </row>
    <row r="457" spans="1:8" x14ac:dyDescent="0.25">
      <c r="A457" t="s">
        <v>142</v>
      </c>
      <c r="B457">
        <v>12591</v>
      </c>
      <c r="C457" t="s">
        <v>236</v>
      </c>
      <c r="D457" t="s">
        <v>839</v>
      </c>
      <c r="E457" t="s">
        <v>185</v>
      </c>
      <c r="F457" t="s">
        <v>539</v>
      </c>
      <c r="G457" t="s">
        <v>303</v>
      </c>
      <c r="H457" t="s">
        <v>185</v>
      </c>
    </row>
    <row r="458" spans="1:8" x14ac:dyDescent="0.25">
      <c r="A458" t="s">
        <v>142</v>
      </c>
      <c r="B458">
        <v>12604</v>
      </c>
      <c r="C458" t="s">
        <v>236</v>
      </c>
      <c r="D458" t="s">
        <v>840</v>
      </c>
      <c r="E458" t="s">
        <v>185</v>
      </c>
      <c r="F458" t="s">
        <v>185</v>
      </c>
      <c r="G458" t="s">
        <v>353</v>
      </c>
      <c r="H458" t="s">
        <v>185</v>
      </c>
    </row>
  </sheetData>
  <pageMargins left="0.7" right="0.7" top="0.75" bottom="0.75" header="0.3" footer="0.3"/>
  <pageSetup paperSize="9" orientation="portrait"/>
  <headerFooter>
    <oddFooter>&amp;L&amp;1#&amp;"Tahoma"&amp;9&amp;KCF022BC2 – Usage restreint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190c23-21fd-4781-aafe-0dbcea736928" xsi:nil="true"/>
    <lcf76f155ced4ddcb4097134ff3c332f xmlns="09eecb0d-25a3-421c-96a4-d9249d05b2c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D0DC5894D0943A3C95B7A00148002" ma:contentTypeVersion="16" ma:contentTypeDescription="Crée un document." ma:contentTypeScope="" ma:versionID="acbb7ff84c7002354deec85f7a0fc7c0">
  <xsd:schema xmlns:xsd="http://www.w3.org/2001/XMLSchema" xmlns:xs="http://www.w3.org/2001/XMLSchema" xmlns:p="http://schemas.microsoft.com/office/2006/metadata/properties" xmlns:ns2="09eecb0d-25a3-421c-96a4-d9249d05b2cf" xmlns:ns3="e7190c23-21fd-4781-aafe-0dbcea736928" targetNamespace="http://schemas.microsoft.com/office/2006/metadata/properties" ma:root="true" ma:fieldsID="84dbb0d36822dab740e2f7830fd68883" ns2:_="" ns3:_="">
    <xsd:import namespace="09eecb0d-25a3-421c-96a4-d9249d05b2cf"/>
    <xsd:import namespace="e7190c23-21fd-4781-aafe-0dbcea7369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ecb0d-25a3-421c-96a4-d9249d05b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0c23-21fd-4781-aafe-0dbcea73692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c03a51f-3f00-476d-b1b1-19ea8794ec75}" ma:internalName="TaxCatchAll" ma:showField="CatchAllData" ma:web="e7190c23-21fd-4781-aafe-0dbcea7369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9DA21-5B8D-4A9E-9AA5-9FFE6C594C2D}">
  <ds:schemaRefs>
    <ds:schemaRef ds:uri="http://schemas.microsoft.com/office/2006/documentManagement/types"/>
    <ds:schemaRef ds:uri="e7190c23-21fd-4781-aafe-0dbcea736928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09eecb0d-25a3-421c-96a4-d9249d05b2c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FC4091-B609-456C-A9E8-2E7369A48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ecb0d-25a3-421c-96a4-d9249d05b2cf"/>
    <ds:schemaRef ds:uri="e7190c23-21fd-4781-aafe-0dbcea7369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39A765-B4EF-4F6F-9420-D2286161BE0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20841FB-08D4-4F81-80AC-1121C096C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15</vt:i4>
      </vt:variant>
    </vt:vector>
  </HeadingPairs>
  <TitlesOfParts>
    <vt:vector size="22" baseType="lpstr">
      <vt:lpstr>PI2023.08-1 Suivi Sprint</vt:lpstr>
      <vt:lpstr>PI2023.08-1 Suivi Sprint-Init</vt:lpstr>
      <vt:lpstr>Contenu Sprint</vt:lpstr>
      <vt:lpstr>US de Reference</vt:lpstr>
      <vt:lpstr>Param</vt:lpstr>
      <vt:lpstr>Tickets</vt:lpstr>
      <vt:lpstr>SSG - Features</vt:lpstr>
      <vt:lpstr>HEURES</vt:lpstr>
      <vt:lpstr>'PI2023.08-1 Suivi Sprint'!heures_BA</vt:lpstr>
      <vt:lpstr>'PI2023.08-1 Suivi Sprint-Init'!heures_BA</vt:lpstr>
      <vt:lpstr>'PI2023.08-1 Suivi Sprint'!HEURES_INIT</vt:lpstr>
      <vt:lpstr>'PI2023.08-1 Suivi Sprint-Init'!HEURES_INIT</vt:lpstr>
      <vt:lpstr>'PI2023.08-1 Suivi Sprint'!jour_tot_autre_init</vt:lpstr>
      <vt:lpstr>'PI2023.08-1 Suivi Sprint-Init'!jour_tot_autre_init</vt:lpstr>
      <vt:lpstr>'PI2023.08-1 Suivi Sprint'!jour_tot_net_init</vt:lpstr>
      <vt:lpstr>'PI2023.08-1 Suivi Sprint-Init'!jour_tot_net_init</vt:lpstr>
      <vt:lpstr>Liste_Projet</vt:lpstr>
      <vt:lpstr>Liste_Techno</vt:lpstr>
      <vt:lpstr>Liste_valeur</vt:lpstr>
      <vt:lpstr>'PI2023.08-1 Suivi Sprint'!Total_jour_presence</vt:lpstr>
      <vt:lpstr>'PI2023.08-1 Suivi Sprint-Init'!Total_jour_presence</vt:lpstr>
      <vt:lpstr>Type_Ticket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SAROT Valentin</dc:creator>
  <cp:keywords/>
  <dc:description/>
  <cp:lastModifiedBy>GG BRUGAL</cp:lastModifiedBy>
  <cp:revision/>
  <dcterms:created xsi:type="dcterms:W3CDTF">2020-01-30T10:13:14Z</dcterms:created>
  <dcterms:modified xsi:type="dcterms:W3CDTF">2023-08-26T11:38:46Z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0x010100271D0DC5894D0943A3C95B7A00148002</vt:lpwstr>
  </property>
  <property fmtid="{D5CDD505-2E9C-101B-9397-08002B2CF9AE}" pid="3" name="MediaServiceImageTags">
    <vt:lpwstr/>
  </property>
  <property fmtid="{D5CDD505-2E9C-101B-9397-08002B2CF9AE}" pid="4" name="MSIP_Label_7bd1f144-26ac-4410-8fdb-05c7de218e82_Enabled">
    <vt:lpwstr>true</vt:lpwstr>
  </property>
  <property fmtid="{D5CDD505-2E9C-101B-9397-08002B2CF9AE}" pid="5" name="MSIP_Label_7bd1f144-26ac-4410-8fdb-05c7de218e82_SetDate">
    <vt:lpwstr>2023-01-02T12:47:52Z</vt:lpwstr>
  </property>
  <property fmtid="{D5CDD505-2E9C-101B-9397-08002B2CF9AE}" pid="6" name="MSIP_Label_7bd1f144-26ac-4410-8fdb-05c7de218e82_Method">
    <vt:lpwstr>Standard</vt:lpwstr>
  </property>
  <property fmtid="{D5CDD505-2E9C-101B-9397-08002B2CF9AE}" pid="7" name="MSIP_Label_7bd1f144-26ac-4410-8fdb-05c7de218e82_Name">
    <vt:lpwstr>FR Usage restreint</vt:lpwstr>
  </property>
  <property fmtid="{D5CDD505-2E9C-101B-9397-08002B2CF9AE}" pid="8" name="MSIP_Label_7bd1f144-26ac-4410-8fdb-05c7de218e82_SiteId">
    <vt:lpwstr>8b87af7d-8647-4dc7-8df4-5f69a2011bb5</vt:lpwstr>
  </property>
  <property fmtid="{D5CDD505-2E9C-101B-9397-08002B2CF9AE}" pid="9" name="MSIP_Label_7bd1f144-26ac-4410-8fdb-05c7de218e82_ActionId">
    <vt:lpwstr>619dafc1-78b6-43e2-aba8-b217815620ea</vt:lpwstr>
  </property>
  <property fmtid="{D5CDD505-2E9C-101B-9397-08002B2CF9AE}" pid="10" name="MSIP_Label_7bd1f144-26ac-4410-8fdb-05c7de218e82_ContentBits">
    <vt:lpwstr>3</vt:lpwstr>
  </property>
</Properties>
</file>