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06" i="1" l="1"/>
  <c r="C77" i="1"/>
  <c r="C76" i="1" s="1"/>
  <c r="C84" i="1" s="1"/>
  <c r="C74" i="1"/>
  <c r="C48" i="1"/>
  <c r="C47" i="1"/>
  <c r="C62" i="1"/>
  <c r="C46" i="1" s="1"/>
  <c r="C56" i="1"/>
  <c r="C43" i="1" s="1"/>
  <c r="C42" i="1"/>
  <c r="C22" i="1"/>
  <c r="C13" i="1"/>
  <c r="C15" i="1" s="1"/>
  <c r="C31" i="1" l="1"/>
  <c r="C87" i="1" s="1"/>
  <c r="C89" i="1" s="1"/>
  <c r="C95" i="1"/>
  <c r="C44" i="1"/>
  <c r="C16" i="1"/>
  <c r="C17" i="1"/>
  <c r="C14" i="1"/>
  <c r="C18" i="1"/>
  <c r="C19" i="1" s="1"/>
  <c r="C45" i="1"/>
  <c r="C30" i="1" l="1"/>
  <c r="C91" i="1"/>
  <c r="C111" i="1" s="1"/>
  <c r="C107" i="1"/>
  <c r="C21" i="1"/>
  <c r="C26" i="1" l="1"/>
  <c r="C33" i="1" s="1"/>
  <c r="C37" i="1" s="1"/>
  <c r="C36" i="1" s="1"/>
  <c r="C40" i="1" s="1"/>
  <c r="C105" i="1"/>
  <c r="C108" i="1" l="1"/>
  <c r="C94" i="1"/>
  <c r="C101" i="1" l="1"/>
  <c r="C113" i="1" s="1"/>
  <c r="C98" i="1"/>
  <c r="C112" i="1" s="1"/>
</calcChain>
</file>

<file path=xl/sharedStrings.xml><?xml version="1.0" encoding="utf-8"?>
<sst xmlns="http://schemas.openxmlformats.org/spreadsheetml/2006/main" count="172" uniqueCount="171">
  <si>
    <t>минимальная зарплата</t>
  </si>
  <si>
    <t>тарифная ставка 1-го разряда</t>
  </si>
  <si>
    <t>НДС</t>
  </si>
  <si>
    <t>Величина налога на прибыль</t>
  </si>
  <si>
    <t>отчисления в ФСЗН</t>
  </si>
  <si>
    <t>в БГС</t>
  </si>
  <si>
    <t>ставка дисконтированного дохода</t>
  </si>
  <si>
    <t>трудоёмкость разработки блок-схемы алгоритма</t>
  </si>
  <si>
    <t>трудоёмкость программирования по готовой блок-схеме</t>
  </si>
  <si>
    <t>трудоёмкость отладки программы на ПК</t>
  </si>
  <si>
    <t>трудоёмкость подготовки документации по задаче в рукописи</t>
  </si>
  <si>
    <t>трудоёмкость редактирования, печати и оформления документации по задаче</t>
  </si>
  <si>
    <t>Q</t>
  </si>
  <si>
    <t>q</t>
  </si>
  <si>
    <t>C</t>
  </si>
  <si>
    <t>p</t>
  </si>
  <si>
    <t>W</t>
  </si>
  <si>
    <t>K</t>
  </si>
  <si>
    <t>трудоёмкость подготовки описания задачи и исследования алгоритма решения</t>
  </si>
  <si>
    <t>среднечасовая ставка работника, осуществлявшего разработку программного продукта</t>
  </si>
  <si>
    <t>tчр</t>
  </si>
  <si>
    <t>Трз</t>
  </si>
  <si>
    <t>Тоа</t>
  </si>
  <si>
    <t>Тбс</t>
  </si>
  <si>
    <t>Тп</t>
  </si>
  <si>
    <t>Тотл</t>
  </si>
  <si>
    <t>Тдр</t>
  </si>
  <si>
    <t>Тдо</t>
  </si>
  <si>
    <t>Кпр</t>
  </si>
  <si>
    <t>Нд</t>
  </si>
  <si>
    <t>Нсоц</t>
  </si>
  <si>
    <t>Зрз</t>
  </si>
  <si>
    <t>ЗП1р</t>
  </si>
  <si>
    <t>Кт</t>
  </si>
  <si>
    <t>Зот</t>
  </si>
  <si>
    <t>Sмч</t>
  </si>
  <si>
    <t>Спр</t>
  </si>
  <si>
    <t>F</t>
  </si>
  <si>
    <t>Цо</t>
  </si>
  <si>
    <t>Пр</t>
  </si>
  <si>
    <t>Нп</t>
  </si>
  <si>
    <t>Цпр</t>
  </si>
  <si>
    <t>Сэ</t>
  </si>
  <si>
    <t>Апк</t>
  </si>
  <si>
    <t>Рпк</t>
  </si>
  <si>
    <t>Апл</t>
  </si>
  <si>
    <t>Рпл</t>
  </si>
  <si>
    <t>Рар</t>
  </si>
  <si>
    <t>Фпк</t>
  </si>
  <si>
    <t>Nэ</t>
  </si>
  <si>
    <t>Kис</t>
  </si>
  <si>
    <t>Цэ</t>
  </si>
  <si>
    <t>Цпк</t>
  </si>
  <si>
    <t>Ky</t>
  </si>
  <si>
    <t>kм</t>
  </si>
  <si>
    <t>На пк</t>
  </si>
  <si>
    <t>Цб пк</t>
  </si>
  <si>
    <t>Kро</t>
  </si>
  <si>
    <t>Sпк</t>
  </si>
  <si>
    <t>Kд</t>
  </si>
  <si>
    <t>Цпл</t>
  </si>
  <si>
    <t>На пл</t>
  </si>
  <si>
    <t>Цб пл</t>
  </si>
  <si>
    <t>kрэ</t>
  </si>
  <si>
    <t>kар</t>
  </si>
  <si>
    <t>kкомф</t>
  </si>
  <si>
    <t>kпов</t>
  </si>
  <si>
    <t>tсс</t>
  </si>
  <si>
    <t>Tсг</t>
  </si>
  <si>
    <t>Tр</t>
  </si>
  <si>
    <t>k</t>
  </si>
  <si>
    <t>трудоёмкость разового решения задачи вручную</t>
  </si>
  <si>
    <t>периодичность решения задачи в течение года</t>
  </si>
  <si>
    <t xml:space="preserve">среднечасовая ставка работника, осуществляющего ручной расчёт </t>
  </si>
  <si>
    <t>число операторов в программе</t>
  </si>
  <si>
    <t>коэффициент сложности программы</t>
  </si>
  <si>
    <t>коэффициент коррекции программы в ходе её разработки</t>
  </si>
  <si>
    <t xml:space="preserve">коэффициент увеличения затрат труда вследствие недостаточного или некачественного описания задачи </t>
  </si>
  <si>
    <t xml:space="preserve">коэффициент квалификации разработчика алгоритмов и программ </t>
  </si>
  <si>
    <t xml:space="preserve">условное число операторов </t>
  </si>
  <si>
    <t xml:space="preserve">Трудоёмкость разработки ПП </t>
  </si>
  <si>
    <t>коэффициент, учитывающий процент премий в организации-разра-ботчике</t>
  </si>
  <si>
    <t xml:space="preserve">норматив дополнительной заработной платы </t>
  </si>
  <si>
    <t>норматив отчислений от фонда оплаты труда</t>
  </si>
  <si>
    <t>затраты на заработную плату разработчика</t>
  </si>
  <si>
    <t>среднемесячная заработная плата работника первого разряда</t>
  </si>
  <si>
    <t xml:space="preserve">тарифный коэффициент работника соответствующего разряда </t>
  </si>
  <si>
    <t xml:space="preserve">Затраты на отладку программы </t>
  </si>
  <si>
    <t>стоимость машино-часа работы ПК</t>
  </si>
  <si>
    <t xml:space="preserve">Себестоимость разработки ПП </t>
  </si>
  <si>
    <t>коэффициент накладных расходов проектной организации без учёта эксплуатации ПК</t>
  </si>
  <si>
    <t>Оптовая цена ПП</t>
  </si>
  <si>
    <t>плановая прибыль на программу</t>
  </si>
  <si>
    <t xml:space="preserve">норма прибыли проектной организации </t>
  </si>
  <si>
    <t>Отпускная цена программы</t>
  </si>
  <si>
    <t>расходы на электроэнергию за час работы ПК</t>
  </si>
  <si>
    <t>годовая величина амортизационных отчислений на реновацию ПК</t>
  </si>
  <si>
    <t>годовые затраты на ремонт и техническое обслуживание ПК</t>
  </si>
  <si>
    <t>годовая величина амортизационных отчислений на реновацию производственных площадей, занимаемых ПК</t>
  </si>
  <si>
    <t>годовые затраты на ремонт и содержание производственных площадей</t>
  </si>
  <si>
    <t>годовая величина арендных платежей за помещение, занимаемое ПК</t>
  </si>
  <si>
    <t>годовой фонд времени работы ПК</t>
  </si>
  <si>
    <t>установленная мощность блока питания ПК</t>
  </si>
  <si>
    <t xml:space="preserve">коэффициент использования энергоустановок по мощности </t>
  </si>
  <si>
    <t>стоимость киловатт-часа электроэнергии</t>
  </si>
  <si>
    <t>цена ПК на момент её выпуска</t>
  </si>
  <si>
    <t xml:space="preserve">коэффициент удорожания ПК </t>
  </si>
  <si>
    <t xml:space="preserve">коэффициент, учитывающий затраты на монтаж и транспортировку ПК </t>
  </si>
  <si>
    <t>норма амортизационных отчислений на ПК</t>
  </si>
  <si>
    <t>балансовая стоимость ПК</t>
  </si>
  <si>
    <t>площадь, занимаемая ПК</t>
  </si>
  <si>
    <t xml:space="preserve">коэффициент, учитывающий дополнительную площадь </t>
  </si>
  <si>
    <t xml:space="preserve">ставка арендных платежей за помещение </t>
  </si>
  <si>
    <t>коэффициент комфортности помещения</t>
  </si>
  <si>
    <t xml:space="preserve">повышающий коэффициент, учитывающий географическое разме-щение площади </t>
  </si>
  <si>
    <t>среднесуточная фактическая загрузка ПК</t>
  </si>
  <si>
    <t>среднее количество дней работы ПК в год</t>
  </si>
  <si>
    <t>коэффициент, учитывающий затраты на ремонт и техническое обслуживание ПК</t>
  </si>
  <si>
    <t>цена квадратного метра производственной площади</t>
  </si>
  <si>
    <t>норма амортизационных отчислений на производственные площади</t>
  </si>
  <si>
    <t xml:space="preserve">коэффициент, учитывающий затраты на ремонт и эксплуатацию про-изводственных площадей </t>
  </si>
  <si>
    <t>Зр</t>
  </si>
  <si>
    <t xml:space="preserve">Годовые эксплуатационные расходы при ручной обработке информации </t>
  </si>
  <si>
    <t>Тз</t>
  </si>
  <si>
    <t>Твв</t>
  </si>
  <si>
    <t>Твыв</t>
  </si>
  <si>
    <t>dпз</t>
  </si>
  <si>
    <t xml:space="preserve">Время решения задачи на ПК </t>
  </si>
  <si>
    <t>время ввода в ПК исходных данных, необходимых для решения задачи</t>
  </si>
  <si>
    <t>время вывода результатов решения задачи</t>
  </si>
  <si>
    <t xml:space="preserve">коэффициент, учитывающий подготовительно-заключительное вре-мя </t>
  </si>
  <si>
    <t>Kz</t>
  </si>
  <si>
    <t>Hz</t>
  </si>
  <si>
    <t>среднее количество знаков, набираемых с клавиатуры при вводе ис-ходных данных</t>
  </si>
  <si>
    <t>норматив набора 100 знаков</t>
  </si>
  <si>
    <t>Тр</t>
  </si>
  <si>
    <t>время вычислений</t>
  </si>
  <si>
    <t>Зп</t>
  </si>
  <si>
    <t>tчп</t>
  </si>
  <si>
    <t>Затраты на заработную плату пользователя ПП</t>
  </si>
  <si>
    <t>среднечасовая ставка пользователя программы</t>
  </si>
  <si>
    <t>За</t>
  </si>
  <si>
    <t>Затраты на оплату аренды ПК для решения задачи</t>
  </si>
  <si>
    <t>Зт</t>
  </si>
  <si>
    <t>Годовые текущие затраты, связанные с эксплуатацией задач</t>
  </si>
  <si>
    <t>Пу</t>
  </si>
  <si>
    <t>Ожидаемый прирост прибыли в результате внедрения задачи взамен её ручного расчёта</t>
  </si>
  <si>
    <t>Снп</t>
  </si>
  <si>
    <t xml:space="preserve">ставка налога на прибыль </t>
  </si>
  <si>
    <t>Kо</t>
  </si>
  <si>
    <t>Кз</t>
  </si>
  <si>
    <t>капитальные и приравненные к ним затраты</t>
  </si>
  <si>
    <t>суммарные капитальные затраты на разработку и внедрения программы</t>
  </si>
  <si>
    <t>x</t>
  </si>
  <si>
    <t>ПК отслужил к моменту расчёта х лет</t>
  </si>
  <si>
    <t>ЭФ</t>
  </si>
  <si>
    <t>Годовой экономический эффект от сокращения ручного труда при обработке информации</t>
  </si>
  <si>
    <t>Е</t>
  </si>
  <si>
    <t>коэффициент эффективности, равный ставке по кредитам на рынке долгосрочных кредитов</t>
  </si>
  <si>
    <t>Тв</t>
  </si>
  <si>
    <t xml:space="preserve">Срок возврата инвестиций </t>
  </si>
  <si>
    <t>Табл1.1</t>
  </si>
  <si>
    <t>1. Трудоёмкость решения задачи, ч</t>
  </si>
  <si>
    <t>2. Периодичность решения задачи, раз/год</t>
  </si>
  <si>
    <t>3. Годовые текущие затраты, связанные с решением задачи, р.</t>
  </si>
  <si>
    <t>4. Отпускная цена программы, р.</t>
  </si>
  <si>
    <t>5. Степень новизны программы</t>
  </si>
  <si>
    <t>6. Группа сложности алгоритма</t>
  </si>
  <si>
    <t>7. Прирост условной прибыли, р.</t>
  </si>
  <si>
    <t>8. Годовой экономический эффект, р.</t>
  </si>
  <si>
    <t>9. Срок возврата инвестиций,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</si>
</sst>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topLeftCell="A98" workbookViewId="0">
      <selection activeCell="A119" sqref="A119"/>
    </sheetView>
  </sheetViews>
  <sheetFormatPr defaultRowHeight="15" x14ac:dyDescent="0.25"/>
  <cols>
    <col min="1" max="1" width="39" customWidth="1"/>
    <col min="2" max="2" width="22.140625" customWidth="1"/>
  </cols>
  <sheetData>
    <row r="1" spans="1:3" x14ac:dyDescent="0.25">
      <c r="A1" t="s">
        <v>0</v>
      </c>
      <c r="C1">
        <v>330</v>
      </c>
    </row>
    <row r="2" spans="1:3" x14ac:dyDescent="0.25">
      <c r="A2" t="s">
        <v>1</v>
      </c>
      <c r="C2">
        <v>35.5</v>
      </c>
    </row>
    <row r="3" spans="1:3" x14ac:dyDescent="0.25">
      <c r="A3" t="s">
        <v>2</v>
      </c>
      <c r="C3" s="3">
        <v>0.2</v>
      </c>
    </row>
    <row r="4" spans="1:3" x14ac:dyDescent="0.25">
      <c r="A4" t="s">
        <v>3</v>
      </c>
      <c r="C4" s="1">
        <v>0.18</v>
      </c>
    </row>
    <row r="5" spans="1:3" x14ac:dyDescent="0.25">
      <c r="A5" t="s">
        <v>4</v>
      </c>
      <c r="C5" s="1">
        <v>0.34</v>
      </c>
    </row>
    <row r="6" spans="1:3" x14ac:dyDescent="0.25">
      <c r="A6" t="s">
        <v>5</v>
      </c>
      <c r="C6" s="2">
        <v>6.0000000000000001E-3</v>
      </c>
    </row>
    <row r="7" spans="1:3" x14ac:dyDescent="0.25">
      <c r="A7" t="s">
        <v>6</v>
      </c>
      <c r="C7" s="6">
        <v>0.15</v>
      </c>
    </row>
    <row r="8" spans="1:3" x14ac:dyDescent="0.25">
      <c r="A8" t="s">
        <v>74</v>
      </c>
      <c r="B8" t="s">
        <v>13</v>
      </c>
      <c r="C8" s="3">
        <v>1</v>
      </c>
    </row>
    <row r="9" spans="1:3" x14ac:dyDescent="0.25">
      <c r="A9" t="s">
        <v>75</v>
      </c>
      <c r="B9" t="s">
        <v>14</v>
      </c>
      <c r="C9" s="3">
        <v>1.4</v>
      </c>
    </row>
    <row r="10" spans="1:3" x14ac:dyDescent="0.25">
      <c r="A10" t="s">
        <v>76</v>
      </c>
      <c r="B10" t="s">
        <v>15</v>
      </c>
      <c r="C10" s="3">
        <v>0.2</v>
      </c>
    </row>
    <row r="11" spans="1:3" x14ac:dyDescent="0.25">
      <c r="A11" t="s">
        <v>77</v>
      </c>
      <c r="B11" t="s">
        <v>16</v>
      </c>
      <c r="C11" s="3">
        <v>1.2</v>
      </c>
    </row>
    <row r="12" spans="1:3" x14ac:dyDescent="0.25">
      <c r="A12" t="s">
        <v>78</v>
      </c>
      <c r="B12" t="s">
        <v>17</v>
      </c>
      <c r="C12" s="3">
        <v>1</v>
      </c>
    </row>
    <row r="13" spans="1:3" x14ac:dyDescent="0.25">
      <c r="A13" t="s">
        <v>79</v>
      </c>
      <c r="B13" t="s">
        <v>12</v>
      </c>
      <c r="C13">
        <f>C8*C9*(1+C10)</f>
        <v>1.68</v>
      </c>
    </row>
    <row r="14" spans="1:3" x14ac:dyDescent="0.25">
      <c r="A14" t="s">
        <v>18</v>
      </c>
      <c r="B14" t="s">
        <v>22</v>
      </c>
      <c r="C14">
        <f>C13*C11*C12/75</f>
        <v>2.6880000000000001E-2</v>
      </c>
    </row>
    <row r="15" spans="1:3" x14ac:dyDescent="0.25">
      <c r="A15" t="s">
        <v>7</v>
      </c>
      <c r="B15" t="s">
        <v>23</v>
      </c>
      <c r="C15">
        <f>C13*C12/20</f>
        <v>8.3999999999999991E-2</v>
      </c>
    </row>
    <row r="16" spans="1:3" x14ac:dyDescent="0.25">
      <c r="A16" t="s">
        <v>8</v>
      </c>
      <c r="B16" t="s">
        <v>24</v>
      </c>
      <c r="C16">
        <f>C13*C12/20</f>
        <v>8.3999999999999991E-2</v>
      </c>
    </row>
    <row r="17" spans="1:3" x14ac:dyDescent="0.25">
      <c r="A17" t="s">
        <v>9</v>
      </c>
      <c r="B17" t="s">
        <v>25</v>
      </c>
      <c r="C17">
        <f>C13*C12/4</f>
        <v>0.42</v>
      </c>
    </row>
    <row r="18" spans="1:3" x14ac:dyDescent="0.25">
      <c r="A18" t="s">
        <v>10</v>
      </c>
      <c r="B18" t="s">
        <v>26</v>
      </c>
      <c r="C18">
        <f>C13*C12/15</f>
        <v>0.112</v>
      </c>
    </row>
    <row r="19" spans="1:3" x14ac:dyDescent="0.25">
      <c r="A19" t="s">
        <v>11</v>
      </c>
      <c r="B19" t="s">
        <v>27</v>
      </c>
      <c r="C19">
        <f>0.75*C18</f>
        <v>8.4000000000000005E-2</v>
      </c>
    </row>
    <row r="21" spans="1:3" x14ac:dyDescent="0.25">
      <c r="A21" t="s">
        <v>80</v>
      </c>
      <c r="B21" t="s">
        <v>21</v>
      </c>
      <c r="C21">
        <f>SUM(C14:C19)</f>
        <v>0.81087999999999993</v>
      </c>
    </row>
    <row r="22" spans="1:3" x14ac:dyDescent="0.25">
      <c r="A22" t="s">
        <v>19</v>
      </c>
      <c r="B22" t="s">
        <v>20</v>
      </c>
      <c r="C22">
        <f>C27*C28/170</f>
        <v>11.788235294117648</v>
      </c>
    </row>
    <row r="23" spans="1:3" x14ac:dyDescent="0.25">
      <c r="A23" t="s">
        <v>81</v>
      </c>
      <c r="B23" t="s">
        <v>28</v>
      </c>
      <c r="C23">
        <v>1.5</v>
      </c>
    </row>
    <row r="24" spans="1:3" x14ac:dyDescent="0.25">
      <c r="A24" t="s">
        <v>82</v>
      </c>
      <c r="B24" t="s">
        <v>29</v>
      </c>
      <c r="C24">
        <v>20</v>
      </c>
    </row>
    <row r="25" spans="1:3" x14ac:dyDescent="0.25">
      <c r="A25" t="s">
        <v>83</v>
      </c>
      <c r="B25" t="s">
        <v>30</v>
      </c>
      <c r="C25">
        <v>34.6</v>
      </c>
    </row>
    <row r="26" spans="1:3" x14ac:dyDescent="0.25">
      <c r="A26" t="s">
        <v>84</v>
      </c>
      <c r="B26" t="s">
        <v>31</v>
      </c>
      <c r="C26">
        <f xml:space="preserve"> C21*C22*C23*(1+C24/100)*(1+C25/100)</f>
        <v>23.159167813270589</v>
      </c>
    </row>
    <row r="27" spans="1:3" x14ac:dyDescent="0.25">
      <c r="A27" t="s">
        <v>85</v>
      </c>
      <c r="B27" t="s">
        <v>32</v>
      </c>
      <c r="C27">
        <v>600</v>
      </c>
    </row>
    <row r="28" spans="1:3" x14ac:dyDescent="0.25">
      <c r="A28" t="s">
        <v>86</v>
      </c>
      <c r="B28" t="s">
        <v>33</v>
      </c>
      <c r="C28">
        <v>3.34</v>
      </c>
    </row>
    <row r="30" spans="1:3" x14ac:dyDescent="0.25">
      <c r="A30" t="s">
        <v>87</v>
      </c>
      <c r="B30" t="s">
        <v>34</v>
      </c>
      <c r="C30">
        <f>C17*C31</f>
        <v>66.366672476086961</v>
      </c>
    </row>
    <row r="31" spans="1:3" x14ac:dyDescent="0.25">
      <c r="A31" s="4" t="s">
        <v>88</v>
      </c>
      <c r="B31" t="s">
        <v>35</v>
      </c>
      <c r="C31" s="5">
        <f>C42+(C43+C44+C45+C46+C47)/C48</f>
        <v>158.0158868478261</v>
      </c>
    </row>
    <row r="33" spans="1:3" x14ac:dyDescent="0.25">
      <c r="A33" t="s">
        <v>89</v>
      </c>
      <c r="B33" t="s">
        <v>36</v>
      </c>
      <c r="C33">
        <f>C26*C34+C30</f>
        <v>94.157673852011669</v>
      </c>
    </row>
    <row r="34" spans="1:3" x14ac:dyDescent="0.25">
      <c r="A34" t="s">
        <v>90</v>
      </c>
      <c r="B34" t="s">
        <v>37</v>
      </c>
      <c r="C34">
        <v>1.2</v>
      </c>
    </row>
    <row r="36" spans="1:3" x14ac:dyDescent="0.25">
      <c r="A36" t="s">
        <v>91</v>
      </c>
      <c r="B36" t="s">
        <v>38</v>
      </c>
      <c r="C36">
        <f>C33+C37</f>
        <v>122.40497600761518</v>
      </c>
    </row>
    <row r="37" spans="1:3" x14ac:dyDescent="0.25">
      <c r="A37" t="s">
        <v>92</v>
      </c>
      <c r="B37" t="s">
        <v>39</v>
      </c>
      <c r="C37">
        <f>C33*C38</f>
        <v>28.247302155603499</v>
      </c>
    </row>
    <row r="38" spans="1:3" x14ac:dyDescent="0.25">
      <c r="A38" t="s">
        <v>93</v>
      </c>
      <c r="B38" t="s">
        <v>40</v>
      </c>
      <c r="C38">
        <v>0.3</v>
      </c>
    </row>
    <row r="40" spans="1:3" x14ac:dyDescent="0.25">
      <c r="A40" t="s">
        <v>94</v>
      </c>
      <c r="B40" t="s">
        <v>41</v>
      </c>
      <c r="C40">
        <f>C36+(C26+C37)*C3</f>
        <v>132.68627000139</v>
      </c>
    </row>
    <row r="42" spans="1:3" x14ac:dyDescent="0.25">
      <c r="A42" t="s">
        <v>95</v>
      </c>
      <c r="B42" t="s">
        <v>42</v>
      </c>
      <c r="C42" s="5">
        <f>C49*C50*C51</f>
        <v>157.5</v>
      </c>
    </row>
    <row r="43" spans="1:3" x14ac:dyDescent="0.25">
      <c r="A43" t="s">
        <v>96</v>
      </c>
      <c r="B43" t="s">
        <v>43</v>
      </c>
      <c r="C43" s="5">
        <f>C56*C55/100</f>
        <v>0.94499999999999995</v>
      </c>
    </row>
    <row r="44" spans="1:3" x14ac:dyDescent="0.25">
      <c r="A44" t="s">
        <v>97</v>
      </c>
      <c r="B44" t="s">
        <v>44</v>
      </c>
      <c r="C44" s="5">
        <f>C56*C57</f>
        <v>122.85000000000001</v>
      </c>
    </row>
    <row r="45" spans="1:3" x14ac:dyDescent="0.25">
      <c r="A45" t="s">
        <v>98</v>
      </c>
      <c r="B45" t="s">
        <v>45</v>
      </c>
      <c r="C45" s="5">
        <f>C62*C61</f>
        <v>21.6</v>
      </c>
    </row>
    <row r="46" spans="1:3" x14ac:dyDescent="0.25">
      <c r="A46" t="s">
        <v>99</v>
      </c>
      <c r="B46" t="s">
        <v>46</v>
      </c>
      <c r="C46" s="5">
        <f>C62*C63</f>
        <v>90</v>
      </c>
    </row>
    <row r="47" spans="1:3" x14ac:dyDescent="0.25">
      <c r="A47" t="s">
        <v>100</v>
      </c>
      <c r="B47" t="s">
        <v>47</v>
      </c>
      <c r="C47" s="5">
        <f>C58*C59*C64*C65*C66*12</f>
        <v>713.83680000000004</v>
      </c>
    </row>
    <row r="48" spans="1:3" x14ac:dyDescent="0.25">
      <c r="A48" t="s">
        <v>101</v>
      </c>
      <c r="B48" t="s">
        <v>48</v>
      </c>
      <c r="C48" s="5">
        <f>C67*C68</f>
        <v>1840</v>
      </c>
    </row>
    <row r="49" spans="1:3" x14ac:dyDescent="0.25">
      <c r="A49" t="s">
        <v>102</v>
      </c>
      <c r="B49" t="s">
        <v>49</v>
      </c>
      <c r="C49">
        <v>700</v>
      </c>
    </row>
    <row r="50" spans="1:3" x14ac:dyDescent="0.25">
      <c r="A50" t="s">
        <v>103</v>
      </c>
      <c r="B50" t="s">
        <v>50</v>
      </c>
      <c r="C50">
        <v>0.9</v>
      </c>
    </row>
    <row r="51" spans="1:3" x14ac:dyDescent="0.25">
      <c r="A51" t="s">
        <v>104</v>
      </c>
      <c r="B51" t="s">
        <v>51</v>
      </c>
      <c r="C51">
        <v>0.25</v>
      </c>
    </row>
    <row r="52" spans="1:3" x14ac:dyDescent="0.25">
      <c r="A52" t="s">
        <v>105</v>
      </c>
      <c r="B52" t="s">
        <v>52</v>
      </c>
      <c r="C52">
        <v>900</v>
      </c>
    </row>
    <row r="53" spans="1:3" x14ac:dyDescent="0.25">
      <c r="A53" t="s">
        <v>106</v>
      </c>
      <c r="B53" t="s">
        <v>53</v>
      </c>
      <c r="C53">
        <v>1</v>
      </c>
    </row>
    <row r="54" spans="1:3" x14ac:dyDescent="0.25">
      <c r="A54" t="s">
        <v>107</v>
      </c>
      <c r="B54" t="s">
        <v>54</v>
      </c>
      <c r="C54">
        <v>1.05</v>
      </c>
    </row>
    <row r="55" spans="1:3" x14ac:dyDescent="0.25">
      <c r="A55" t="s">
        <v>108</v>
      </c>
      <c r="B55" t="s">
        <v>55</v>
      </c>
      <c r="C55">
        <v>0.1</v>
      </c>
    </row>
    <row r="56" spans="1:3" x14ac:dyDescent="0.25">
      <c r="A56" t="s">
        <v>109</v>
      </c>
      <c r="B56" t="s">
        <v>56</v>
      </c>
      <c r="C56">
        <f>C52*C53*C54</f>
        <v>945</v>
      </c>
    </row>
    <row r="57" spans="1:3" x14ac:dyDescent="0.25">
      <c r="A57" t="s">
        <v>117</v>
      </c>
      <c r="B57" t="s">
        <v>57</v>
      </c>
      <c r="C57">
        <v>0.13</v>
      </c>
    </row>
    <row r="58" spans="1:3" x14ac:dyDescent="0.25">
      <c r="A58" t="s">
        <v>110</v>
      </c>
      <c r="B58" t="s">
        <v>58</v>
      </c>
      <c r="C58">
        <v>2</v>
      </c>
    </row>
    <row r="59" spans="1:3" x14ac:dyDescent="0.25">
      <c r="A59" t="s">
        <v>111</v>
      </c>
      <c r="B59" t="s">
        <v>59</v>
      </c>
      <c r="C59">
        <v>3</v>
      </c>
    </row>
    <row r="60" spans="1:3" x14ac:dyDescent="0.25">
      <c r="A60" t="s">
        <v>118</v>
      </c>
      <c r="B60" t="s">
        <v>60</v>
      </c>
      <c r="C60">
        <v>300</v>
      </c>
    </row>
    <row r="61" spans="1:3" x14ac:dyDescent="0.25">
      <c r="A61" t="s">
        <v>119</v>
      </c>
      <c r="B61" t="s">
        <v>61</v>
      </c>
      <c r="C61">
        <v>1.2E-2</v>
      </c>
    </row>
    <row r="62" spans="1:3" x14ac:dyDescent="0.25">
      <c r="B62" t="s">
        <v>62</v>
      </c>
      <c r="C62">
        <f>C58*C59*C60</f>
        <v>1800</v>
      </c>
    </row>
    <row r="63" spans="1:3" x14ac:dyDescent="0.25">
      <c r="A63" t="s">
        <v>120</v>
      </c>
      <c r="B63" t="s">
        <v>63</v>
      </c>
      <c r="C63">
        <v>0.05</v>
      </c>
    </row>
    <row r="64" spans="1:3" x14ac:dyDescent="0.25">
      <c r="A64" t="s">
        <v>112</v>
      </c>
      <c r="B64" t="s">
        <v>64</v>
      </c>
      <c r="C64">
        <v>13.6</v>
      </c>
    </row>
    <row r="65" spans="1:3" x14ac:dyDescent="0.25">
      <c r="A65" t="s">
        <v>113</v>
      </c>
      <c r="B65" t="s">
        <v>65</v>
      </c>
      <c r="C65">
        <v>0.9</v>
      </c>
    </row>
    <row r="66" spans="1:3" x14ac:dyDescent="0.25">
      <c r="A66" t="s">
        <v>114</v>
      </c>
      <c r="B66" t="s">
        <v>66</v>
      </c>
      <c r="C66">
        <v>0.81</v>
      </c>
    </row>
    <row r="67" spans="1:3" x14ac:dyDescent="0.25">
      <c r="A67" t="s">
        <v>115</v>
      </c>
      <c r="B67" t="s">
        <v>67</v>
      </c>
      <c r="C67">
        <v>8</v>
      </c>
    </row>
    <row r="68" spans="1:3" x14ac:dyDescent="0.25">
      <c r="A68" t="s">
        <v>116</v>
      </c>
      <c r="B68" t="s">
        <v>68</v>
      </c>
      <c r="C68">
        <v>230</v>
      </c>
    </row>
    <row r="70" spans="1:3" x14ac:dyDescent="0.25">
      <c r="A70" t="s">
        <v>71</v>
      </c>
      <c r="B70" t="s">
        <v>69</v>
      </c>
      <c r="C70">
        <v>5</v>
      </c>
    </row>
    <row r="71" spans="1:3" x14ac:dyDescent="0.25">
      <c r="A71" t="s">
        <v>72</v>
      </c>
      <c r="B71" t="s">
        <v>70</v>
      </c>
      <c r="C71">
        <v>1</v>
      </c>
    </row>
    <row r="72" spans="1:3" x14ac:dyDescent="0.25">
      <c r="A72" t="s">
        <v>73</v>
      </c>
      <c r="B72" t="s">
        <v>20</v>
      </c>
      <c r="C72">
        <v>10</v>
      </c>
    </row>
    <row r="74" spans="1:3" x14ac:dyDescent="0.25">
      <c r="A74" t="s">
        <v>122</v>
      </c>
      <c r="B74" t="s">
        <v>121</v>
      </c>
      <c r="C74">
        <f>C70*C71*C72*(1+C24)*(1+C25)</f>
        <v>37380</v>
      </c>
    </row>
    <row r="76" spans="1:3" x14ac:dyDescent="0.25">
      <c r="A76" t="s">
        <v>127</v>
      </c>
      <c r="B76" t="s">
        <v>123</v>
      </c>
      <c r="C76">
        <f>(C77+C78+C79)*(1+C80)/60</f>
        <v>0.6</v>
      </c>
    </row>
    <row r="77" spans="1:3" x14ac:dyDescent="0.25">
      <c r="A77" t="s">
        <v>128</v>
      </c>
      <c r="B77" t="s">
        <v>124</v>
      </c>
      <c r="C77">
        <f>C81*C82/100</f>
        <v>18</v>
      </c>
    </row>
    <row r="78" spans="1:3" x14ac:dyDescent="0.25">
      <c r="A78" t="s">
        <v>136</v>
      </c>
      <c r="B78" t="s">
        <v>135</v>
      </c>
      <c r="C78">
        <v>10</v>
      </c>
    </row>
    <row r="79" spans="1:3" x14ac:dyDescent="0.25">
      <c r="A79" t="s">
        <v>129</v>
      </c>
      <c r="B79" t="s">
        <v>125</v>
      </c>
      <c r="C79">
        <v>2</v>
      </c>
    </row>
    <row r="80" spans="1:3" x14ac:dyDescent="0.25">
      <c r="A80" t="s">
        <v>130</v>
      </c>
      <c r="B80" t="s">
        <v>126</v>
      </c>
      <c r="C80">
        <v>0.2</v>
      </c>
    </row>
    <row r="81" spans="1:3" x14ac:dyDescent="0.25">
      <c r="A81" t="s">
        <v>133</v>
      </c>
      <c r="B81" t="s">
        <v>131</v>
      </c>
      <c r="C81">
        <v>300</v>
      </c>
    </row>
    <row r="82" spans="1:3" x14ac:dyDescent="0.25">
      <c r="A82" t="s">
        <v>134</v>
      </c>
      <c r="B82" t="s">
        <v>132</v>
      </c>
      <c r="C82">
        <v>6</v>
      </c>
    </row>
    <row r="84" spans="1:3" x14ac:dyDescent="0.25">
      <c r="A84" t="s">
        <v>139</v>
      </c>
      <c r="B84" t="s">
        <v>137</v>
      </c>
      <c r="C84" s="5">
        <f>C76*C71*C85*C23*(1+C24)*(1+C25)</f>
        <v>10092.6</v>
      </c>
    </row>
    <row r="85" spans="1:3" x14ac:dyDescent="0.25">
      <c r="A85" t="s">
        <v>140</v>
      </c>
      <c r="B85" t="s">
        <v>138</v>
      </c>
      <c r="C85">
        <v>15</v>
      </c>
    </row>
    <row r="87" spans="1:3" x14ac:dyDescent="0.25">
      <c r="A87" t="s">
        <v>142</v>
      </c>
      <c r="B87" t="s">
        <v>141</v>
      </c>
      <c r="C87" s="5">
        <f>C76*C71*C31</f>
        <v>94.809532108695649</v>
      </c>
    </row>
    <row r="89" spans="1:3" x14ac:dyDescent="0.25">
      <c r="A89" t="s">
        <v>144</v>
      </c>
      <c r="B89" t="s">
        <v>143</v>
      </c>
      <c r="C89" s="5">
        <f xml:space="preserve"> C84+C87</f>
        <v>10187.409532108695</v>
      </c>
    </row>
    <row r="91" spans="1:3" x14ac:dyDescent="0.25">
      <c r="A91" t="s">
        <v>146</v>
      </c>
      <c r="B91" t="s">
        <v>145</v>
      </c>
      <c r="C91">
        <f>(C74-C89)*(1-C92)</f>
        <v>22297.924183670872</v>
      </c>
    </row>
    <row r="92" spans="1:3" x14ac:dyDescent="0.25">
      <c r="A92" t="s">
        <v>148</v>
      </c>
      <c r="B92" t="s">
        <v>147</v>
      </c>
      <c r="C92">
        <v>0.18</v>
      </c>
    </row>
    <row r="94" spans="1:3" x14ac:dyDescent="0.25">
      <c r="A94" t="s">
        <v>152</v>
      </c>
      <c r="B94" t="s">
        <v>149</v>
      </c>
      <c r="C94">
        <f>C95+C40</f>
        <v>132.90197652312912</v>
      </c>
    </row>
    <row r="95" spans="1:3" x14ac:dyDescent="0.25">
      <c r="A95" t="s">
        <v>151</v>
      </c>
      <c r="B95" t="s">
        <v>150</v>
      </c>
      <c r="C95">
        <f>C56*(1-C96*C55)*C76*C71/C48</f>
        <v>0.21570652173913044</v>
      </c>
    </row>
    <row r="96" spans="1:3" x14ac:dyDescent="0.25">
      <c r="A96" t="s">
        <v>154</v>
      </c>
      <c r="B96" t="s">
        <v>153</v>
      </c>
      <c r="C96">
        <v>3</v>
      </c>
    </row>
    <row r="98" spans="1:3" x14ac:dyDescent="0.25">
      <c r="A98" t="s">
        <v>156</v>
      </c>
      <c r="B98" t="s">
        <v>155</v>
      </c>
      <c r="C98">
        <f>C91-C99*C94</f>
        <v>22151.73200949543</v>
      </c>
    </row>
    <row r="99" spans="1:3" x14ac:dyDescent="0.25">
      <c r="A99" t="s">
        <v>158</v>
      </c>
      <c r="B99" t="s">
        <v>157</v>
      </c>
      <c r="C99">
        <v>1.1000000000000001</v>
      </c>
    </row>
    <row r="101" spans="1:3" x14ac:dyDescent="0.25">
      <c r="A101" t="s">
        <v>160</v>
      </c>
      <c r="B101" t="s">
        <v>159</v>
      </c>
      <c r="C101">
        <f>C94/C91</f>
        <v>5.9602847075987181E-3</v>
      </c>
    </row>
    <row r="104" spans="1:3" x14ac:dyDescent="0.25">
      <c r="A104" t="s">
        <v>161</v>
      </c>
    </row>
    <row r="105" spans="1:3" x14ac:dyDescent="0.25">
      <c r="A105" t="s">
        <v>162</v>
      </c>
      <c r="C105">
        <f>C21</f>
        <v>0.81087999999999993</v>
      </c>
    </row>
    <row r="106" spans="1:3" x14ac:dyDescent="0.25">
      <c r="A106" t="s">
        <v>163</v>
      </c>
      <c r="C106">
        <f>C71</f>
        <v>1</v>
      </c>
    </row>
    <row r="107" spans="1:3" x14ac:dyDescent="0.25">
      <c r="A107" t="s">
        <v>164</v>
      </c>
      <c r="C107" s="5">
        <f>C89</f>
        <v>10187.409532108695</v>
      </c>
    </row>
    <row r="108" spans="1:3" x14ac:dyDescent="0.25">
      <c r="A108" t="s">
        <v>165</v>
      </c>
      <c r="C108">
        <f>C40</f>
        <v>132.68627000139</v>
      </c>
    </row>
    <row r="109" spans="1:3" x14ac:dyDescent="0.25">
      <c r="A109" t="s">
        <v>166</v>
      </c>
    </row>
    <row r="110" spans="1:3" x14ac:dyDescent="0.25">
      <c r="A110" t="s">
        <v>167</v>
      </c>
    </row>
    <row r="111" spans="1:3" x14ac:dyDescent="0.25">
      <c r="A111" t="s">
        <v>168</v>
      </c>
      <c r="C111">
        <f>C91</f>
        <v>22297.924183670872</v>
      </c>
    </row>
    <row r="112" spans="1:3" x14ac:dyDescent="0.25">
      <c r="A112" t="s">
        <v>169</v>
      </c>
      <c r="C112">
        <f>C98</f>
        <v>22151.73200949543</v>
      </c>
    </row>
    <row r="113" spans="1:3" x14ac:dyDescent="0.25">
      <c r="A113" t="s">
        <v>170</v>
      </c>
      <c r="C113">
        <f>C101</f>
        <v>5.9602847075987181E-3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Белдорцентр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Самарева</dc:creator>
  <cp:lastModifiedBy>Самарева</cp:lastModifiedBy>
  <dcterms:created xsi:type="dcterms:W3CDTF">2019-05-16T10:46:14Z</dcterms:created>
  <dcterms:modified xsi:type="dcterms:W3CDTF">2019-05-16T13:18:16Z</dcterms:modified>
</cp:coreProperties>
</file>