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istics" sheetId="1" r:id="rId4"/>
    <sheet state="visible" name="Performance" sheetId="2" r:id="rId5"/>
    <sheet state="visible" name="Notes" sheetId="3" r:id="rId6"/>
  </sheets>
  <definedNames/>
  <calcPr/>
</workbook>
</file>

<file path=xl/sharedStrings.xml><?xml version="1.0" encoding="utf-8"?>
<sst xmlns="http://schemas.openxmlformats.org/spreadsheetml/2006/main" count="9068" uniqueCount="1818">
  <si>
    <t>Ticker</t>
  </si>
  <si>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</si>
  <si>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</si>
  <si>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</si>
  <si>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</si>
  <si>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</si>
  <si>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</si>
  <si>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</si>
  <si>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</si>
  <si>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</si>
  <si>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</si>
  <si>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</si>
  <si>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</si>
  <si>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</si>
  <si>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AADI</t>
  </si>
  <si>
    <t>N/A</t>
  </si>
  <si>
    <t>AAN</t>
  </si>
  <si>
    <t>Industrials</t>
  </si>
  <si>
    <t>AAON</t>
  </si>
  <si>
    <t>AAT</t>
  </si>
  <si>
    <t>Real Estate</t>
  </si>
  <si>
    <t>ABCB</t>
  </si>
  <si>
    <t>Financial Services</t>
  </si>
  <si>
    <t>ABCL</t>
  </si>
  <si>
    <t>ABG</t>
  </si>
  <si>
    <t>Consumer Cyclical</t>
  </si>
  <si>
    <t>ABM</t>
  </si>
  <si>
    <t>ABR</t>
  </si>
  <si>
    <t>ABSI</t>
  </si>
  <si>
    <t>ABUS</t>
  </si>
  <si>
    <t>Healthcare</t>
  </si>
  <si>
    <t>AC</t>
  </si>
  <si>
    <t>ACA</t>
  </si>
  <si>
    <t>ACAD</t>
  </si>
  <si>
    <t>ACCD</t>
  </si>
  <si>
    <t>ACCO</t>
  </si>
  <si>
    <t>ACEL</t>
  </si>
  <si>
    <t>ACET</t>
  </si>
  <si>
    <t>ACHR</t>
  </si>
  <si>
    <t>ACIW</t>
  </si>
  <si>
    <t>Technology</t>
  </si>
  <si>
    <t>ACLS</t>
  </si>
  <si>
    <t>ACLX</t>
  </si>
  <si>
    <t>ACMR</t>
  </si>
  <si>
    <t>ACNB</t>
  </si>
  <si>
    <t>ACRE</t>
  </si>
  <si>
    <t>ACRS</t>
  </si>
  <si>
    <t>ACRV</t>
  </si>
  <si>
    <t>ACT</t>
  </si>
  <si>
    <t>NaN</t>
  </si>
  <si>
    <t>ACVA</t>
  </si>
  <si>
    <t>ADC</t>
  </si>
  <si>
    <t>ADEA</t>
  </si>
  <si>
    <t>ADMA</t>
  </si>
  <si>
    <t>ADNT</t>
  </si>
  <si>
    <t>ADPT</t>
  </si>
  <si>
    <t>ADTH</t>
  </si>
  <si>
    <t>ADTN</t>
  </si>
  <si>
    <t>ADUS</t>
  </si>
  <si>
    <t>ADV</t>
  </si>
  <si>
    <t>AEIS</t>
  </si>
  <si>
    <t>AEL</t>
  </si>
  <si>
    <t>AEO</t>
  </si>
  <si>
    <t>AEVA</t>
  </si>
  <si>
    <t>AFCG</t>
  </si>
  <si>
    <t>AFMD</t>
  </si>
  <si>
    <t>AGEN</t>
  </si>
  <si>
    <t>AGIO</t>
  </si>
  <si>
    <t>AGM</t>
  </si>
  <si>
    <t>AGTI</t>
  </si>
  <si>
    <t>AGX</t>
  </si>
  <si>
    <t>AGYS</t>
  </si>
  <si>
    <t>AHCO</t>
  </si>
  <si>
    <t>AHH</t>
  </si>
  <si>
    <t>AHT</t>
  </si>
  <si>
    <t>AI</t>
  </si>
  <si>
    <t>AIN</t>
  </si>
  <si>
    <t>AIP</t>
  </si>
  <si>
    <t>AIR</t>
  </si>
  <si>
    <t>AIRS</t>
  </si>
  <si>
    <t>AIT</t>
  </si>
  <si>
    <t>AIV</t>
  </si>
  <si>
    <t>AJRD</t>
  </si>
  <si>
    <t>AKA</t>
  </si>
  <si>
    <t>AKR</t>
  </si>
  <si>
    <t>AKRO</t>
  </si>
  <si>
    <t>AKTS</t>
  </si>
  <si>
    <t>AKYA</t>
  </si>
  <si>
    <t>ALCO</t>
  </si>
  <si>
    <t>Consumer Defensive</t>
  </si>
  <si>
    <t>ALE</t>
  </si>
  <si>
    <t>Utilities</t>
  </si>
  <si>
    <t>ALEC</t>
  </si>
  <si>
    <t>ALEX</t>
  </si>
  <si>
    <t>ALG</t>
  </si>
  <si>
    <t>ALGT</t>
  </si>
  <si>
    <t>ALHC</t>
  </si>
  <si>
    <t>ALIT</t>
  </si>
  <si>
    <t>ALKS</t>
  </si>
  <si>
    <t>ALKT</t>
  </si>
  <si>
    <t>ALLO</t>
  </si>
  <si>
    <t>ALPN</t>
  </si>
  <si>
    <t>ALRM</t>
  </si>
  <si>
    <t>ALRS</t>
  </si>
  <si>
    <t>ALTG</t>
  </si>
  <si>
    <t>ALTO</t>
  </si>
  <si>
    <t>ALTR</t>
  </si>
  <si>
    <t>ALVR</t>
  </si>
  <si>
    <t>ALX</t>
  </si>
  <si>
    <t>ALXO</t>
  </si>
  <si>
    <t>AMAL</t>
  </si>
  <si>
    <t>AMBA</t>
  </si>
  <si>
    <t>AMBC</t>
  </si>
  <si>
    <t>AMCX</t>
  </si>
  <si>
    <t>Communication Services</t>
  </si>
  <si>
    <t>AMEH</t>
  </si>
  <si>
    <t>AMK</t>
  </si>
  <si>
    <t>AMKR</t>
  </si>
  <si>
    <t>AMLX</t>
  </si>
  <si>
    <t>AMN</t>
  </si>
  <si>
    <t>AMNB</t>
  </si>
  <si>
    <t>AMPH</t>
  </si>
  <si>
    <t>AMPL</t>
  </si>
  <si>
    <t>AMPS</t>
  </si>
  <si>
    <t>AMPY</t>
  </si>
  <si>
    <t>Energy</t>
  </si>
  <si>
    <t>AMR</t>
  </si>
  <si>
    <t>AMRC</t>
  </si>
  <si>
    <t>AMRK</t>
  </si>
  <si>
    <t>AMRS</t>
  </si>
  <si>
    <t>Basic Materials</t>
  </si>
  <si>
    <t>AMRX</t>
  </si>
  <si>
    <t>AMSF</t>
  </si>
  <si>
    <t>AMSWA</t>
  </si>
  <si>
    <t>AMTB</t>
  </si>
  <si>
    <t>AMTX</t>
  </si>
  <si>
    <t>AMWD</t>
  </si>
  <si>
    <t>AMWL</t>
  </si>
  <si>
    <t>ANAB</t>
  </si>
  <si>
    <t>ANDE</t>
  </si>
  <si>
    <t>ANF</t>
  </si>
  <si>
    <t>ANGO</t>
  </si>
  <si>
    <t>ANIK</t>
  </si>
  <si>
    <t>ANIP</t>
  </si>
  <si>
    <t>ANTX</t>
  </si>
  <si>
    <t>AOMR</t>
  </si>
  <si>
    <t>AORT</t>
  </si>
  <si>
    <t>AOSL</t>
  </si>
  <si>
    <t>APAM</t>
  </si>
  <si>
    <t>APEI</t>
  </si>
  <si>
    <t>APG</t>
  </si>
  <si>
    <t>APLD</t>
  </si>
  <si>
    <t>APLE</t>
  </si>
  <si>
    <t>APLS</t>
  </si>
  <si>
    <t>APOG</t>
  </si>
  <si>
    <t>APPF</t>
  </si>
  <si>
    <t>APPH</t>
  </si>
  <si>
    <t>APPN</t>
  </si>
  <si>
    <t>APPS</t>
  </si>
  <si>
    <t>ARCB</t>
  </si>
  <si>
    <t>ARCH</t>
  </si>
  <si>
    <t>ARCT</t>
  </si>
  <si>
    <t>AREN</t>
  </si>
  <si>
    <t>ARGO</t>
  </si>
  <si>
    <t>ARI</t>
  </si>
  <si>
    <t>ARIS</t>
  </si>
  <si>
    <t>ARKO</t>
  </si>
  <si>
    <t>ARL</t>
  </si>
  <si>
    <t>ARLO</t>
  </si>
  <si>
    <t>ARNC</t>
  </si>
  <si>
    <t>AROC</t>
  </si>
  <si>
    <t>AROW</t>
  </si>
  <si>
    <t>ARQT</t>
  </si>
  <si>
    <t>ARR</t>
  </si>
  <si>
    <t>ARRY</t>
  </si>
  <si>
    <t>ARTNA</t>
  </si>
  <si>
    <t>ARVN</t>
  </si>
  <si>
    <t>ARWR</t>
  </si>
  <si>
    <t>ASAN</t>
  </si>
  <si>
    <t>ASB</t>
  </si>
  <si>
    <t>ASC</t>
  </si>
  <si>
    <t>ASGN</t>
  </si>
  <si>
    <t>ASIX</t>
  </si>
  <si>
    <t>ASLE</t>
  </si>
  <si>
    <t>ASO</t>
  </si>
  <si>
    <t>ASPN</t>
  </si>
  <si>
    <t>ASTE</t>
  </si>
  <si>
    <t>ASTR</t>
  </si>
  <si>
    <t>ATEC</t>
  </si>
  <si>
    <t>ATEN</t>
  </si>
  <si>
    <t>ATER</t>
  </si>
  <si>
    <t>ATEX</t>
  </si>
  <si>
    <t>ATGE</t>
  </si>
  <si>
    <t>ATHA</t>
  </si>
  <si>
    <t>ATI</t>
  </si>
  <si>
    <t>ATIP</t>
  </si>
  <si>
    <t>ATKR</t>
  </si>
  <si>
    <t>ATLC</t>
  </si>
  <si>
    <t>ATNI</t>
  </si>
  <si>
    <t>ATOM</t>
  </si>
  <si>
    <t>ATRA</t>
  </si>
  <si>
    <t>ATRC</t>
  </si>
  <si>
    <t>ATRI</t>
  </si>
  <si>
    <t>ATRO</t>
  </si>
  <si>
    <t>ATSG</t>
  </si>
  <si>
    <t>AUB</t>
  </si>
  <si>
    <t>AUPH</t>
  </si>
  <si>
    <t>AURA</t>
  </si>
  <si>
    <t>AVA</t>
  </si>
  <si>
    <t>AVAH</t>
  </si>
  <si>
    <t>AVAV</t>
  </si>
  <si>
    <t>AVD</t>
  </si>
  <si>
    <t>AVDX</t>
  </si>
  <si>
    <t>AVID</t>
  </si>
  <si>
    <t>AVIR</t>
  </si>
  <si>
    <t>AVNS</t>
  </si>
  <si>
    <t>AVNT</t>
  </si>
  <si>
    <t>AVNW</t>
  </si>
  <si>
    <t>AVO</t>
  </si>
  <si>
    <t>AVPT</t>
  </si>
  <si>
    <t>AVTA</t>
  </si>
  <si>
    <t>AVTE</t>
  </si>
  <si>
    <t>AVXL</t>
  </si>
  <si>
    <t>AWR</t>
  </si>
  <si>
    <t>AX</t>
  </si>
  <si>
    <t>BTAI</t>
  </si>
  <si>
    <t>BTU</t>
  </si>
  <si>
    <t>BUSE</t>
  </si>
  <si>
    <t>BV</t>
  </si>
  <si>
    <t>BVH</t>
  </si>
  <si>
    <t>BVS</t>
  </si>
  <si>
    <t>BW</t>
  </si>
  <si>
    <t>BWB</t>
  </si>
  <si>
    <t>BWFG</t>
  </si>
  <si>
    <t>BXC</t>
  </si>
  <si>
    <t>BXMT</t>
  </si>
  <si>
    <t>BY</t>
  </si>
  <si>
    <t>BYND</t>
  </si>
  <si>
    <t>BZH</t>
  </si>
  <si>
    <t>CAC</t>
  </si>
  <si>
    <t>CADE</t>
  </si>
  <si>
    <t>CAKE</t>
  </si>
  <si>
    <t>CAL</t>
  </si>
  <si>
    <t>CALM</t>
  </si>
  <si>
    <t>CALX</t>
  </si>
  <si>
    <t>CARA</t>
  </si>
  <si>
    <t>CARE</t>
  </si>
  <si>
    <t>CARG</t>
  </si>
  <si>
    <t>CARS</t>
  </si>
  <si>
    <t>CASA</t>
  </si>
  <si>
    <t>CASH</t>
  </si>
  <si>
    <t>CASS</t>
  </si>
  <si>
    <t>CATC</t>
  </si>
  <si>
    <t>CATO</t>
  </si>
  <si>
    <t>CATY</t>
  </si>
  <si>
    <t>CBAN</t>
  </si>
  <si>
    <t>CBL</t>
  </si>
  <si>
    <t>CBNK</t>
  </si>
  <si>
    <t>CBRL</t>
  </si>
  <si>
    <t>CBT</t>
  </si>
  <si>
    <t>CBU</t>
  </si>
  <si>
    <t>CBZ</t>
  </si>
  <si>
    <t>CCB</t>
  </si>
  <si>
    <t>CCBG</t>
  </si>
  <si>
    <t>CCCC</t>
  </si>
  <si>
    <t>CCF</t>
  </si>
  <si>
    <t>CCNE</t>
  </si>
  <si>
    <t>CCO</t>
  </si>
  <si>
    <t>CCOI</t>
  </si>
  <si>
    <t>CCRN</t>
  </si>
  <si>
    <t>CCS</t>
  </si>
  <si>
    <t>CCSI</t>
  </si>
  <si>
    <t>CDE</t>
  </si>
  <si>
    <t>CDLX</t>
  </si>
  <si>
    <t>CDMO</t>
  </si>
  <si>
    <t>CDNA</t>
  </si>
  <si>
    <t>CDRE</t>
  </si>
  <si>
    <t>CDXS</t>
  </si>
  <si>
    <t>CEIX</t>
  </si>
  <si>
    <t>CELH</t>
  </si>
  <si>
    <t>CELL</t>
  </si>
  <si>
    <t>CELU</t>
  </si>
  <si>
    <t>CENN</t>
  </si>
  <si>
    <t>CENT</t>
  </si>
  <si>
    <t>CENTA</t>
  </si>
  <si>
    <t>CENX</t>
  </si>
  <si>
    <t>CERE</t>
  </si>
  <si>
    <t>CERS</t>
  </si>
  <si>
    <t>CEVA</t>
  </si>
  <si>
    <t>CFB</t>
  </si>
  <si>
    <t>CFFN</t>
  </si>
  <si>
    <t>CGEM</t>
  </si>
  <si>
    <t>CHCO</t>
  </si>
  <si>
    <t>CHCT</t>
  </si>
  <si>
    <t>CHEF</t>
  </si>
  <si>
    <t>CHGG</t>
  </si>
  <si>
    <t>CHRD</t>
  </si>
  <si>
    <t>CHRS</t>
  </si>
  <si>
    <t>CHS</t>
  </si>
  <si>
    <t>CHUY</t>
  </si>
  <si>
    <t>CHX</t>
  </si>
  <si>
    <t>CIFR</t>
  </si>
  <si>
    <t>CIM</t>
  </si>
  <si>
    <t>CIO</t>
  </si>
  <si>
    <t>CIR</t>
  </si>
  <si>
    <t>CISO</t>
  </si>
  <si>
    <t>CIVB</t>
  </si>
  <si>
    <t>CIVI</t>
  </si>
  <si>
    <t>CIX</t>
  </si>
  <si>
    <t>CLAR</t>
  </si>
  <si>
    <t>CLBK</t>
  </si>
  <si>
    <t>CLDT</t>
  </si>
  <si>
    <t>CLDX</t>
  </si>
  <si>
    <t>CLFD</t>
  </si>
  <si>
    <t>CLNE</t>
  </si>
  <si>
    <t>CLOV</t>
  </si>
  <si>
    <t>CLPR</t>
  </si>
  <si>
    <t>CLSK</t>
  </si>
  <si>
    <t>CLW</t>
  </si>
  <si>
    <t>CMAX</t>
  </si>
  <si>
    <t>CMBM</t>
  </si>
  <si>
    <t>CMC</t>
  </si>
  <si>
    <t>CMCO</t>
  </si>
  <si>
    <t>CMLS</t>
  </si>
  <si>
    <t>CMP</t>
  </si>
  <si>
    <t>CMPO</t>
  </si>
  <si>
    <t>CMPR</t>
  </si>
  <si>
    <t>CMRE</t>
  </si>
  <si>
    <t>CMRX</t>
  </si>
  <si>
    <t>CMTG</t>
  </si>
  <si>
    <t>CMTL</t>
  </si>
  <si>
    <t>CNDT</t>
  </si>
  <si>
    <t>CNK</t>
  </si>
  <si>
    <t>CNMD</t>
  </si>
  <si>
    <t>CNNE</t>
  </si>
  <si>
    <t>CNO</t>
  </si>
  <si>
    <t>CNOB</t>
  </si>
  <si>
    <t>CNS</t>
  </si>
  <si>
    <t>CNSL</t>
  </si>
  <si>
    <t>CNTY</t>
  </si>
  <si>
    <t>CNX</t>
  </si>
  <si>
    <t>CNXN</t>
  </si>
  <si>
    <t>COCO</t>
  </si>
  <si>
    <t>CODI</t>
  </si>
  <si>
    <t>COGT</t>
  </si>
  <si>
    <t>COHU</t>
  </si>
  <si>
    <t>COKE</t>
  </si>
  <si>
    <t>COLL</t>
  </si>
  <si>
    <t>COMM</t>
  </si>
  <si>
    <t>COMP</t>
  </si>
  <si>
    <t>CONN</t>
  </si>
  <si>
    <t>COOK</t>
  </si>
  <si>
    <t>COOP</t>
  </si>
  <si>
    <t>CORT</t>
  </si>
  <si>
    <t>COUR</t>
  </si>
  <si>
    <t>CPE</t>
  </si>
  <si>
    <t>CPF</t>
  </si>
  <si>
    <t>CPK</t>
  </si>
  <si>
    <t>CPRX</t>
  </si>
  <si>
    <t>CPSI</t>
  </si>
  <si>
    <t>CPSS</t>
  </si>
  <si>
    <t>CPTN</t>
  </si>
  <si>
    <t>CRAI</t>
  </si>
  <si>
    <t>CRBU</t>
  </si>
  <si>
    <t>CRC</t>
  </si>
  <si>
    <t>CRDO</t>
  </si>
  <si>
    <t>CRGE</t>
  </si>
  <si>
    <t>CRGY</t>
  </si>
  <si>
    <t>CRK</t>
  </si>
  <si>
    <t>CRMT</t>
  </si>
  <si>
    <t>CRNC</t>
  </si>
  <si>
    <t>CRNX</t>
  </si>
  <si>
    <t>CROX</t>
  </si>
  <si>
    <t>CRS</t>
  </si>
  <si>
    <t>CRSR</t>
  </si>
  <si>
    <t>CRVL</t>
  </si>
  <si>
    <t>CSGS</t>
  </si>
  <si>
    <t>CSR</t>
  </si>
  <si>
    <t>CSTE</t>
  </si>
  <si>
    <t>CSTL</t>
  </si>
  <si>
    <t>CSTM</t>
  </si>
  <si>
    <t>CSTR</t>
  </si>
  <si>
    <t>CSV</t>
  </si>
  <si>
    <t>CSWI</t>
  </si>
  <si>
    <t>CTBI</t>
  </si>
  <si>
    <t>CTIC</t>
  </si>
  <si>
    <t>CTKB</t>
  </si>
  <si>
    <t>CTLP</t>
  </si>
  <si>
    <t>CTO</t>
  </si>
  <si>
    <t>CTOS</t>
  </si>
  <si>
    <t>CTRE</t>
  </si>
  <si>
    <t>CTRN</t>
  </si>
  <si>
    <t>CTS</t>
  </si>
  <si>
    <t>CTV</t>
  </si>
  <si>
    <t>CUBI</t>
  </si>
  <si>
    <t>CURO</t>
  </si>
  <si>
    <t>CURV</t>
  </si>
  <si>
    <t>CUTR</t>
  </si>
  <si>
    <t>CVBF</t>
  </si>
  <si>
    <t>CVCO</t>
  </si>
  <si>
    <t>CVGW</t>
  </si>
  <si>
    <t>CVI</t>
  </si>
  <si>
    <t>CVLG</t>
  </si>
  <si>
    <t>CVLT</t>
  </si>
  <si>
    <t>CVT</t>
  </si>
  <si>
    <t>CWEN</t>
  </si>
  <si>
    <t>CWH</t>
  </si>
  <si>
    <t>CWK</t>
  </si>
  <si>
    <t>CWST</t>
  </si>
  <si>
    <t>CWT</t>
  </si>
  <si>
    <t>CXW</t>
  </si>
  <si>
    <t>CYH</t>
  </si>
  <si>
    <t>CYRX</t>
  </si>
  <si>
    <t>CYTK</t>
  </si>
  <si>
    <t>CZNC</t>
  </si>
  <si>
    <t>DAN</t>
  </si>
  <si>
    <t>DAWN</t>
  </si>
  <si>
    <t>DBI</t>
  </si>
  <si>
    <t>DBRG</t>
  </si>
  <si>
    <t>DC</t>
  </si>
  <si>
    <t>DCGO</t>
  </si>
  <si>
    <t>DCO</t>
  </si>
  <si>
    <t>DCOM</t>
  </si>
  <si>
    <t>DCPH</t>
  </si>
  <si>
    <t>DDD</t>
  </si>
  <si>
    <t>DDS</t>
  </si>
  <si>
    <t>DEA</t>
  </si>
  <si>
    <t>DEN</t>
  </si>
  <si>
    <t>DENN</t>
  </si>
  <si>
    <t>DFH</t>
  </si>
  <si>
    <t>DFIN</t>
  </si>
  <si>
    <t>DGICA</t>
  </si>
  <si>
    <t>DGII</t>
  </si>
  <si>
    <t>DHC</t>
  </si>
  <si>
    <t>DHIL</t>
  </si>
  <si>
    <t>DHT</t>
  </si>
  <si>
    <t>DHX</t>
  </si>
  <si>
    <t>DIBS</t>
  </si>
  <si>
    <t>DICE</t>
  </si>
  <si>
    <t>DIN</t>
  </si>
  <si>
    <t>DIOD</t>
  </si>
  <si>
    <t>DJCO</t>
  </si>
  <si>
    <t>DK</t>
  </si>
  <si>
    <t>DLTH</t>
  </si>
  <si>
    <t>DLX</t>
  </si>
  <si>
    <t>DM</t>
  </si>
  <si>
    <t>DMRC</t>
  </si>
  <si>
    <t>DNLI</t>
  </si>
  <si>
    <t>DNMR</t>
  </si>
  <si>
    <t>DNOW</t>
  </si>
  <si>
    <t>DNUT</t>
  </si>
  <si>
    <t>DO</t>
  </si>
  <si>
    <t>DOC</t>
  </si>
  <si>
    <t>DOCN</t>
  </si>
  <si>
    <t>DOMA</t>
  </si>
  <si>
    <t>DOMO</t>
  </si>
  <si>
    <t>DOOR</t>
  </si>
  <si>
    <t>DORM</t>
  </si>
  <si>
    <t>DOUG</t>
  </si>
  <si>
    <t>DRH</t>
  </si>
  <si>
    <t>DRQ</t>
  </si>
  <si>
    <t>DSEY</t>
  </si>
  <si>
    <t>DSGN</t>
  </si>
  <si>
    <t>DSGR</t>
  </si>
  <si>
    <t>DSKE</t>
  </si>
  <si>
    <t>DSP</t>
  </si>
  <si>
    <t>DTC</t>
  </si>
  <si>
    <t>DUOL</t>
  </si>
  <si>
    <t>DVAX</t>
  </si>
  <si>
    <t>DX</t>
  </si>
  <si>
    <t>DXLG</t>
  </si>
  <si>
    <t>DXPE</t>
  </si>
  <si>
    <t>DY</t>
  </si>
  <si>
    <t>DYN</t>
  </si>
  <si>
    <t>DZSI</t>
  </si>
  <si>
    <t>EAF</t>
  </si>
  <si>
    <t>EAT</t>
  </si>
  <si>
    <t>EB</t>
  </si>
  <si>
    <t>EBC</t>
  </si>
  <si>
    <t>EBF</t>
  </si>
  <si>
    <t>EBIX</t>
  </si>
  <si>
    <t>EBS</t>
  </si>
  <si>
    <t>EBTC</t>
  </si>
  <si>
    <t>ECPG</t>
  </si>
  <si>
    <t>ECVT</t>
  </si>
  <si>
    <t>EDIT</t>
  </si>
  <si>
    <t>EE</t>
  </si>
  <si>
    <t>EFC</t>
  </si>
  <si>
    <t>EFSC</t>
  </si>
  <si>
    <t>EGAN</t>
  </si>
  <si>
    <t>EGBN</t>
  </si>
  <si>
    <t>EGHT</t>
  </si>
  <si>
    <t>EGIO</t>
  </si>
  <si>
    <t>EGLE</t>
  </si>
  <si>
    <t>EGRX</t>
  </si>
  <si>
    <t>EGY</t>
  </si>
  <si>
    <t>EHTH</t>
  </si>
  <si>
    <t>EIG</t>
  </si>
  <si>
    <t>EIGR</t>
  </si>
  <si>
    <t>ELF</t>
  </si>
  <si>
    <t>ELME</t>
  </si>
  <si>
    <t>EMBC</t>
  </si>
  <si>
    <t>EME</t>
  </si>
  <si>
    <t>ENFN</t>
  </si>
  <si>
    <t>ENOB</t>
  </si>
  <si>
    <t>ENR</t>
  </si>
  <si>
    <t>ENS</t>
  </si>
  <si>
    <t>ENSG</t>
  </si>
  <si>
    <t>ENTA</t>
  </si>
  <si>
    <t>ENV</t>
  </si>
  <si>
    <t>ENVA</t>
  </si>
  <si>
    <t>ENVX</t>
  </si>
  <si>
    <t>EOLS</t>
  </si>
  <si>
    <t>EP</t>
  </si>
  <si>
    <t>EPAC</t>
  </si>
  <si>
    <t>EPC</t>
  </si>
  <si>
    <t>EPRT</t>
  </si>
  <si>
    <t>EQBK</t>
  </si>
  <si>
    <t>EQC</t>
  </si>
  <si>
    <t>EQRX</t>
  </si>
  <si>
    <t>ERAS</t>
  </si>
  <si>
    <t>ERII</t>
  </si>
  <si>
    <t>ESE</t>
  </si>
  <si>
    <t>ESGR</t>
  </si>
  <si>
    <t>ESMT</t>
  </si>
  <si>
    <t>ESNT</t>
  </si>
  <si>
    <t>ESPR</t>
  </si>
  <si>
    <t>ESQ</t>
  </si>
  <si>
    <t>ESRT</t>
  </si>
  <si>
    <t>ESTE</t>
  </si>
  <si>
    <t>ETD</t>
  </si>
  <si>
    <t>ETRN</t>
  </si>
  <si>
    <t>ETWO</t>
  </si>
  <si>
    <t>EVBG</t>
  </si>
  <si>
    <t>EVC</t>
  </si>
  <si>
    <t>EVCM</t>
  </si>
  <si>
    <t>EVER</t>
  </si>
  <si>
    <t>EVGO</t>
  </si>
  <si>
    <t>EVH</t>
  </si>
  <si>
    <t>EVLV</t>
  </si>
  <si>
    <t>EVRI</t>
  </si>
  <si>
    <t>EVTC</t>
  </si>
  <si>
    <t>EWCZ</t>
  </si>
  <si>
    <t>EWTX</t>
  </si>
  <si>
    <t>EXLS</t>
  </si>
  <si>
    <t>EXPI</t>
  </si>
  <si>
    <t>EXPO</t>
  </si>
  <si>
    <t>EXPR</t>
  </si>
  <si>
    <t>EXTR</t>
  </si>
  <si>
    <t>EYE</t>
  </si>
  <si>
    <t>EYPT</t>
  </si>
  <si>
    <t>EZPW</t>
  </si>
  <si>
    <t>FA</t>
  </si>
  <si>
    <t>FARO</t>
  </si>
  <si>
    <t>FATE</t>
  </si>
  <si>
    <t>FBIZ</t>
  </si>
  <si>
    <t>FBK</t>
  </si>
  <si>
    <t>FBMS</t>
  </si>
  <si>
    <t>FBNC</t>
  </si>
  <si>
    <t>FBP</t>
  </si>
  <si>
    <t>FBRT</t>
  </si>
  <si>
    <t>FC</t>
  </si>
  <si>
    <t>FCBC</t>
  </si>
  <si>
    <t>FCEL</t>
  </si>
  <si>
    <t>FCF</t>
  </si>
  <si>
    <t>FCFS</t>
  </si>
  <si>
    <t>FCPT</t>
  </si>
  <si>
    <t>FCUV</t>
  </si>
  <si>
    <t>FDMT</t>
  </si>
  <si>
    <t>FDP</t>
  </si>
  <si>
    <t>FEAM</t>
  </si>
  <si>
    <t>FELE</t>
  </si>
  <si>
    <t>FF</t>
  </si>
  <si>
    <t>FFBC</t>
  </si>
  <si>
    <t>FFIC</t>
  </si>
  <si>
    <t>FFIE</t>
  </si>
  <si>
    <t>FFIN</t>
  </si>
  <si>
    <t>FFWM</t>
  </si>
  <si>
    <t>FGBI</t>
  </si>
  <si>
    <t>FGEN</t>
  </si>
  <si>
    <t>FHI</t>
  </si>
  <si>
    <t>FHTX</t>
  </si>
  <si>
    <t>FIBK</t>
  </si>
  <si>
    <t>FIGS</t>
  </si>
  <si>
    <t>FISI</t>
  </si>
  <si>
    <t>FIX</t>
  </si>
  <si>
    <t>FIZZ</t>
  </si>
  <si>
    <t>FL</t>
  </si>
  <si>
    <t>FLGT</t>
  </si>
  <si>
    <t>FLIC</t>
  </si>
  <si>
    <t>FLL</t>
  </si>
  <si>
    <t>FLNC</t>
  </si>
  <si>
    <t>FLNG</t>
  </si>
  <si>
    <t>FLR</t>
  </si>
  <si>
    <t>FLWS</t>
  </si>
  <si>
    <t>FLYW</t>
  </si>
  <si>
    <t>FMAO</t>
  </si>
  <si>
    <t>FMBH</t>
  </si>
  <si>
    <t>FMNB</t>
  </si>
  <si>
    <t>FN</t>
  </si>
  <si>
    <t>FNA</t>
  </si>
  <si>
    <t>FNKO</t>
  </si>
  <si>
    <t>FNLC</t>
  </si>
  <si>
    <t>FOA</t>
  </si>
  <si>
    <t>FOCS</t>
  </si>
  <si>
    <t>FOLD</t>
  </si>
  <si>
    <t>FOR</t>
  </si>
  <si>
    <t>FORG</t>
  </si>
  <si>
    <t>FORM</t>
  </si>
  <si>
    <t>FORR</t>
  </si>
  <si>
    <t>FOSL</t>
  </si>
  <si>
    <t>FOXF</t>
  </si>
  <si>
    <t>FPI</t>
  </si>
  <si>
    <t>FRBA</t>
  </si>
  <si>
    <t>FRBK</t>
  </si>
  <si>
    <t>FREE</t>
  </si>
  <si>
    <t>FRG</t>
  </si>
  <si>
    <t>FRME</t>
  </si>
  <si>
    <t>FRO</t>
  </si>
  <si>
    <t>FRPH</t>
  </si>
  <si>
    <t>FRST</t>
  </si>
  <si>
    <t>FSBC</t>
  </si>
  <si>
    <t>FSLY</t>
  </si>
  <si>
    <t>FSP</t>
  </si>
  <si>
    <t>FSR</t>
  </si>
  <si>
    <t>FSS</t>
  </si>
  <si>
    <t>FTCI</t>
  </si>
  <si>
    <t>FTDR</t>
  </si>
  <si>
    <t>FUBO</t>
  </si>
  <si>
    <t>FUL</t>
  </si>
  <si>
    <t>FULC</t>
  </si>
  <si>
    <t>FULT</t>
  </si>
  <si>
    <t>FVCB</t>
  </si>
  <si>
    <t>FWRD</t>
  </si>
  <si>
    <t>FWRG</t>
  </si>
  <si>
    <t>FXLV</t>
  </si>
  <si>
    <t>GABC</t>
  </si>
  <si>
    <t>GAMB</t>
  </si>
  <si>
    <t>GATX</t>
  </si>
  <si>
    <t>GBCI</t>
  </si>
  <si>
    <t>GBIO</t>
  </si>
  <si>
    <t>GBX</t>
  </si>
  <si>
    <t>GCBC</t>
  </si>
  <si>
    <t>GCI</t>
  </si>
  <si>
    <t>GCMG</t>
  </si>
  <si>
    <t>GCO</t>
  </si>
  <si>
    <t>GDEN</t>
  </si>
  <si>
    <t>GDOT</t>
  </si>
  <si>
    <t>GDYN</t>
  </si>
  <si>
    <t>GEF</t>
  </si>
  <si>
    <t>GEO</t>
  </si>
  <si>
    <t>GERN</t>
  </si>
  <si>
    <t>GES</t>
  </si>
  <si>
    <t>GEVO</t>
  </si>
  <si>
    <t>GFF</t>
  </si>
  <si>
    <t>GHC</t>
  </si>
  <si>
    <t>GIC</t>
  </si>
  <si>
    <t>GIII</t>
  </si>
  <si>
    <t>GKOS</t>
  </si>
  <si>
    <t>GLDD</t>
  </si>
  <si>
    <t>GLNG</t>
  </si>
  <si>
    <t>GLRE</t>
  </si>
  <si>
    <t>GLT</t>
  </si>
  <si>
    <t>GLUE</t>
  </si>
  <si>
    <t>GMRE</t>
  </si>
  <si>
    <t>GMS</t>
  </si>
  <si>
    <t>GNK</t>
  </si>
  <si>
    <t>GNL</t>
  </si>
  <si>
    <t>GNTY</t>
  </si>
  <si>
    <t>GNW</t>
  </si>
  <si>
    <t>GOEV</t>
  </si>
  <si>
    <t>GOGL</t>
  </si>
  <si>
    <t>GOGO</t>
  </si>
  <si>
    <t>GOLF</t>
  </si>
  <si>
    <t>GOOD</t>
  </si>
  <si>
    <t>GOSS</t>
  </si>
  <si>
    <t>GPI</t>
  </si>
  <si>
    <t>GPMT</t>
  </si>
  <si>
    <t>GPOR</t>
  </si>
  <si>
    <t>GPRE</t>
  </si>
  <si>
    <t>GPRO</t>
  </si>
  <si>
    <t>GRBK</t>
  </si>
  <si>
    <t>GRC</t>
  </si>
  <si>
    <t>GREE</t>
  </si>
  <si>
    <t>GRNA</t>
  </si>
  <si>
    <t>GRPN</t>
  </si>
  <si>
    <t>GRWG</t>
  </si>
  <si>
    <t>GSAT</t>
  </si>
  <si>
    <t>GSBC</t>
  </si>
  <si>
    <t>GSHD</t>
  </si>
  <si>
    <t>GT</t>
  </si>
  <si>
    <t>GTLS</t>
  </si>
  <si>
    <t>GTN</t>
  </si>
  <si>
    <t>GTY</t>
  </si>
  <si>
    <t>GVA</t>
  </si>
  <si>
    <t>GWH</t>
  </si>
  <si>
    <t>GWRS</t>
  </si>
  <si>
    <t>HA</t>
  </si>
  <si>
    <t>HAE</t>
  </si>
  <si>
    <t>HAFC</t>
  </si>
  <si>
    <t>HAIN</t>
  </si>
  <si>
    <t>HALO</t>
  </si>
  <si>
    <t>HASI</t>
  </si>
  <si>
    <t>HAYN</t>
  </si>
  <si>
    <t>HBCP</t>
  </si>
  <si>
    <t>HBNC</t>
  </si>
  <si>
    <t>HBT</t>
  </si>
  <si>
    <t>HCAT</t>
  </si>
  <si>
    <t>HCC</t>
  </si>
  <si>
    <t>HCCI</t>
  </si>
  <si>
    <t>HCI</t>
  </si>
  <si>
    <t>HCKT</t>
  </si>
  <si>
    <t>HCSG</t>
  </si>
  <si>
    <t>HDSN</t>
  </si>
  <si>
    <t>HEAR</t>
  </si>
  <si>
    <t>HEES</t>
  </si>
  <si>
    <t>HELE</t>
  </si>
  <si>
    <t>HFFG</t>
  </si>
  <si>
    <t>HFWA</t>
  </si>
  <si>
    <t>HGV</t>
  </si>
  <si>
    <t>HI</t>
  </si>
  <si>
    <t>HIBB</t>
  </si>
  <si>
    <t>HIFS</t>
  </si>
  <si>
    <t>HIMS</t>
  </si>
  <si>
    <t>HIPO</t>
  </si>
  <si>
    <t>HL</t>
  </si>
  <si>
    <t>HLF</t>
  </si>
  <si>
    <t>HLGN</t>
  </si>
  <si>
    <t>HLI</t>
  </si>
  <si>
    <t>HLIO</t>
  </si>
  <si>
    <t>HLIT</t>
  </si>
  <si>
    <t>HLLY</t>
  </si>
  <si>
    <t>HLMN</t>
  </si>
  <si>
    <t>HLNE</t>
  </si>
  <si>
    <t>HLTH</t>
  </si>
  <si>
    <t>HLVX</t>
  </si>
  <si>
    <t>HLX</t>
  </si>
  <si>
    <t>HMN</t>
  </si>
  <si>
    <t>HMPT</t>
  </si>
  <si>
    <t>HMST</t>
  </si>
  <si>
    <t>HNI</t>
  </si>
  <si>
    <t>HNST</t>
  </si>
  <si>
    <t>HOMB</t>
  </si>
  <si>
    <t>HONE</t>
  </si>
  <si>
    <t>HOPE</t>
  </si>
  <si>
    <t>HOUS</t>
  </si>
  <si>
    <t>HOV</t>
  </si>
  <si>
    <t>HP</t>
  </si>
  <si>
    <t>HPK</t>
  </si>
  <si>
    <t>HQY</t>
  </si>
  <si>
    <t>HRI</t>
  </si>
  <si>
    <t>HRMY</t>
  </si>
  <si>
    <t>HRT</t>
  </si>
  <si>
    <t>HRTX</t>
  </si>
  <si>
    <t>HSII</t>
  </si>
  <si>
    <t>HSTM</t>
  </si>
  <si>
    <t>HT</t>
  </si>
  <si>
    <t>HTBI</t>
  </si>
  <si>
    <t>HTBK</t>
  </si>
  <si>
    <t>HTH</t>
  </si>
  <si>
    <t>HTLD</t>
  </si>
  <si>
    <t>HTLF</t>
  </si>
  <si>
    <t>HUBG</t>
  </si>
  <si>
    <t>HUMA</t>
  </si>
  <si>
    <t>HURN</t>
  </si>
  <si>
    <t>HVT</t>
  </si>
  <si>
    <t>HWC</t>
  </si>
  <si>
    <t>HWKN</t>
  </si>
  <si>
    <t>HY</t>
  </si>
  <si>
    <t>HYFM</t>
  </si>
  <si>
    <t>HYLN</t>
  </si>
  <si>
    <t>HYMC</t>
  </si>
  <si>
    <t>HYZN</t>
  </si>
  <si>
    <t>HZO</t>
  </si>
  <si>
    <t>IAS</t>
  </si>
  <si>
    <t>IBCP</t>
  </si>
  <si>
    <t>IBEX</t>
  </si>
  <si>
    <t>IBOC</t>
  </si>
  <si>
    <t>IBP</t>
  </si>
  <si>
    <t>IBRX</t>
  </si>
  <si>
    <t>IBTX</t>
  </si>
  <si>
    <t>ICFI</t>
  </si>
  <si>
    <t>ICHR</t>
  </si>
  <si>
    <t>ICPT</t>
  </si>
  <si>
    <t>ICVX</t>
  </si>
  <si>
    <t>IDCC</t>
  </si>
  <si>
    <t>IDT</t>
  </si>
  <si>
    <t>IDYA</t>
  </si>
  <si>
    <t>IE</t>
  </si>
  <si>
    <t>IESC</t>
  </si>
  <si>
    <t>IGMS</t>
  </si>
  <si>
    <t>IGT</t>
  </si>
  <si>
    <t>IHRT</t>
  </si>
  <si>
    <t>III</t>
  </si>
  <si>
    <t>IIIN</t>
  </si>
  <si>
    <t>IIIV</t>
  </si>
  <si>
    <t>IIPR</t>
  </si>
  <si>
    <t>ILPT</t>
  </si>
  <si>
    <t>IMAX</t>
  </si>
  <si>
    <t>IMGN</t>
  </si>
  <si>
    <t>IMKTA</t>
  </si>
  <si>
    <t>IMVT</t>
  </si>
  <si>
    <t>IMXI</t>
  </si>
  <si>
    <t>INBK</t>
  </si>
  <si>
    <t>INBX</t>
  </si>
  <si>
    <t>INDB</t>
  </si>
  <si>
    <t>INDI</t>
  </si>
  <si>
    <t>INDT</t>
  </si>
  <si>
    <t>INFN</t>
  </si>
  <si>
    <t>INGN</t>
  </si>
  <si>
    <t>INN</t>
  </si>
  <si>
    <t>INNV</t>
  </si>
  <si>
    <t>INO</t>
  </si>
  <si>
    <t>INSE</t>
  </si>
  <si>
    <t>INSG</t>
  </si>
  <si>
    <t>INSM</t>
  </si>
  <si>
    <t>INSP</t>
  </si>
  <si>
    <t>INST</t>
  </si>
  <si>
    <t>INSW</t>
  </si>
  <si>
    <t>INTA</t>
  </si>
  <si>
    <t>INVA</t>
  </si>
  <si>
    <t>INVE</t>
  </si>
  <si>
    <t>IONQ</t>
  </si>
  <si>
    <t>IOSP</t>
  </si>
  <si>
    <t>IOVA</t>
  </si>
  <si>
    <t>IPAR</t>
  </si>
  <si>
    <t>IPI</t>
  </si>
  <si>
    <t>IPSC</t>
  </si>
  <si>
    <t>IRBT</t>
  </si>
  <si>
    <t>IRDM</t>
  </si>
  <si>
    <t>IRMD</t>
  </si>
  <si>
    <t>IRNT</t>
  </si>
  <si>
    <t>IRT</t>
  </si>
  <si>
    <t>IRTC</t>
  </si>
  <si>
    <t>IRWD</t>
  </si>
  <si>
    <t>ISEE</t>
  </si>
  <si>
    <t>ISPO</t>
  </si>
  <si>
    <t>ITCI</t>
  </si>
  <si>
    <t>ITGR</t>
  </si>
  <si>
    <t>ITIC</t>
  </si>
  <si>
    <t>ITOS</t>
  </si>
  <si>
    <t>ITRI</t>
  </si>
  <si>
    <t>IVR</t>
  </si>
  <si>
    <t>IVT</t>
  </si>
  <si>
    <t>IVVD</t>
  </si>
  <si>
    <t>JACK</t>
  </si>
  <si>
    <t>JANX</t>
  </si>
  <si>
    <t>JBI</t>
  </si>
  <si>
    <t>JBSS</t>
  </si>
  <si>
    <t>JBT</t>
  </si>
  <si>
    <t>JELD</t>
  </si>
  <si>
    <t>JJSF</t>
  </si>
  <si>
    <t>JMSB</t>
  </si>
  <si>
    <t>JOAN</t>
  </si>
  <si>
    <t>JOBY</t>
  </si>
  <si>
    <t>JOE</t>
  </si>
  <si>
    <t>JOUT</t>
  </si>
  <si>
    <t>JRVR</t>
  </si>
  <si>
    <t>JXN</t>
  </si>
  <si>
    <t>JYNT</t>
  </si>
  <si>
    <t>KAI</t>
  </si>
  <si>
    <t>KALU</t>
  </si>
  <si>
    <t>KALV</t>
  </si>
  <si>
    <t>KAMN</t>
  </si>
  <si>
    <t>KAR</t>
  </si>
  <si>
    <t>KBH</t>
  </si>
  <si>
    <t>KDNY</t>
  </si>
  <si>
    <t>KE</t>
  </si>
  <si>
    <t>KELYA</t>
  </si>
  <si>
    <t>KFRC</t>
  </si>
  <si>
    <t>KFY</t>
  </si>
  <si>
    <t>KIDS</t>
  </si>
  <si>
    <t>KLIC</t>
  </si>
  <si>
    <t>KLR</t>
  </si>
  <si>
    <t>KMT</t>
  </si>
  <si>
    <t>KN</t>
  </si>
  <si>
    <t>KNSA</t>
  </si>
  <si>
    <t>KNSL</t>
  </si>
  <si>
    <t>KNTE</t>
  </si>
  <si>
    <t>KNTK</t>
  </si>
  <si>
    <t>KOD</t>
  </si>
  <si>
    <t>KODK</t>
  </si>
  <si>
    <t>KOP</t>
  </si>
  <si>
    <t>KORE</t>
  </si>
  <si>
    <t>KOS</t>
  </si>
  <si>
    <t>KPTI</t>
  </si>
  <si>
    <t>KREF</t>
  </si>
  <si>
    <t>KRG</t>
  </si>
  <si>
    <t>KRNY</t>
  </si>
  <si>
    <t>KRO</t>
  </si>
  <si>
    <t>KRON</t>
  </si>
  <si>
    <t>KROS</t>
  </si>
  <si>
    <t>KRT</t>
  </si>
  <si>
    <t>KRTX</t>
  </si>
  <si>
    <t>KRUS</t>
  </si>
  <si>
    <t>KRYS</t>
  </si>
  <si>
    <t>KTB</t>
  </si>
  <si>
    <t>KTOS</t>
  </si>
  <si>
    <t>KURA</t>
  </si>
  <si>
    <t>KW</t>
  </si>
  <si>
    <t>KWR</t>
  </si>
  <si>
    <t>KYMR</t>
  </si>
  <si>
    <t>KZR</t>
  </si>
  <si>
    <t>LADR</t>
  </si>
  <si>
    <t>LANC</t>
  </si>
  <si>
    <t>LAND</t>
  </si>
  <si>
    <t>LASR</t>
  </si>
  <si>
    <t>LAUR</t>
  </si>
  <si>
    <t>LAW</t>
  </si>
  <si>
    <t>LAZR</t>
  </si>
  <si>
    <t>LBAI</t>
  </si>
  <si>
    <t>LBC</t>
  </si>
  <si>
    <t>LBRT</t>
  </si>
  <si>
    <t>LC</t>
  </si>
  <si>
    <t>LCII</t>
  </si>
  <si>
    <t>LCUT</t>
  </si>
  <si>
    <t>LE</t>
  </si>
  <si>
    <t>LEGH</t>
  </si>
  <si>
    <t>LEU</t>
  </si>
  <si>
    <t>LFCR</t>
  </si>
  <si>
    <t>LFST</t>
  </si>
  <si>
    <t>LGIH</t>
  </si>
  <si>
    <t>LGND</t>
  </si>
  <si>
    <t>LICY</t>
  </si>
  <si>
    <t>LIDR</t>
  </si>
  <si>
    <t>LILA</t>
  </si>
  <si>
    <t>LILAK</t>
  </si>
  <si>
    <t>LIND</t>
  </si>
  <si>
    <t>LIVN</t>
  </si>
  <si>
    <t>LKFN</t>
  </si>
  <si>
    <t>LL</t>
  </si>
  <si>
    <t>LLAP</t>
  </si>
  <si>
    <t>LMAT</t>
  </si>
  <si>
    <t>LMND</t>
  </si>
  <si>
    <t>LNN</t>
  </si>
  <si>
    <t>LNTH</t>
  </si>
  <si>
    <t>LNW</t>
  </si>
  <si>
    <t>LOB</t>
  </si>
  <si>
    <t>LOCL</t>
  </si>
  <si>
    <t>LOCO</t>
  </si>
  <si>
    <t>LOVE</t>
  </si>
  <si>
    <t>LPG</t>
  </si>
  <si>
    <t>LPRO</t>
  </si>
  <si>
    <t>LPSN</t>
  </si>
  <si>
    <t>LQDA</t>
  </si>
  <si>
    <t>LQDT</t>
  </si>
  <si>
    <t>LRN</t>
  </si>
  <si>
    <t>LSEA</t>
  </si>
  <si>
    <t>LTC</t>
  </si>
  <si>
    <t>LTCH</t>
  </si>
  <si>
    <t>LTH</t>
  </si>
  <si>
    <t>LTHM</t>
  </si>
  <si>
    <t>LUNG</t>
  </si>
  <si>
    <t>LVLU</t>
  </si>
  <si>
    <t>LVOX</t>
  </si>
  <si>
    <t>LWLG</t>
  </si>
  <si>
    <t>LXFR</t>
  </si>
  <si>
    <t>LXP</t>
  </si>
  <si>
    <t>LXRX</t>
  </si>
  <si>
    <t>LXU</t>
  </si>
  <si>
    <t>LYEL</t>
  </si>
  <si>
    <t>LZ</t>
  </si>
  <si>
    <t>LZB</t>
  </si>
  <si>
    <t>MAC</t>
  </si>
  <si>
    <t>MAPS</t>
  </si>
  <si>
    <t>MARA</t>
  </si>
  <si>
    <t>MASS</t>
  </si>
  <si>
    <t>MATV</t>
  </si>
  <si>
    <t>MATW</t>
  </si>
  <si>
    <t>MATX</t>
  </si>
  <si>
    <t>MAX</t>
  </si>
  <si>
    <t>MBI</t>
  </si>
  <si>
    <t>MBIN</t>
  </si>
  <si>
    <t>MBUU</t>
  </si>
  <si>
    <t>MBWM</t>
  </si>
  <si>
    <t>MC</t>
  </si>
  <si>
    <t>MCB</t>
  </si>
  <si>
    <t>MCBC</t>
  </si>
  <si>
    <t>MCBS</t>
  </si>
  <si>
    <t>MCFT</t>
  </si>
  <si>
    <t>MCRB</t>
  </si>
  <si>
    <t>MCRI</t>
  </si>
  <si>
    <t>MCS</t>
  </si>
  <si>
    <t>MCY</t>
  </si>
  <si>
    <t>MD</t>
  </si>
  <si>
    <t>MDC</t>
  </si>
  <si>
    <t>MDGL</t>
  </si>
  <si>
    <t>MDRX</t>
  </si>
  <si>
    <t>MDXG</t>
  </si>
  <si>
    <t>ME</t>
  </si>
  <si>
    <t>MED</t>
  </si>
  <si>
    <t>MEDP</t>
  </si>
  <si>
    <t>MEG</t>
  </si>
  <si>
    <t>MEI</t>
  </si>
  <si>
    <t>METC</t>
  </si>
  <si>
    <t>MFA</t>
  </si>
  <si>
    <t>MGEE</t>
  </si>
  <si>
    <t>MGNI</t>
  </si>
  <si>
    <t>MGNX</t>
  </si>
  <si>
    <t>MGPI</t>
  </si>
  <si>
    <t>MGRC</t>
  </si>
  <si>
    <t>MGTX</t>
  </si>
  <si>
    <t>MGY</t>
  </si>
  <si>
    <t>MHO</t>
  </si>
  <si>
    <t>MIR</t>
  </si>
  <si>
    <t>MIRM</t>
  </si>
  <si>
    <t>MITK</t>
  </si>
  <si>
    <t>MKFG</t>
  </si>
  <si>
    <t>MKTW</t>
  </si>
  <si>
    <t>ML</t>
  </si>
  <si>
    <t>MLAB</t>
  </si>
  <si>
    <t>MLI</t>
  </si>
  <si>
    <t>MLKN</t>
  </si>
  <si>
    <t>MLNK</t>
  </si>
  <si>
    <t>MLR</t>
  </si>
  <si>
    <t>MLYS</t>
  </si>
  <si>
    <t>MMI</t>
  </si>
  <si>
    <t>MMS</t>
  </si>
  <si>
    <t>MMSI</t>
  </si>
  <si>
    <t>MNKD</t>
  </si>
  <si>
    <t>MNRO</t>
  </si>
  <si>
    <t>MNTK</t>
  </si>
  <si>
    <t>MNTS</t>
  </si>
  <si>
    <t>MOD</t>
  </si>
  <si>
    <t>MODG</t>
  </si>
  <si>
    <t>MODN</t>
  </si>
  <si>
    <t>MODV</t>
  </si>
  <si>
    <t>MOFG</t>
  </si>
  <si>
    <t>MORF</t>
  </si>
  <si>
    <t>MOV</t>
  </si>
  <si>
    <t>MPAA</t>
  </si>
  <si>
    <t>MPB</t>
  </si>
  <si>
    <t>MPLN</t>
  </si>
  <si>
    <t>MPX</t>
  </si>
  <si>
    <t>MQ</t>
  </si>
  <si>
    <t>MRC</t>
  </si>
  <si>
    <t>MRSN</t>
  </si>
  <si>
    <t>MRTN</t>
  </si>
  <si>
    <t>MSBI</t>
  </si>
  <si>
    <t>MSEX</t>
  </si>
  <si>
    <t>MSGE</t>
  </si>
  <si>
    <t>MSTR</t>
  </si>
  <si>
    <t>MTDR</t>
  </si>
  <si>
    <t>MTH</t>
  </si>
  <si>
    <t>MTRN</t>
  </si>
  <si>
    <t>MTSI</t>
  </si>
  <si>
    <t>MTTR</t>
  </si>
  <si>
    <t>MTW</t>
  </si>
  <si>
    <t>MTX</t>
  </si>
  <si>
    <t>MULN</t>
  </si>
  <si>
    <t>MUR</t>
  </si>
  <si>
    <t>MUSA</t>
  </si>
  <si>
    <t>MVBF</t>
  </si>
  <si>
    <t>MVIS</t>
  </si>
  <si>
    <t>MVST</t>
  </si>
  <si>
    <t>MWA</t>
  </si>
  <si>
    <t>MXCT</t>
  </si>
  <si>
    <t>MXL</t>
  </si>
  <si>
    <t>MYE</t>
  </si>
  <si>
    <t>MYFW</t>
  </si>
  <si>
    <t>MYGN</t>
  </si>
  <si>
    <t>MYPS</t>
  </si>
  <si>
    <t>MYRG</t>
  </si>
  <si>
    <t>NABL</t>
  </si>
  <si>
    <t>NAPA</t>
  </si>
  <si>
    <t>NARI</t>
  </si>
  <si>
    <t>NAT</t>
  </si>
  <si>
    <t>NATR</t>
  </si>
  <si>
    <t>NAUT</t>
  </si>
  <si>
    <t>NAVI</t>
  </si>
  <si>
    <t>NBHC</t>
  </si>
  <si>
    <t>NBN</t>
  </si>
  <si>
    <t>NBR</t>
  </si>
  <si>
    <t>NBTB</t>
  </si>
  <si>
    <t>NC</t>
  </si>
  <si>
    <t>NDLS</t>
  </si>
  <si>
    <t>NE</t>
  </si>
  <si>
    <t>NEO</t>
  </si>
  <si>
    <t>NEOG</t>
  </si>
  <si>
    <t>NETI</t>
  </si>
  <si>
    <t>NEX</t>
  </si>
  <si>
    <t>NEXT</t>
  </si>
  <si>
    <t>NFBK</t>
  </si>
  <si>
    <t>NG</t>
  </si>
  <si>
    <t>NGM</t>
  </si>
  <si>
    <t>NGMS</t>
  </si>
  <si>
    <t>NGVC</t>
  </si>
  <si>
    <t>NGVT</t>
  </si>
  <si>
    <t>NHC</t>
  </si>
  <si>
    <t>NHI</t>
  </si>
  <si>
    <t>NIC</t>
  </si>
  <si>
    <t>NJR</t>
  </si>
  <si>
    <t>NKLA</t>
  </si>
  <si>
    <t>NKTR</t>
  </si>
  <si>
    <t>NKTX</t>
  </si>
  <si>
    <t>NL</t>
  </si>
  <si>
    <t>NMIH</t>
  </si>
  <si>
    <t>NMRK</t>
  </si>
  <si>
    <t>NN</t>
  </si>
  <si>
    <t>NNI</t>
  </si>
  <si>
    <t>NNOX</t>
  </si>
  <si>
    <t>NODK</t>
  </si>
  <si>
    <t>NOG</t>
  </si>
  <si>
    <t>NOTV</t>
  </si>
  <si>
    <t>NOVA</t>
  </si>
  <si>
    <t>NOVT</t>
  </si>
  <si>
    <t>NPK</t>
  </si>
  <si>
    <t>NPO</t>
  </si>
  <si>
    <t>NR</t>
  </si>
  <si>
    <t>NRC</t>
  </si>
  <si>
    <t>NRDS</t>
  </si>
  <si>
    <t>NRDY</t>
  </si>
  <si>
    <t>NREF</t>
  </si>
  <si>
    <t>NRGV</t>
  </si>
  <si>
    <t>NRIX</t>
  </si>
  <si>
    <t>NSIT</t>
  </si>
  <si>
    <t>NSP</t>
  </si>
  <si>
    <t>NSSC</t>
  </si>
  <si>
    <t>NSTG</t>
  </si>
  <si>
    <t>NTB</t>
  </si>
  <si>
    <t>NTCT</t>
  </si>
  <si>
    <t>NTGR</t>
  </si>
  <si>
    <t>NTLA</t>
  </si>
  <si>
    <t>NTST</t>
  </si>
  <si>
    <t>NUS</t>
  </si>
  <si>
    <t>NUTX</t>
  </si>
  <si>
    <t>NUVA</t>
  </si>
  <si>
    <t>NUVB</t>
  </si>
  <si>
    <t>NUVL</t>
  </si>
  <si>
    <t>NVEE</t>
  </si>
  <si>
    <t>NVRO</t>
  </si>
  <si>
    <t>NVTA</t>
  </si>
  <si>
    <t>NWBI</t>
  </si>
  <si>
    <t>NWE</t>
  </si>
  <si>
    <t>NWLI</t>
  </si>
  <si>
    <t>NWN</t>
  </si>
  <si>
    <t>NWPX</t>
  </si>
  <si>
    <t>NX</t>
  </si>
  <si>
    <t>NXGN</t>
  </si>
  <si>
    <t>NXRT</t>
  </si>
  <si>
    <t>NXT</t>
  </si>
  <si>
    <t>NYMT</t>
  </si>
  <si>
    <t>OABI</t>
  </si>
  <si>
    <t>OB</t>
  </si>
  <si>
    <t>OBK</t>
  </si>
  <si>
    <t>OCFC</t>
  </si>
  <si>
    <t>OCGN</t>
  </si>
  <si>
    <t>OCTO</t>
  </si>
  <si>
    <t>OCUL</t>
  </si>
  <si>
    <t>ODP</t>
  </si>
  <si>
    <t>OEC</t>
  </si>
  <si>
    <t>OFG</t>
  </si>
  <si>
    <t>OFIX</t>
  </si>
  <si>
    <t>OFLX</t>
  </si>
  <si>
    <t>OGS</t>
  </si>
  <si>
    <t>OI</t>
  </si>
  <si>
    <t>OII</t>
  </si>
  <si>
    <t>OIS</t>
  </si>
  <si>
    <t>OLO</t>
  </si>
  <si>
    <t>OLP</t>
  </si>
  <si>
    <t>OM</t>
  </si>
  <si>
    <t>OMCL</t>
  </si>
  <si>
    <t>OMI</t>
  </si>
  <si>
    <t>OMIC</t>
  </si>
  <si>
    <t>ONB</t>
  </si>
  <si>
    <t>ONDS</t>
  </si>
  <si>
    <t>ONEW</t>
  </si>
  <si>
    <t>ONL</t>
  </si>
  <si>
    <t>ONTF</t>
  </si>
  <si>
    <t>ONTO</t>
  </si>
  <si>
    <t>OOMA</t>
  </si>
  <si>
    <t>OPAD</t>
  </si>
  <si>
    <t>OPCH</t>
  </si>
  <si>
    <t>OPFI</t>
  </si>
  <si>
    <t>OPI</t>
  </si>
  <si>
    <t>OPK</t>
  </si>
  <si>
    <t>OPRT</t>
  </si>
  <si>
    <t>OPRX</t>
  </si>
  <si>
    <t>OPY</t>
  </si>
  <si>
    <t>ORA</t>
  </si>
  <si>
    <t>ORC</t>
  </si>
  <si>
    <t>ORGN</t>
  </si>
  <si>
    <t>ORGO</t>
  </si>
  <si>
    <t>ORRF</t>
  </si>
  <si>
    <t>OSBC</t>
  </si>
  <si>
    <t>OSCR</t>
  </si>
  <si>
    <t>OSIS</t>
  </si>
  <si>
    <t>OSPN</t>
  </si>
  <si>
    <t>OSTK</t>
  </si>
  <si>
    <t>OSUR</t>
  </si>
  <si>
    <t>OSW</t>
  </si>
  <si>
    <t>OTLK</t>
  </si>
  <si>
    <t>OTTR</t>
  </si>
  <si>
    <t>OUST</t>
  </si>
  <si>
    <t>OUT</t>
  </si>
  <si>
    <t>OXM</t>
  </si>
  <si>
    <t>PACB</t>
  </si>
  <si>
    <t>PACK</t>
  </si>
  <si>
    <t>PAHC</t>
  </si>
  <si>
    <t>PAR</t>
  </si>
  <si>
    <t>PARR</t>
  </si>
  <si>
    <t>PATK</t>
  </si>
  <si>
    <t>PAYO</t>
  </si>
  <si>
    <t>PBF</t>
  </si>
  <si>
    <t>PBFS</t>
  </si>
  <si>
    <t>PBH</t>
  </si>
  <si>
    <t>PBI</t>
  </si>
  <si>
    <t>PCB</t>
  </si>
  <si>
    <t>PCH</t>
  </si>
  <si>
    <t>PCRX</t>
  </si>
  <si>
    <t>PCT</t>
  </si>
  <si>
    <t>PCVX</t>
  </si>
  <si>
    <t>PCYO</t>
  </si>
  <si>
    <t>PD</t>
  </si>
  <si>
    <t>PDCO</t>
  </si>
  <si>
    <t>PDFS</t>
  </si>
  <si>
    <t>PDLI</t>
  </si>
  <si>
    <t>PDM</t>
  </si>
  <si>
    <t>PEB</t>
  </si>
  <si>
    <t>PEBO</t>
  </si>
  <si>
    <t>PECO</t>
  </si>
  <si>
    <t>PEPG</t>
  </si>
  <si>
    <t>PETQ</t>
  </si>
  <si>
    <t>PETS</t>
  </si>
  <si>
    <t>PFBC</t>
  </si>
  <si>
    <t>PFC</t>
  </si>
  <si>
    <t>PFIS</t>
  </si>
  <si>
    <t>PFS</t>
  </si>
  <si>
    <t>PFSI</t>
  </si>
  <si>
    <t>PFSW</t>
  </si>
  <si>
    <t>PGC</t>
  </si>
  <si>
    <t>PGEN</t>
  </si>
  <si>
    <t>PGNY</t>
  </si>
  <si>
    <t>PGRE</t>
  </si>
  <si>
    <t>PGTI</t>
  </si>
  <si>
    <t>PHAT</t>
  </si>
  <si>
    <t>PHR</t>
  </si>
  <si>
    <t>PI</t>
  </si>
  <si>
    <t>PIII</t>
  </si>
  <si>
    <t>PIPR</t>
  </si>
  <si>
    <t>PJT</t>
  </si>
  <si>
    <t>PKBK</t>
  </si>
  <si>
    <t>PKE</t>
  </si>
  <si>
    <t>PL</t>
  </si>
  <si>
    <t>PLAB</t>
  </si>
  <si>
    <t>PLAY</t>
  </si>
  <si>
    <t>PLBY</t>
  </si>
  <si>
    <t>PLCE</t>
  </si>
  <si>
    <t>PLL</t>
  </si>
  <si>
    <t>PLM</t>
  </si>
  <si>
    <t>PLMR</t>
  </si>
  <si>
    <t>PLOW</t>
  </si>
  <si>
    <t>PLPC</t>
  </si>
  <si>
    <t>PLUS</t>
  </si>
  <si>
    <t>PLXS</t>
  </si>
  <si>
    <t>PLYM</t>
  </si>
  <si>
    <t>PMT</t>
  </si>
  <si>
    <t>PMVP</t>
  </si>
  <si>
    <t>PNM</t>
  </si>
  <si>
    <t>PNT</t>
  </si>
  <si>
    <t>PNTG</t>
  </si>
  <si>
    <t>POR</t>
  </si>
  <si>
    <t>POWI</t>
  </si>
  <si>
    <t>POWL</t>
  </si>
  <si>
    <t>POWW</t>
  </si>
  <si>
    <t>PPBI</t>
  </si>
  <si>
    <t>PR</t>
  </si>
  <si>
    <t>PRA</t>
  </si>
  <si>
    <t>PRAA</t>
  </si>
  <si>
    <t>PRAX</t>
  </si>
  <si>
    <t>PRCH</t>
  </si>
  <si>
    <t>PRCT</t>
  </si>
  <si>
    <t>PRDO</t>
  </si>
  <si>
    <t>PRDS</t>
  </si>
  <si>
    <t>PRFT</t>
  </si>
  <si>
    <t>PRG</t>
  </si>
  <si>
    <t>PRGS</t>
  </si>
  <si>
    <t>PRIM</t>
  </si>
  <si>
    <t>PRK</t>
  </si>
  <si>
    <t>PRLB</t>
  </si>
  <si>
    <t>PRM</t>
  </si>
  <si>
    <t>PRME</t>
  </si>
  <si>
    <t>PRMW</t>
  </si>
  <si>
    <t>PRO</t>
  </si>
  <si>
    <t>PRPL</t>
  </si>
  <si>
    <t>PRTA</t>
  </si>
  <si>
    <t>PRTH</t>
  </si>
  <si>
    <t>PRTS</t>
  </si>
  <si>
    <t>PRVA</t>
  </si>
  <si>
    <t>PSFE</t>
  </si>
  <si>
    <t>PSMT</t>
  </si>
  <si>
    <t>PSN</t>
  </si>
  <si>
    <t>PSTL</t>
  </si>
  <si>
    <t>PTCT</t>
  </si>
  <si>
    <t>PTEN</t>
  </si>
  <si>
    <t>PTGX</t>
  </si>
  <si>
    <t>PTLO</t>
  </si>
  <si>
    <t>PTRA</t>
  </si>
  <si>
    <t>PTSI</t>
  </si>
  <si>
    <t>PTVE</t>
  </si>
  <si>
    <t>PUBM</t>
  </si>
  <si>
    <t>PUMP</t>
  </si>
  <si>
    <t>PVBC</t>
  </si>
  <si>
    <t>PWP</t>
  </si>
  <si>
    <t>PWSC</t>
  </si>
  <si>
    <t>PZZA</t>
  </si>
  <si>
    <t>QCRH</t>
  </si>
  <si>
    <t>QLYS</t>
  </si>
  <si>
    <t>QNST</t>
  </si>
  <si>
    <t>QRTEA</t>
  </si>
  <si>
    <t>QSI</t>
  </si>
  <si>
    <t>QTRX</t>
  </si>
  <si>
    <t>QTWO</t>
  </si>
  <si>
    <t>QUAD</t>
  </si>
  <si>
    <t>QUOT</t>
  </si>
  <si>
    <t>RAD</t>
  </si>
  <si>
    <t>RADI</t>
  </si>
  <si>
    <t>RAMP</t>
  </si>
  <si>
    <t>RAPT</t>
  </si>
  <si>
    <t>RBB</t>
  </si>
  <si>
    <t>RBBN</t>
  </si>
  <si>
    <t>RBC</t>
  </si>
  <si>
    <t>RBCAA</t>
  </si>
  <si>
    <t>RBOT</t>
  </si>
  <si>
    <t>RC</t>
  </si>
  <si>
    <t>RCKT</t>
  </si>
  <si>
    <t>RCKY</t>
  </si>
  <si>
    <t>RCM</t>
  </si>
  <si>
    <t>RCUS</t>
  </si>
  <si>
    <t>RDFN</t>
  </si>
  <si>
    <t>RDN</t>
  </si>
  <si>
    <t>RDNT</t>
  </si>
  <si>
    <t>RDVT</t>
  </si>
  <si>
    <t>RDW</t>
  </si>
  <si>
    <t>REAL</t>
  </si>
  <si>
    <t>REFI</t>
  </si>
  <si>
    <t>REI</t>
  </si>
  <si>
    <t>RELY</t>
  </si>
  <si>
    <t>RENT</t>
  </si>
  <si>
    <t>REPL</t>
  </si>
  <si>
    <t>REPX</t>
  </si>
  <si>
    <t>RES</t>
  </si>
  <si>
    <t>RETA</t>
  </si>
  <si>
    <t>REVG</t>
  </si>
  <si>
    <t>REX</t>
  </si>
  <si>
    <t>REZI</t>
  </si>
  <si>
    <t>RGNX</t>
  </si>
  <si>
    <t>RGP</t>
  </si>
  <si>
    <t>RGR</t>
  </si>
  <si>
    <t>RGTI</t>
  </si>
  <si>
    <t>RHP</t>
  </si>
  <si>
    <t>RICK</t>
  </si>
  <si>
    <t>RIDE</t>
  </si>
  <si>
    <t>RIGL</t>
  </si>
  <si>
    <t>RILY</t>
  </si>
  <si>
    <t>RIOT</t>
  </si>
  <si>
    <t>RKLB</t>
  </si>
  <si>
    <t>RLAY</t>
  </si>
  <si>
    <t>RLGT</t>
  </si>
  <si>
    <t>RLI</t>
  </si>
  <si>
    <t>RLJ</t>
  </si>
  <si>
    <t>RLMD</t>
  </si>
  <si>
    <t>RLYB</t>
  </si>
  <si>
    <t>RM</t>
  </si>
  <si>
    <t>RMAX</t>
  </si>
  <si>
    <t>RMBL</t>
  </si>
  <si>
    <t>RMBS</t>
  </si>
  <si>
    <t>RMNI</t>
  </si>
  <si>
    <t>RMR</t>
  </si>
  <si>
    <t>RNA</t>
  </si>
  <si>
    <t>RNST</t>
  </si>
  <si>
    <t>ROAD</t>
  </si>
  <si>
    <t>ROCC</t>
  </si>
  <si>
    <t>ROCK</t>
  </si>
  <si>
    <t>ROG</t>
  </si>
  <si>
    <t>ROIC</t>
  </si>
  <si>
    <t>ROOT</t>
  </si>
  <si>
    <t>ROVR</t>
  </si>
  <si>
    <t>RPAY</t>
  </si>
  <si>
    <t>RPD</t>
  </si>
  <si>
    <t>RPT</t>
  </si>
  <si>
    <t>RRBI</t>
  </si>
  <si>
    <t>RRR</t>
  </si>
  <si>
    <t>RSI</t>
  </si>
  <si>
    <t>RSVR</t>
  </si>
  <si>
    <t>RTL</t>
  </si>
  <si>
    <t>RUSHA</t>
  </si>
  <si>
    <t>RUSHB</t>
  </si>
  <si>
    <t>RVLV</t>
  </si>
  <si>
    <t>RVMD</t>
  </si>
  <si>
    <t>RVNC</t>
  </si>
  <si>
    <t>RWT</t>
  </si>
  <si>
    <t>RXDX</t>
  </si>
  <si>
    <t>RXRX</t>
  </si>
  <si>
    <t>RXST</t>
  </si>
  <si>
    <t>RXT</t>
  </si>
  <si>
    <t>RYAM</t>
  </si>
  <si>
    <t>RYI</t>
  </si>
  <si>
    <t>SABR</t>
  </si>
  <si>
    <t>SAFE</t>
  </si>
  <si>
    <t>SAFT</t>
  </si>
  <si>
    <t>SAGE</t>
  </si>
  <si>
    <t>SAH</t>
  </si>
  <si>
    <t>SAIA</t>
  </si>
  <si>
    <t>SAMG</t>
  </si>
  <si>
    <t>SANA</t>
  </si>
  <si>
    <t>SANM</t>
  </si>
  <si>
    <t>SASR</t>
  </si>
  <si>
    <t>SATS</t>
  </si>
  <si>
    <t>SAVA</t>
  </si>
  <si>
    <t>SAVE</t>
  </si>
  <si>
    <t>SB</t>
  </si>
  <si>
    <t>SBCF</t>
  </si>
  <si>
    <t>SBGI</t>
  </si>
  <si>
    <t>SBH</t>
  </si>
  <si>
    <t>SBOW</t>
  </si>
  <si>
    <t>SBRA</t>
  </si>
  <si>
    <t>SBSI</t>
  </si>
  <si>
    <t>SBT</t>
  </si>
  <si>
    <t>SCHL</t>
  </si>
  <si>
    <t>SCL</t>
  </si>
  <si>
    <t>SCS</t>
  </si>
  <si>
    <t>SCSC</t>
  </si>
  <si>
    <t>SCU</t>
  </si>
  <si>
    <t>SCVL</t>
  </si>
  <si>
    <t>SCWX</t>
  </si>
  <si>
    <t>SD</t>
  </si>
  <si>
    <t>SDGR</t>
  </si>
  <si>
    <t>SEAS</t>
  </si>
  <si>
    <t>SEAT</t>
  </si>
  <si>
    <t>SEER</t>
  </si>
  <si>
    <t>SEM</t>
  </si>
  <si>
    <t>SENEA</t>
  </si>
  <si>
    <t>SENS</t>
  </si>
  <si>
    <t>SFBS</t>
  </si>
  <si>
    <t>SFIX</t>
  </si>
  <si>
    <t>SFL</t>
  </si>
  <si>
    <t>SFM</t>
  </si>
  <si>
    <t>SFNC</t>
  </si>
  <si>
    <t>SFST</t>
  </si>
  <si>
    <t>SG</t>
  </si>
  <si>
    <t>SGC</t>
  </si>
  <si>
    <t>SGH</t>
  </si>
  <si>
    <t>SGHT</t>
  </si>
  <si>
    <t>SGMO</t>
  </si>
  <si>
    <t>SGRY</t>
  </si>
  <si>
    <t>SHAK</t>
  </si>
  <si>
    <t>SHBI</t>
  </si>
  <si>
    <t>SHCR</t>
  </si>
  <si>
    <t>SHEN</t>
  </si>
  <si>
    <t>SHLS</t>
  </si>
  <si>
    <t>SHO</t>
  </si>
  <si>
    <t>SHOO</t>
  </si>
  <si>
    <t>SHYF</t>
  </si>
  <si>
    <t>SIBN</t>
  </si>
  <si>
    <t>SIG</t>
  </si>
  <si>
    <t>SIGA</t>
  </si>
  <si>
    <t>SIGI</t>
  </si>
  <si>
    <t>SILK</t>
  </si>
  <si>
    <t>SITC</t>
  </si>
  <si>
    <t>SITM</t>
  </si>
  <si>
    <t>SJW</t>
  </si>
  <si>
    <t>SKIL</t>
  </si>
  <si>
    <t>SKIN</t>
  </si>
  <si>
    <t>SKLZ</t>
  </si>
  <si>
    <t>SKT</t>
  </si>
  <si>
    <t>SKWD</t>
  </si>
  <si>
    <t>SKY</t>
  </si>
  <si>
    <t>SKYT</t>
  </si>
  <si>
    <t>SKYW</t>
  </si>
  <si>
    <t>SLAB</t>
  </si>
  <si>
    <t>SLCA</t>
  </si>
  <si>
    <t>SLDP</t>
  </si>
  <si>
    <t>SLGC</t>
  </si>
  <si>
    <t>SLP</t>
  </si>
  <si>
    <t>SLQT</t>
  </si>
  <si>
    <t>SLVM</t>
  </si>
  <si>
    <t>SM</t>
  </si>
  <si>
    <t>SMBC</t>
  </si>
  <si>
    <t>SMBK</t>
  </si>
  <si>
    <t>SMCI</t>
  </si>
  <si>
    <t>SMMF</t>
  </si>
  <si>
    <t>SMP</t>
  </si>
  <si>
    <t>SMPL</t>
  </si>
  <si>
    <t>SMR</t>
  </si>
  <si>
    <t>SMRT</t>
  </si>
  <si>
    <t>SMTC</t>
  </si>
  <si>
    <t>SNBR</t>
  </si>
  <si>
    <t>SNCE</t>
  </si>
  <si>
    <t>SNCY</t>
  </si>
  <si>
    <t>SNDX</t>
  </si>
  <si>
    <t>SNEX</t>
  </si>
  <si>
    <t>SNPO</t>
  </si>
  <si>
    <t>SOI</t>
  </si>
  <si>
    <t>SOND</t>
  </si>
  <si>
    <t>SONO</t>
  </si>
  <si>
    <t>SOVO</t>
  </si>
  <si>
    <t>SP</t>
  </si>
  <si>
    <t>SPCE</t>
  </si>
  <si>
    <t>SPFI</t>
  </si>
  <si>
    <t>SPHR</t>
  </si>
  <si>
    <t>SPIR</t>
  </si>
  <si>
    <t>SPNS</t>
  </si>
  <si>
    <t>SPNT</t>
  </si>
  <si>
    <t>SPSC</t>
  </si>
  <si>
    <t>SPT</t>
  </si>
  <si>
    <t>SPTN</t>
  </si>
  <si>
    <t>SPWH</t>
  </si>
  <si>
    <t>SPWR</t>
  </si>
  <si>
    <t>SPXC</t>
  </si>
  <si>
    <t>SQSP</t>
  </si>
  <si>
    <t>SR</t>
  </si>
  <si>
    <t>SRCE</t>
  </si>
  <si>
    <t>SRDX</t>
  </si>
  <si>
    <t>SRI</t>
  </si>
  <si>
    <t>SSB</t>
  </si>
  <si>
    <t>SSD</t>
  </si>
  <si>
    <t>SSP</t>
  </si>
  <si>
    <t>SSTI</t>
  </si>
  <si>
    <t>SSTK</t>
  </si>
  <si>
    <t>STAA</t>
  </si>
  <si>
    <t>STAG</t>
  </si>
  <si>
    <t>STBA</t>
  </si>
  <si>
    <t>STC</t>
  </si>
  <si>
    <t>STEL</t>
  </si>
  <si>
    <t>STEM</t>
  </si>
  <si>
    <t>STEP</t>
  </si>
  <si>
    <t>STER</t>
  </si>
  <si>
    <t>STGW</t>
  </si>
  <si>
    <t>STHO</t>
  </si>
  <si>
    <t>STKL</t>
  </si>
  <si>
    <t>STKS</t>
  </si>
  <si>
    <t>STNE</t>
  </si>
  <si>
    <t>STNG</t>
  </si>
  <si>
    <t>STOK</t>
  </si>
  <si>
    <t>STR</t>
  </si>
  <si>
    <t>STRA</t>
  </si>
  <si>
    <t>STRC</t>
  </si>
  <si>
    <t>STRL</t>
  </si>
  <si>
    <t>STRO</t>
  </si>
  <si>
    <t>STRS</t>
  </si>
  <si>
    <t>SUM</t>
  </si>
  <si>
    <t>SUNL</t>
  </si>
  <si>
    <t>SUPN</t>
  </si>
  <si>
    <t>SVC</t>
  </si>
  <si>
    <t>SWAV</t>
  </si>
  <si>
    <t>SWBI</t>
  </si>
  <si>
    <t>SWI</t>
  </si>
  <si>
    <t>SWIM</t>
  </si>
  <si>
    <t>SWKH</t>
  </si>
  <si>
    <t>SWTX</t>
  </si>
  <si>
    <t>SWX</t>
  </si>
  <si>
    <t>SXC</t>
  </si>
  <si>
    <t>SXI</t>
  </si>
  <si>
    <t>SXT</t>
  </si>
  <si>
    <t>SYBT</t>
  </si>
  <si>
    <t>SYNA</t>
  </si>
  <si>
    <t>TALO</t>
  </si>
  <si>
    <t>TARS</t>
  </si>
  <si>
    <t>TBBK</t>
  </si>
  <si>
    <t>TBI</t>
  </si>
  <si>
    <t>TBPH</t>
  </si>
  <si>
    <t>TCBI</t>
  </si>
  <si>
    <t>TCBK</t>
  </si>
  <si>
    <t>TCBX</t>
  </si>
  <si>
    <t>TCI</t>
  </si>
  <si>
    <t>TCMD</t>
  </si>
  <si>
    <t>TCS</t>
  </si>
  <si>
    <t>TCX</t>
  </si>
  <si>
    <t>TDS</t>
  </si>
  <si>
    <t>TDUP</t>
  </si>
  <si>
    <t>TDW</t>
  </si>
  <si>
    <t>TELL</t>
  </si>
  <si>
    <t>TENB</t>
  </si>
  <si>
    <t>TEX</t>
  </si>
  <si>
    <t>TFIN</t>
  </si>
  <si>
    <t>TFM</t>
  </si>
  <si>
    <t>TG</t>
  </si>
  <si>
    <t>TGAN</t>
  </si>
  <si>
    <t>TGH</t>
  </si>
  <si>
    <t>TGI</t>
  </si>
  <si>
    <t>TGNA</t>
  </si>
  <si>
    <t>TGTX</t>
  </si>
  <si>
    <t>TH</t>
  </si>
  <si>
    <t>THFF</t>
  </si>
  <si>
    <t>THR</t>
  </si>
  <si>
    <t>THRD</t>
  </si>
  <si>
    <t>THRM</t>
  </si>
  <si>
    <t>THRN</t>
  </si>
  <si>
    <t>THRX</t>
  </si>
  <si>
    <t>THRY</t>
  </si>
  <si>
    <t>THS</t>
  </si>
  <si>
    <t>TIL</t>
  </si>
  <si>
    <t>TILE</t>
  </si>
  <si>
    <t>TIPT</t>
  </si>
  <si>
    <t>TITN</t>
  </si>
  <si>
    <t>TK</t>
  </si>
  <si>
    <t>TKNO</t>
  </si>
  <si>
    <t>TLS</t>
  </si>
  <si>
    <t>TLYS</t>
  </si>
  <si>
    <t>TMCI</t>
  </si>
  <si>
    <t>TMDX</t>
  </si>
  <si>
    <t>TMHC</t>
  </si>
  <si>
    <t>TMP</t>
  </si>
  <si>
    <t>TMST</t>
  </si>
  <si>
    <t>TNC</t>
  </si>
  <si>
    <t>TNET</t>
  </si>
  <si>
    <t>TNGX</t>
  </si>
  <si>
    <t>TNK</t>
  </si>
  <si>
    <t>TNYA</t>
  </si>
  <si>
    <t>TOI</t>
  </si>
  <si>
    <t>TOWN</t>
  </si>
  <si>
    <t>TPB</t>
  </si>
  <si>
    <t>TPC</t>
  </si>
  <si>
    <t>TPH</t>
  </si>
  <si>
    <t>TPIC</t>
  </si>
  <si>
    <t>TR</t>
  </si>
  <si>
    <t>TRC</t>
  </si>
  <si>
    <t>TREE</t>
  </si>
  <si>
    <t>TRMK</t>
  </si>
  <si>
    <t>TRN</t>
  </si>
  <si>
    <t>TRNO</t>
  </si>
  <si>
    <t>TRNS</t>
  </si>
  <si>
    <t>TROX</t>
  </si>
  <si>
    <t>TRS</t>
  </si>
  <si>
    <t>TRST</t>
  </si>
  <si>
    <t>TRTN</t>
  </si>
  <si>
    <t>TRTX</t>
  </si>
  <si>
    <t>TRUP</t>
  </si>
  <si>
    <t>TSE</t>
  </si>
  <si>
    <t>TSP</t>
  </si>
  <si>
    <t>TSVT</t>
  </si>
  <si>
    <t>TTCF</t>
  </si>
  <si>
    <t>TTEC</t>
  </si>
  <si>
    <t>TTGT</t>
  </si>
  <si>
    <t>TTI</t>
  </si>
  <si>
    <t>TTMI</t>
  </si>
  <si>
    <t>TTSH</t>
  </si>
  <si>
    <t>TUP</t>
  </si>
  <si>
    <t>TVTX</t>
  </si>
  <si>
    <t>TWI</t>
  </si>
  <si>
    <t>TWNK</t>
  </si>
  <si>
    <t>TWO</t>
  </si>
  <si>
    <t>TWOU</t>
  </si>
  <si>
    <t>TWST</t>
  </si>
  <si>
    <t>TXRH</t>
  </si>
  <si>
    <t>TYRA</t>
  </si>
  <si>
    <t>UBA</t>
  </si>
  <si>
    <t>UBSI</t>
  </si>
  <si>
    <t>UCBI</t>
  </si>
  <si>
    <t>UCTT</t>
  </si>
  <si>
    <t>UDMY</t>
  </si>
  <si>
    <t>UE</t>
  </si>
  <si>
    <t>UEC</t>
  </si>
  <si>
    <t>UEIC</t>
  </si>
  <si>
    <t>UFCS</t>
  </si>
  <si>
    <t>UFI</t>
  </si>
  <si>
    <t>UFPI</t>
  </si>
  <si>
    <t>UFPT</t>
  </si>
  <si>
    <t>UHT</t>
  </si>
  <si>
    <t>UIS</t>
  </si>
  <si>
    <t>ULCC</t>
  </si>
  <si>
    <t>ULH</t>
  </si>
  <si>
    <t>UMBF</t>
  </si>
  <si>
    <t>UMH</t>
  </si>
  <si>
    <t>UNF</t>
  </si>
  <si>
    <t>UNFI</t>
  </si>
  <si>
    <t>UNIT</t>
  </si>
  <si>
    <t>UNTY</t>
  </si>
  <si>
    <t>UONE</t>
  </si>
  <si>
    <t>UONEK</t>
  </si>
  <si>
    <t>UP</t>
  </si>
  <si>
    <t>UPBD</t>
  </si>
  <si>
    <t>UPLD</t>
  </si>
  <si>
    <t>UPWK</t>
  </si>
  <si>
    <t>URBN</t>
  </si>
  <si>
    <t>URG</t>
  </si>
  <si>
    <t>USCB</t>
  </si>
  <si>
    <t>USLM</t>
  </si>
  <si>
    <t>USM</t>
  </si>
  <si>
    <t>USNA</t>
  </si>
  <si>
    <t>USPH</t>
  </si>
  <si>
    <t>UTI</t>
  </si>
  <si>
    <t>UTL</t>
  </si>
  <si>
    <t>UTMD</t>
  </si>
  <si>
    <t>UTZ</t>
  </si>
  <si>
    <t>UUUU</t>
  </si>
  <si>
    <t>UVE</t>
  </si>
  <si>
    <t>UVSP</t>
  </si>
  <si>
    <t>UVV</t>
  </si>
  <si>
    <t>VAL</t>
  </si>
  <si>
    <t>VALU</t>
  </si>
  <si>
    <t>VBIV</t>
  </si>
  <si>
    <t>VBTX</t>
  </si>
  <si>
    <t>VC</t>
  </si>
  <si>
    <t>VCEL</t>
  </si>
  <si>
    <t>VCSA</t>
  </si>
  <si>
    <t>VCTR</t>
  </si>
  <si>
    <t>VCYT</t>
  </si>
  <si>
    <t>VECO</t>
  </si>
  <si>
    <t>VEL</t>
  </si>
  <si>
    <t>VERA</t>
  </si>
  <si>
    <t>VERI</t>
  </si>
  <si>
    <t>VERU</t>
  </si>
  <si>
    <t>VERV</t>
  </si>
  <si>
    <t>VGR</t>
  </si>
  <si>
    <t>VHI</t>
  </si>
  <si>
    <t>VIA</t>
  </si>
  <si>
    <t>VIAV</t>
  </si>
  <si>
    <t>VICR</t>
  </si>
  <si>
    <t>VIEW</t>
  </si>
  <si>
    <t>VIR</t>
  </si>
  <si>
    <t>VITL</t>
  </si>
  <si>
    <t>VLD</t>
  </si>
  <si>
    <t>VLGEA</t>
  </si>
  <si>
    <t>VLY</t>
  </si>
  <si>
    <t>VMEO</t>
  </si>
  <si>
    <t>VNDA</t>
  </si>
  <si>
    <t>VPG</t>
  </si>
  <si>
    <t>VRAY</t>
  </si>
  <si>
    <t>VRDN</t>
  </si>
  <si>
    <t>VRE</t>
  </si>
  <si>
    <t>VREX</t>
  </si>
  <si>
    <t>VRNS</t>
  </si>
  <si>
    <t>VRNT</t>
  </si>
  <si>
    <t>VRRM</t>
  </si>
  <si>
    <t>VRTS</t>
  </si>
  <si>
    <t>VRTV</t>
  </si>
  <si>
    <t>VSEC</t>
  </si>
  <si>
    <t>VSH</t>
  </si>
  <si>
    <t>VSTO</t>
  </si>
  <si>
    <t>VTGN</t>
  </si>
  <si>
    <t>VTLE</t>
  </si>
  <si>
    <t>VTNR</t>
  </si>
  <si>
    <t>VTOL</t>
  </si>
  <si>
    <t>VTYX</t>
  </si>
  <si>
    <t>VUZI</t>
  </si>
  <si>
    <t>VVI</t>
  </si>
  <si>
    <t>VVX</t>
  </si>
  <si>
    <t>VWE</t>
  </si>
  <si>
    <t>VXRT</t>
  </si>
  <si>
    <t>VZIO</t>
  </si>
  <si>
    <t>WABC</t>
  </si>
  <si>
    <t>WAFD</t>
  </si>
  <si>
    <t>WASH</t>
  </si>
  <si>
    <t>WD</t>
  </si>
  <si>
    <t>WDFC</t>
  </si>
  <si>
    <t>WEAV</t>
  </si>
  <si>
    <t>WERN</t>
  </si>
  <si>
    <t>WEYS</t>
  </si>
  <si>
    <t>WFRD</t>
  </si>
  <si>
    <t>WGO</t>
  </si>
  <si>
    <t>WGS</t>
  </si>
  <si>
    <t>WHD</t>
  </si>
  <si>
    <t>WINA</t>
  </si>
  <si>
    <t>WING</t>
  </si>
  <si>
    <t>WIRE</t>
  </si>
  <si>
    <t>WISH</t>
  </si>
  <si>
    <t>WK</t>
  </si>
  <si>
    <t>WKHS</t>
  </si>
  <si>
    <t>WLDN</t>
  </si>
  <si>
    <t>WLY</t>
  </si>
  <si>
    <t>WMK</t>
  </si>
  <si>
    <t>WNC</t>
  </si>
  <si>
    <t>WOR</t>
  </si>
  <si>
    <t>WOW</t>
  </si>
  <si>
    <t>WRBY</t>
  </si>
  <si>
    <t>WRLD</t>
  </si>
  <si>
    <t>WSBC</t>
  </si>
  <si>
    <t>WSBF</t>
  </si>
  <si>
    <t>WSFS</t>
  </si>
  <si>
    <t>WSR</t>
  </si>
  <si>
    <t>WT</t>
  </si>
  <si>
    <t>WTBA</t>
  </si>
  <si>
    <t>WTI</t>
  </si>
  <si>
    <t>WTS</t>
  </si>
  <si>
    <t>WTTR</t>
  </si>
  <si>
    <t>WULF</t>
  </si>
  <si>
    <t>WW</t>
  </si>
  <si>
    <t>WWW</t>
  </si>
  <si>
    <t>XERS</t>
  </si>
  <si>
    <t>XHR</t>
  </si>
  <si>
    <t>XMTR</t>
  </si>
  <si>
    <t>XNCR</t>
  </si>
  <si>
    <t>XOS</t>
  </si>
  <si>
    <t>XPEL</t>
  </si>
  <si>
    <t>XPER</t>
  </si>
  <si>
    <t>XPOF</t>
  </si>
  <si>
    <t>XPRO</t>
  </si>
  <si>
    <t>XRX</t>
  </si>
  <si>
    <t>XXII</t>
  </si>
  <si>
    <t>YELP</t>
  </si>
  <si>
    <t>YEXT</t>
  </si>
  <si>
    <t>YMAB</t>
  </si>
  <si>
    <t>YORW</t>
  </si>
  <si>
    <t>YOU</t>
  </si>
  <si>
    <t>ZD</t>
  </si>
  <si>
    <t>ZETA</t>
  </si>
  <si>
    <t>ZEUS</t>
  </si>
  <si>
    <t>ZEV</t>
  </si>
  <si>
    <t>ZGN</t>
  </si>
  <si>
    <t>ZIMV</t>
  </si>
  <si>
    <t>ZIP</t>
  </si>
  <si>
    <t>ZNTL</t>
  </si>
  <si>
    <t>ZUMZ</t>
  </si>
  <si>
    <t>ZUO</t>
  </si>
  <si>
    <t>ZWS</t>
  </si>
  <si>
    <t>ZYXI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</si>
  <si>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</si>
  <si>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</si>
  <si>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</si>
  <si>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</si>
  <si>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</si>
  <si>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</si>
  <si>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</si>
  <si>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</si>
  <si>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</si>
  <si>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2024-02-06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</si>
</sst>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$#,##0.00"/>
    <numFmt numFmtId="165" formatCode="#,##0.0%"/>
    <numFmt numFmtId="166" formatCode="#,##0.0"/>
  </numFmts>
  <fonts count="5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3F8071"/>
        <bgColor rgb="FF3F8071"/>
      </patternFill>
    </fill>
    <fill>
      <patternFill patternType="solid">
        <fgColor rgb="FFDADADA"/>
        <bgColor rgb="FFDADADA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Fill="1" applyFont="1"/>
    <xf borderId="0" fillId="3" fontId="3" numFmtId="0" xfId="0" applyFont="1"/>
    <xf borderId="0" fillId="3" fontId="2" numFmtId="164" xfId="0" applyFont="1" applyNumberFormat="1"/>
    <xf borderId="0" fillId="3" fontId="2" numFmtId="165" xfId="0" applyFont="1" applyNumberFormat="1"/>
    <xf borderId="0" fillId="3" fontId="2" numFmtId="3" xfId="0" applyFont="1" applyNumberFormat="1"/>
    <xf borderId="0" fillId="3" fontId="2" numFmtId="166" xfId="0" applyFont="1" applyNumberFormat="1"/>
    <xf borderId="0" fillId="3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 t="s">
        <v>14</v>
      </c>
      <c r="B2" s="3" t="str">
        <f>HYPERLINK("https://www.suredividend.com/sure-analysis-research-database/","Aadi Bioscience Inc")</f>
        <v>Aadi Bioscience Inc</v>
      </c>
      <c r="C2" s="2" t="s">
        <v>15</v>
      </c>
      <c r="D2" s="4">
        <v>1.7</v>
      </c>
      <c r="E2" s="5">
        <v>0.0</v>
      </c>
      <c r="F2" s="5" t="s">
        <v>15</v>
      </c>
      <c r="G2" s="5" t="s">
        <v>15</v>
      </c>
      <c r="H2" s="4">
        <v>0.0</v>
      </c>
      <c r="I2" s="4">
        <v>42.429738</v>
      </c>
      <c r="J2" s="6">
        <v>0.0</v>
      </c>
      <c r="K2" s="5" t="s">
        <v>15</v>
      </c>
      <c r="L2" s="7">
        <v>1.227335441</v>
      </c>
      <c r="M2" s="4">
        <v>12.95</v>
      </c>
      <c r="N2" s="2">
        <v>1.55</v>
      </c>
    </row>
    <row r="3">
      <c r="A3" s="2" t="s">
        <v>16</v>
      </c>
      <c r="B3" s="3" t="str">
        <f>HYPERLINK("https://www.suredividend.com/sure-analysis-research-database/","Aarons Company Inc (The)")</f>
        <v>Aarons Company Inc (The)</v>
      </c>
      <c r="C3" s="2" t="s">
        <v>17</v>
      </c>
      <c r="D3" s="4">
        <v>10.23</v>
      </c>
      <c r="E3" s="5">
        <v>0.045541589790699</v>
      </c>
      <c r="F3" s="5" t="s">
        <v>15</v>
      </c>
      <c r="G3" s="5" t="s">
        <v>15</v>
      </c>
      <c r="H3" s="4">
        <v>0.491393753841644</v>
      </c>
      <c r="I3" s="4">
        <v>327.253007</v>
      </c>
      <c r="J3" s="6">
        <v>35.0979200697125</v>
      </c>
      <c r="K3" s="5">
        <v>1.62713163523723</v>
      </c>
      <c r="L3" s="7">
        <v>1.14018611612906</v>
      </c>
      <c r="M3" s="4">
        <v>15.77</v>
      </c>
      <c r="N3" s="2">
        <v>6.64</v>
      </c>
    </row>
    <row r="4">
      <c r="A4" s="2" t="s">
        <v>18</v>
      </c>
      <c r="B4" s="3" t="str">
        <f>HYPERLINK("https://www.suredividend.com/sure-analysis-research-database/","AAON Inc.")</f>
        <v>AAON Inc.</v>
      </c>
      <c r="C4" s="2" t="s">
        <v>17</v>
      </c>
      <c r="D4" s="4">
        <v>71.83</v>
      </c>
      <c r="E4" s="5">
        <v>0.004493827602254</v>
      </c>
      <c r="F4" s="5" t="s">
        <v>15</v>
      </c>
      <c r="G4" s="5" t="s">
        <v>15</v>
      </c>
      <c r="H4" s="4">
        <v>0.3191066980361</v>
      </c>
      <c r="I4" s="4">
        <v>5829.921</v>
      </c>
      <c r="J4" s="6">
        <v>34.4004968372356</v>
      </c>
      <c r="K4" s="5">
        <v>0.15642485197848</v>
      </c>
      <c r="L4" s="7">
        <v>1.26010039604519</v>
      </c>
      <c r="M4" s="4">
        <v>75.24</v>
      </c>
      <c r="N4" s="2">
        <v>48.96</v>
      </c>
    </row>
    <row r="5">
      <c r="A5" s="2" t="s">
        <v>19</v>
      </c>
      <c r="B5" s="3" t="str">
        <f>HYPERLINK("https://www.suredividend.com/sure-analysis-AAT/","American Assets Trust Inc")</f>
        <v>American Assets Trust Inc</v>
      </c>
      <c r="C5" s="2" t="s">
        <v>20</v>
      </c>
      <c r="D5" s="4">
        <v>21.67</v>
      </c>
      <c r="E5" s="5">
        <v>0.0609137055837563</v>
      </c>
      <c r="F5" s="5">
        <v>0.03125</v>
      </c>
      <c r="G5" s="5">
        <v>0.0334064829387792</v>
      </c>
      <c r="H5" s="4">
        <v>1.2890700472064</v>
      </c>
      <c r="I5" s="4">
        <v>1449.319707</v>
      </c>
      <c r="J5" s="6">
        <v>29.2638151031781</v>
      </c>
      <c r="K5" s="5">
        <v>1.98624044253683</v>
      </c>
      <c r="L5" s="7">
        <v>1.41491294704924</v>
      </c>
      <c r="M5" s="4">
        <v>27.93</v>
      </c>
      <c r="N5" s="2">
        <v>15.28</v>
      </c>
    </row>
    <row r="6">
      <c r="A6" s="2" t="s">
        <v>21</v>
      </c>
      <c r="B6" s="3" t="str">
        <f>HYPERLINK("https://www.suredividend.com/sure-analysis-research-database/","Ameris Bancorp")</f>
        <v>Ameris Bancorp</v>
      </c>
      <c r="C6" s="2" t="s">
        <v>22</v>
      </c>
      <c r="D6" s="4">
        <v>48.23</v>
      </c>
      <c r="E6" s="5">
        <v>0.011284542240376</v>
      </c>
      <c r="F6" s="5">
        <v>0.0</v>
      </c>
      <c r="G6" s="5">
        <v>0.0844717711976985</v>
      </c>
      <c r="H6" s="4">
        <v>0.593792612688616</v>
      </c>
      <c r="I6" s="4">
        <v>3633.51945</v>
      </c>
      <c r="J6" s="6">
        <v>12.731679408743</v>
      </c>
      <c r="K6" s="5">
        <v>0.143775451014192</v>
      </c>
      <c r="L6" s="7">
        <v>1.78116811691927</v>
      </c>
      <c r="M6" s="4">
        <v>53.99</v>
      </c>
      <c r="N6" s="2">
        <v>27.7</v>
      </c>
    </row>
    <row r="7">
      <c r="A7" s="2" t="s">
        <v>23</v>
      </c>
      <c r="B7" s="3" t="str">
        <f>HYPERLINK("https://www.suredividend.com/sure-analysis-research-database/","AbCellera Biologics Inc")</f>
        <v>AbCellera Biologics Inc</v>
      </c>
      <c r="C7" s="2" t="s">
        <v>15</v>
      </c>
      <c r="D7" s="4">
        <v>4.95</v>
      </c>
      <c r="E7" s="5">
        <v>0.0</v>
      </c>
      <c r="F7" s="5" t="s">
        <v>15</v>
      </c>
      <c r="G7" s="5" t="s">
        <v>15</v>
      </c>
      <c r="H7" s="4">
        <v>0.0</v>
      </c>
      <c r="I7" s="4">
        <v>1622.051647</v>
      </c>
      <c r="J7" s="6" t="s">
        <v>15</v>
      </c>
      <c r="K7" s="5">
        <v>0.0</v>
      </c>
      <c r="L7" s="7">
        <v>1.43765098736525</v>
      </c>
      <c r="M7" s="4">
        <v>11.38</v>
      </c>
      <c r="N7" s="2">
        <v>3.87</v>
      </c>
    </row>
    <row r="8">
      <c r="A8" s="2" t="s">
        <v>24</v>
      </c>
      <c r="B8" s="3" t="str">
        <f>HYPERLINK("https://www.suredividend.com/sure-analysis-research-database/","Asbury Automotive Group Inc")</f>
        <v>Asbury Automotive Group Inc</v>
      </c>
      <c r="C8" s="2" t="s">
        <v>25</v>
      </c>
      <c r="D8" s="4">
        <v>210.8</v>
      </c>
      <c r="E8" s="5">
        <v>0.0</v>
      </c>
      <c r="F8" s="5" t="s">
        <v>15</v>
      </c>
      <c r="G8" s="5" t="s">
        <v>15</v>
      </c>
      <c r="H8" s="4">
        <v>0.0</v>
      </c>
      <c r="I8" s="4">
        <v>4520.437081</v>
      </c>
      <c r="J8" s="6">
        <v>5.02159195840924</v>
      </c>
      <c r="K8" s="5">
        <v>0.0</v>
      </c>
      <c r="L8" s="7">
        <v>1.52682686291059</v>
      </c>
      <c r="M8" s="4">
        <v>256.39</v>
      </c>
      <c r="N8" s="2">
        <v>178.4</v>
      </c>
    </row>
    <row r="9">
      <c r="A9" s="2" t="s">
        <v>26</v>
      </c>
      <c r="B9" s="3" t="str">
        <f>HYPERLINK("https://www.suredividend.com/sure-analysis-ABM/","ABM Industries Inc.")</f>
        <v>ABM Industries Inc.</v>
      </c>
      <c r="C9" s="2" t="s">
        <v>17</v>
      </c>
      <c r="D9" s="4">
        <v>40.62</v>
      </c>
      <c r="E9" s="5">
        <v>0.0221565731166912</v>
      </c>
      <c r="F9" s="5">
        <v>0.0227272727272727</v>
      </c>
      <c r="G9" s="5">
        <v>0.0456395525912731</v>
      </c>
      <c r="H9" s="4">
        <v>0.878095710061316</v>
      </c>
      <c r="I9" s="4">
        <v>2630.737788</v>
      </c>
      <c r="J9" s="6">
        <v>10.4643507887828</v>
      </c>
      <c r="K9" s="5">
        <v>0.231687522443619</v>
      </c>
      <c r="L9" s="7">
        <v>1.043304502933</v>
      </c>
      <c r="M9" s="4">
        <v>52.78</v>
      </c>
      <c r="N9" s="2">
        <v>37.21</v>
      </c>
    </row>
    <row r="10">
      <c r="A10" s="2" t="s">
        <v>27</v>
      </c>
      <c r="B10" s="3" t="str">
        <f>HYPERLINK("https://www.suredividend.com/sure-analysis-ABR/","Arbor Realty Trust Inc.")</f>
        <v>Arbor Realty Trust Inc.</v>
      </c>
      <c r="C10" s="2" t="s">
        <v>20</v>
      </c>
      <c r="D10" s="4">
        <v>12.74</v>
      </c>
      <c r="E10" s="5">
        <v>0.135007849293563</v>
      </c>
      <c r="F10" s="5">
        <v>0.0749999999999999</v>
      </c>
      <c r="G10" s="5">
        <v>0.0895874311993276</v>
      </c>
      <c r="H10" s="4">
        <v>1.60823829912398</v>
      </c>
      <c r="I10" s="4">
        <v>2686.148399</v>
      </c>
      <c r="J10" s="6">
        <v>8.22558916738118</v>
      </c>
      <c r="K10" s="5">
        <v>1.06505847624105</v>
      </c>
      <c r="L10" s="7">
        <v>1.64457513772915</v>
      </c>
      <c r="M10" s="4">
        <v>16.74</v>
      </c>
      <c r="N10" s="2">
        <v>9.22</v>
      </c>
    </row>
    <row r="11">
      <c r="A11" s="2" t="s">
        <v>28</v>
      </c>
      <c r="B11" s="3" t="str">
        <f>HYPERLINK("https://www.suredividend.com/sure-analysis-research-database/","Absci Corp")</f>
        <v>Absci Corp</v>
      </c>
      <c r="C11" s="2" t="s">
        <v>15</v>
      </c>
      <c r="D11" s="4">
        <v>3.99</v>
      </c>
      <c r="E11" s="5">
        <v>0.0</v>
      </c>
      <c r="F11" s="5" t="s">
        <v>15</v>
      </c>
      <c r="G11" s="5" t="s">
        <v>15</v>
      </c>
      <c r="H11" s="4">
        <v>0.0</v>
      </c>
      <c r="I11" s="4">
        <v>369.895138</v>
      </c>
      <c r="J11" s="6" t="s">
        <v>15</v>
      </c>
      <c r="K11" s="5">
        <v>0.0</v>
      </c>
      <c r="L11" s="7">
        <v>2.80400901398712</v>
      </c>
      <c r="M11" s="4">
        <v>5.47</v>
      </c>
      <c r="N11" s="2">
        <v>1.11</v>
      </c>
    </row>
    <row r="12">
      <c r="A12" s="2" t="s">
        <v>29</v>
      </c>
      <c r="B12" s="3" t="str">
        <f>HYPERLINK("https://www.suredividend.com/sure-analysis-research-database/","Arbutus Biopharma Corp")</f>
        <v>Arbutus Biopharma Corp</v>
      </c>
      <c r="C12" s="2" t="s">
        <v>30</v>
      </c>
      <c r="D12" s="4">
        <v>2.36</v>
      </c>
      <c r="E12" s="5">
        <v>0.0</v>
      </c>
      <c r="F12" s="5" t="s">
        <v>15</v>
      </c>
      <c r="G12" s="5" t="s">
        <v>15</v>
      </c>
      <c r="H12" s="4">
        <v>0.0</v>
      </c>
      <c r="I12" s="4">
        <v>425.945927</v>
      </c>
      <c r="J12" s="6" t="s">
        <v>15</v>
      </c>
      <c r="K12" s="5">
        <v>0.0</v>
      </c>
      <c r="L12" s="7">
        <v>0.909357184514133</v>
      </c>
      <c r="M12" s="4">
        <v>3.15</v>
      </c>
      <c r="N12" s="2">
        <v>1.69</v>
      </c>
    </row>
    <row r="13">
      <c r="A13" s="2" t="s">
        <v>31</v>
      </c>
      <c r="B13" s="3" t="str">
        <f>HYPERLINK("https://www.suredividend.com/sure-analysis-research-database/","Associated Capital Group Inc")</f>
        <v>Associated Capital Group Inc</v>
      </c>
      <c r="C13" s="2" t="s">
        <v>22</v>
      </c>
      <c r="D13" s="4">
        <v>32.96</v>
      </c>
      <c r="E13" s="5">
        <v>0.005808676665544</v>
      </c>
      <c r="F13" s="5" t="s">
        <v>15</v>
      </c>
      <c r="G13" s="5" t="s">
        <v>15</v>
      </c>
      <c r="H13" s="4">
        <v>0.19970230376143</v>
      </c>
      <c r="I13" s="4">
        <v>90.786303</v>
      </c>
      <c r="J13" s="6">
        <v>2.61082746268656</v>
      </c>
      <c r="K13" s="5">
        <v>0.125598933183289</v>
      </c>
      <c r="L13" s="7">
        <v>0.489563485363176</v>
      </c>
      <c r="M13" s="4">
        <v>40.32</v>
      </c>
      <c r="N13" s="2">
        <v>30.83</v>
      </c>
    </row>
    <row r="14">
      <c r="A14" s="2" t="s">
        <v>32</v>
      </c>
      <c r="B14" s="3" t="str">
        <f>HYPERLINK("https://www.suredividend.com/sure-analysis-research-database/","Arcosa Inc")</f>
        <v>Arcosa Inc</v>
      </c>
      <c r="C14" s="2" t="s">
        <v>17</v>
      </c>
      <c r="D14" s="4">
        <v>80.31</v>
      </c>
      <c r="E14" s="5">
        <v>0.002486962670108</v>
      </c>
      <c r="F14" s="5">
        <v>0.0</v>
      </c>
      <c r="G14" s="5">
        <v>0.0</v>
      </c>
      <c r="H14" s="4">
        <v>0.199802580916539</v>
      </c>
      <c r="I14" s="4">
        <v>3917.375668</v>
      </c>
      <c r="J14" s="6">
        <v>13.7067028286913</v>
      </c>
      <c r="K14" s="5">
        <v>0.0339800307681188</v>
      </c>
      <c r="L14" s="7">
        <v>0.936446857882141</v>
      </c>
      <c r="M14" s="4">
        <v>84.16</v>
      </c>
      <c r="N14" s="2">
        <v>55.31</v>
      </c>
    </row>
    <row r="15">
      <c r="A15" s="2" t="s">
        <v>33</v>
      </c>
      <c r="B15" s="3" t="str">
        <f>HYPERLINK("https://www.suredividend.com/sure-analysis-research-database/","Acadia Pharmaceuticals Inc")</f>
        <v>Acadia Pharmaceuticals Inc</v>
      </c>
      <c r="C15" s="2" t="s">
        <v>30</v>
      </c>
      <c r="D15" s="4">
        <v>25.1</v>
      </c>
      <c r="E15" s="5">
        <v>0.0</v>
      </c>
      <c r="F15" s="5" t="s">
        <v>15</v>
      </c>
      <c r="G15" s="5" t="s">
        <v>15</v>
      </c>
      <c r="H15" s="4">
        <v>0.0</v>
      </c>
      <c r="I15" s="4">
        <v>4521.527583</v>
      </c>
      <c r="J15" s="6" t="s">
        <v>15</v>
      </c>
      <c r="K15" s="5">
        <v>0.0</v>
      </c>
      <c r="L15" s="7">
        <v>1.25326004170005</v>
      </c>
      <c r="M15" s="4">
        <v>33.99</v>
      </c>
      <c r="N15" s="2">
        <v>17.71</v>
      </c>
    </row>
    <row r="16">
      <c r="A16" s="2" t="s">
        <v>34</v>
      </c>
      <c r="B16" s="3" t="str">
        <f>HYPERLINK("https://www.suredividend.com/sure-analysis-research-database/","Accolade Inc")</f>
        <v>Accolade Inc</v>
      </c>
      <c r="C16" s="2" t="s">
        <v>15</v>
      </c>
      <c r="D16" s="4">
        <v>11.86</v>
      </c>
      <c r="E16" s="5">
        <v>0.0</v>
      </c>
      <c r="F16" s="5" t="s">
        <v>15</v>
      </c>
      <c r="G16" s="5" t="s">
        <v>15</v>
      </c>
      <c r="H16" s="4">
        <v>0.0</v>
      </c>
      <c r="I16" s="4">
        <v>986.946989</v>
      </c>
      <c r="J16" s="6" t="s">
        <v>15</v>
      </c>
      <c r="K16" s="5">
        <v>0.0</v>
      </c>
      <c r="L16" s="7">
        <v>2.20766128411804</v>
      </c>
      <c r="M16" s="4">
        <v>17.01</v>
      </c>
      <c r="N16" s="2">
        <v>6.33</v>
      </c>
    </row>
    <row r="17">
      <c r="A17" s="2" t="s">
        <v>35</v>
      </c>
      <c r="B17" s="3" t="str">
        <f>HYPERLINK("https://www.suredividend.com/sure-analysis-research-database/","Acco Brands Corporation")</f>
        <v>Acco Brands Corporation</v>
      </c>
      <c r="C17" s="2" t="s">
        <v>17</v>
      </c>
      <c r="D17" s="4">
        <v>6.27</v>
      </c>
      <c r="E17" s="5">
        <v>0.047385784195594</v>
      </c>
      <c r="F17" s="5">
        <v>0.0</v>
      </c>
      <c r="G17" s="5">
        <v>0.0456395525912731</v>
      </c>
      <c r="H17" s="4">
        <v>0.293318004170731</v>
      </c>
      <c r="I17" s="4">
        <v>587.589786</v>
      </c>
      <c r="J17" s="6">
        <v>10.4182586148936</v>
      </c>
      <c r="K17" s="5">
        <v>0.495385921585426</v>
      </c>
      <c r="L17" s="7">
        <v>1.2067551322042</v>
      </c>
      <c r="M17" s="4">
        <v>6.53</v>
      </c>
      <c r="N17" s="2">
        <v>4.11</v>
      </c>
    </row>
    <row r="18">
      <c r="A18" s="2" t="s">
        <v>36</v>
      </c>
      <c r="B18" s="3" t="str">
        <f>HYPERLINK("https://www.suredividend.com/sure-analysis-research-database/","Accel Entertainment Inc")</f>
        <v>Accel Entertainment Inc</v>
      </c>
      <c r="C18" s="2" t="s">
        <v>25</v>
      </c>
      <c r="D18" s="4">
        <v>9.97</v>
      </c>
      <c r="E18" s="5">
        <v>0.0</v>
      </c>
      <c r="F18" s="5" t="s">
        <v>15</v>
      </c>
      <c r="G18" s="5" t="s">
        <v>15</v>
      </c>
      <c r="H18" s="4">
        <v>0.0</v>
      </c>
      <c r="I18" s="4">
        <v>899.762843</v>
      </c>
      <c r="J18" s="6">
        <v>20.9145032249366</v>
      </c>
      <c r="K18" s="5">
        <v>0.0</v>
      </c>
      <c r="L18" s="7">
        <v>1.00125705624287</v>
      </c>
      <c r="M18" s="4">
        <v>12.05</v>
      </c>
      <c r="N18" s="2">
        <v>8.28</v>
      </c>
    </row>
    <row r="19">
      <c r="A19" s="2" t="s">
        <v>37</v>
      </c>
      <c r="B19" s="3" t="str">
        <f>HYPERLINK("https://www.suredividend.com/sure-analysis-research-database/","Adicet Bio Inc")</f>
        <v>Adicet Bio Inc</v>
      </c>
      <c r="C19" s="2" t="s">
        <v>15</v>
      </c>
      <c r="D19" s="4">
        <v>3.12</v>
      </c>
      <c r="E19" s="5">
        <v>0.0</v>
      </c>
      <c r="F19" s="5" t="s">
        <v>15</v>
      </c>
      <c r="G19" s="5" t="s">
        <v>15</v>
      </c>
      <c r="H19" s="4">
        <v>0.0</v>
      </c>
      <c r="I19" s="4">
        <v>129.493566</v>
      </c>
      <c r="J19" s="6">
        <v>0.0</v>
      </c>
      <c r="K19" s="5" t="s">
        <v>15</v>
      </c>
      <c r="L19" s="7">
        <v>1.13183564420436</v>
      </c>
      <c r="M19" s="4">
        <v>9.53</v>
      </c>
      <c r="N19" s="2">
        <v>1.1</v>
      </c>
    </row>
    <row r="20">
      <c r="A20" s="2" t="s">
        <v>38</v>
      </c>
      <c r="B20" s="3" t="str">
        <f>HYPERLINK("https://www.suredividend.com/sure-analysis-research-database/","Archer Aviation Inc")</f>
        <v>Archer Aviation Inc</v>
      </c>
      <c r="C20" s="2" t="s">
        <v>15</v>
      </c>
      <c r="D20" s="4">
        <v>4.67</v>
      </c>
      <c r="E20" s="5">
        <v>0.0</v>
      </c>
      <c r="F20" s="5" t="s">
        <v>15</v>
      </c>
      <c r="G20" s="5" t="s">
        <v>15</v>
      </c>
      <c r="H20" s="4">
        <v>0.0</v>
      </c>
      <c r="I20" s="4">
        <v>1314.560188</v>
      </c>
      <c r="J20" s="6">
        <v>0.0</v>
      </c>
      <c r="K20" s="5" t="s">
        <v>15</v>
      </c>
      <c r="L20" s="7">
        <v>2.67685396977437</v>
      </c>
      <c r="M20" s="4">
        <v>7.49</v>
      </c>
      <c r="N20" s="2">
        <v>1.77</v>
      </c>
    </row>
    <row r="21">
      <c r="A21" s="2" t="s">
        <v>39</v>
      </c>
      <c r="B21" s="3" t="str">
        <f>HYPERLINK("https://www.suredividend.com/sure-analysis-research-database/","ACI Worldwide Inc")</f>
        <v>ACI Worldwide Inc</v>
      </c>
      <c r="C21" s="2" t="s">
        <v>40</v>
      </c>
      <c r="D21" s="4">
        <v>28.92</v>
      </c>
      <c r="E21" s="5">
        <v>0.0</v>
      </c>
      <c r="F21" s="5" t="s">
        <v>15</v>
      </c>
      <c r="G21" s="5" t="s">
        <v>15</v>
      </c>
      <c r="H21" s="4">
        <v>0.0</v>
      </c>
      <c r="I21" s="4">
        <v>3406.658</v>
      </c>
      <c r="J21" s="6">
        <v>38.225087240942</v>
      </c>
      <c r="K21" s="5">
        <v>0.0</v>
      </c>
      <c r="L21" s="7">
        <v>1.48275530536698</v>
      </c>
      <c r="M21" s="4">
        <v>31.34</v>
      </c>
      <c r="N21" s="2">
        <v>19.56</v>
      </c>
    </row>
    <row r="22">
      <c r="A22" s="2" t="s">
        <v>41</v>
      </c>
      <c r="B22" s="3" t="str">
        <f>HYPERLINK("https://www.suredividend.com/sure-analysis-research-database/","Axcelis Technologies Inc")</f>
        <v>Axcelis Technologies Inc</v>
      </c>
      <c r="C22" s="2" t="s">
        <v>40</v>
      </c>
      <c r="D22" s="4">
        <v>130.2</v>
      </c>
      <c r="E22" s="5">
        <v>0.0</v>
      </c>
      <c r="F22" s="5" t="s">
        <v>15</v>
      </c>
      <c r="G22" s="5" t="s">
        <v>15</v>
      </c>
      <c r="H22" s="4">
        <v>0.0</v>
      </c>
      <c r="I22" s="4">
        <v>4401.913439</v>
      </c>
      <c r="J22" s="6">
        <v>18.9574222169681</v>
      </c>
      <c r="K22" s="5">
        <v>0.0</v>
      </c>
      <c r="L22" s="7">
        <v>2.08185419177913</v>
      </c>
      <c r="M22" s="4">
        <v>201.0</v>
      </c>
      <c r="N22" s="2">
        <v>105.28</v>
      </c>
    </row>
    <row r="23">
      <c r="A23" s="2" t="s">
        <v>42</v>
      </c>
      <c r="B23" s="3" t="str">
        <f>HYPERLINK("https://www.suredividend.com/sure-analysis-research-database/","Arcellx Inc")</f>
        <v>Arcellx Inc</v>
      </c>
      <c r="C23" s="2" t="s">
        <v>15</v>
      </c>
      <c r="D23" s="4">
        <v>66.47</v>
      </c>
      <c r="E23" s="5">
        <v>0.0</v>
      </c>
      <c r="F23" s="5" t="s">
        <v>15</v>
      </c>
      <c r="G23" s="5" t="s">
        <v>15</v>
      </c>
      <c r="H23" s="4">
        <v>0.0</v>
      </c>
      <c r="I23" s="4">
        <v>3134.903581</v>
      </c>
      <c r="J23" s="6">
        <v>0.0</v>
      </c>
      <c r="K23" s="5" t="s">
        <v>15</v>
      </c>
      <c r="L23" s="7">
        <v>1.20608393380725</v>
      </c>
      <c r="M23" s="4">
        <v>65.42</v>
      </c>
      <c r="N23" s="2">
        <v>26.32</v>
      </c>
    </row>
    <row r="24">
      <c r="A24" s="2" t="s">
        <v>43</v>
      </c>
      <c r="B24" s="3" t="str">
        <f>HYPERLINK("https://www.suredividend.com/sure-analysis-research-database/","ACM Research Inc")</f>
        <v>ACM Research Inc</v>
      </c>
      <c r="C24" s="2" t="s">
        <v>40</v>
      </c>
      <c r="D24" s="4">
        <v>15.84</v>
      </c>
      <c r="E24" s="5">
        <v>0.0</v>
      </c>
      <c r="F24" s="5" t="s">
        <v>15</v>
      </c>
      <c r="G24" s="5" t="s">
        <v>15</v>
      </c>
      <c r="H24" s="4">
        <v>0.0</v>
      </c>
      <c r="I24" s="4">
        <v>1044.460639</v>
      </c>
      <c r="J24" s="6">
        <v>14.6164269831229</v>
      </c>
      <c r="K24" s="5">
        <v>0.0</v>
      </c>
      <c r="L24" s="7">
        <v>2.46802404898698</v>
      </c>
      <c r="M24" s="4">
        <v>22.47</v>
      </c>
      <c r="N24" s="2">
        <v>8.75</v>
      </c>
    </row>
    <row r="25">
      <c r="A25" s="2" t="s">
        <v>44</v>
      </c>
      <c r="B25" s="3" t="str">
        <f>HYPERLINK("https://www.suredividend.com/sure-analysis-research-database/","ACNB Corp.")</f>
        <v>ACNB Corp.</v>
      </c>
      <c r="C25" s="2" t="s">
        <v>22</v>
      </c>
      <c r="D25" s="4">
        <v>36.89</v>
      </c>
      <c r="E25" s="5">
        <v>0.024331423879968</v>
      </c>
      <c r="F25" s="5">
        <v>0.0714285714285714</v>
      </c>
      <c r="G25" s="5">
        <v>0.0545779433057944</v>
      </c>
      <c r="H25" s="4">
        <v>1.11291932826975</v>
      </c>
      <c r="I25" s="4">
        <v>389.142564</v>
      </c>
      <c r="J25" s="6">
        <v>0.0</v>
      </c>
      <c r="K25" s="5" t="s">
        <v>15</v>
      </c>
      <c r="L25" s="7">
        <v>0.863724855798868</v>
      </c>
      <c r="M25" s="4">
        <v>48.55</v>
      </c>
      <c r="N25" s="2">
        <v>25.67</v>
      </c>
    </row>
    <row r="26">
      <c r="A26" s="2" t="s">
        <v>45</v>
      </c>
      <c r="B26" s="3" t="str">
        <f>HYPERLINK("https://www.suredividend.com/sure-analysis-ACRE/","Ares Commercial Real Estate Corp")</f>
        <v>Ares Commercial Real Estate Corp</v>
      </c>
      <c r="C26" s="2" t="s">
        <v>20</v>
      </c>
      <c r="D26" s="4">
        <v>9.18</v>
      </c>
      <c r="E26" s="5">
        <v>0.143790849673202</v>
      </c>
      <c r="F26" s="5">
        <v>15.5</v>
      </c>
      <c r="G26" s="5">
        <v>0.0</v>
      </c>
      <c r="H26" s="4">
        <v>1.2960587611347</v>
      </c>
      <c r="I26" s="4">
        <v>567.934453</v>
      </c>
      <c r="J26" s="6">
        <v>164.332885827546</v>
      </c>
      <c r="K26" s="5">
        <v>20.5072588787136</v>
      </c>
      <c r="L26" s="7">
        <v>1.61626404667205</v>
      </c>
      <c r="M26" s="4">
        <v>11.15</v>
      </c>
      <c r="N26" s="2">
        <v>6.83</v>
      </c>
    </row>
    <row r="27">
      <c r="A27" s="2" t="s">
        <v>46</v>
      </c>
      <c r="B27" s="3" t="str">
        <f>HYPERLINK("https://www.suredividend.com/sure-analysis-research-database/","Aclaris Therapeutics Inc")</f>
        <v>Aclaris Therapeutics Inc</v>
      </c>
      <c r="C27" s="2" t="s">
        <v>30</v>
      </c>
      <c r="D27" s="4">
        <v>1.15</v>
      </c>
      <c r="E27" s="5">
        <v>0.0</v>
      </c>
      <c r="F27" s="5" t="s">
        <v>15</v>
      </c>
      <c r="G27" s="5" t="s">
        <v>15</v>
      </c>
      <c r="H27" s="4">
        <v>0.0</v>
      </c>
      <c r="I27" s="4">
        <v>86.369463</v>
      </c>
      <c r="J27" s="6" t="s">
        <v>15</v>
      </c>
      <c r="K27" s="5">
        <v>0.0</v>
      </c>
      <c r="L27" s="7">
        <v>1.16152993729807</v>
      </c>
      <c r="M27" s="4">
        <v>17.61</v>
      </c>
      <c r="N27" s="2">
        <v>0.5902</v>
      </c>
    </row>
    <row r="28">
      <c r="A28" s="2" t="s">
        <v>47</v>
      </c>
      <c r="B28" s="3" t="str">
        <f>HYPERLINK("https://www.suredividend.com/sure-analysis-research-database/","Acrivon Therapeutics Inc")</f>
        <v>Acrivon Therapeutics Inc</v>
      </c>
      <c r="C28" s="2" t="s">
        <v>15</v>
      </c>
      <c r="D28" s="4">
        <v>3.68</v>
      </c>
      <c r="E28" s="5">
        <v>0.0</v>
      </c>
      <c r="F28" s="5" t="s">
        <v>15</v>
      </c>
      <c r="G28" s="5" t="s">
        <v>15</v>
      </c>
      <c r="H28" s="4">
        <v>0.0</v>
      </c>
      <c r="I28" s="4">
        <v>85.448082</v>
      </c>
      <c r="J28" s="6">
        <v>0.0</v>
      </c>
      <c r="K28" s="5" t="s">
        <v>15</v>
      </c>
      <c r="L28" s="7">
        <v>0.788803323921744</v>
      </c>
      <c r="M28" s="4">
        <v>25.47</v>
      </c>
      <c r="N28" s="2">
        <v>3.41</v>
      </c>
    </row>
    <row r="29">
      <c r="A29" s="2" t="s">
        <v>48</v>
      </c>
      <c r="B29" s="3" t="str">
        <f>HYPERLINK("https://www.suredividend.com/sure-analysis-research-database/","Enact Holdings Inc")</f>
        <v>Enact Holdings Inc</v>
      </c>
      <c r="C29" s="2" t="s">
        <v>49</v>
      </c>
      <c r="D29" s="4">
        <v>27.73</v>
      </c>
      <c r="E29" s="5">
        <v>0.02102348361327</v>
      </c>
      <c r="F29" s="5" t="s">
        <v>15</v>
      </c>
      <c r="G29" s="5" t="s">
        <v>15</v>
      </c>
      <c r="H29" s="4">
        <v>0.601902335847928</v>
      </c>
      <c r="I29" s="4">
        <v>4572.307684</v>
      </c>
      <c r="J29" s="6">
        <v>7.01264504555918</v>
      </c>
      <c r="K29" s="5">
        <v>0.150100333129159</v>
      </c>
      <c r="L29" s="7">
        <v>0.665964954184206</v>
      </c>
      <c r="M29" s="4">
        <v>29.49</v>
      </c>
      <c r="N29" s="2">
        <v>19.85</v>
      </c>
    </row>
    <row r="30">
      <c r="A30" s="2" t="s">
        <v>50</v>
      </c>
      <c r="B30" s="3" t="str">
        <f>HYPERLINK("https://www.suredividend.com/sure-analysis-research-database/","ACV Auctions Inc")</f>
        <v>ACV Auctions Inc</v>
      </c>
      <c r="C30" s="2" t="s">
        <v>15</v>
      </c>
      <c r="D30" s="4">
        <v>13.9</v>
      </c>
      <c r="E30" s="5">
        <v>0.0</v>
      </c>
      <c r="F30" s="5" t="s">
        <v>15</v>
      </c>
      <c r="G30" s="5" t="s">
        <v>15</v>
      </c>
      <c r="H30" s="4">
        <v>0.0</v>
      </c>
      <c r="I30" s="4">
        <v>1891.359102</v>
      </c>
      <c r="J30" s="6" t="s">
        <v>15</v>
      </c>
      <c r="K30" s="5">
        <v>0.0</v>
      </c>
      <c r="L30" s="7">
        <v>1.8087472364389</v>
      </c>
      <c r="M30" s="4">
        <v>18.68</v>
      </c>
      <c r="N30" s="2">
        <v>9.51</v>
      </c>
    </row>
    <row r="31">
      <c r="A31" s="2" t="s">
        <v>51</v>
      </c>
      <c r="B31" s="3" t="str">
        <f>HYPERLINK("https://www.suredividend.com/sure-analysis-ADC/","Agree Realty Corp.")</f>
        <v>Agree Realty Corp.</v>
      </c>
      <c r="C31" s="2" t="s">
        <v>20</v>
      </c>
      <c r="D31" s="4">
        <v>57.74</v>
      </c>
      <c r="E31" s="5">
        <v>0.0505715275372358</v>
      </c>
      <c r="F31" s="5">
        <v>0.0164609053497941</v>
      </c>
      <c r="G31" s="5">
        <v>0.0108721208503508</v>
      </c>
      <c r="H31" s="4">
        <v>2.61488656838521</v>
      </c>
      <c r="I31" s="4">
        <v>6056.614508</v>
      </c>
      <c r="J31" s="6">
        <v>38.5464726071662</v>
      </c>
      <c r="K31" s="5">
        <v>1.53816856963835</v>
      </c>
      <c r="L31" s="7">
        <v>0.615366042734069</v>
      </c>
      <c r="M31" s="4">
        <v>72.24</v>
      </c>
      <c r="N31" s="2">
        <v>52.05</v>
      </c>
    </row>
    <row r="32">
      <c r="A32" s="2" t="s">
        <v>52</v>
      </c>
      <c r="B32" s="3" t="str">
        <f>HYPERLINK("https://www.suredividend.com/sure-analysis-research-database/","Adeia Inc")</f>
        <v>Adeia Inc</v>
      </c>
      <c r="C32" s="2" t="s">
        <v>15</v>
      </c>
      <c r="D32" s="4">
        <v>12.5</v>
      </c>
      <c r="E32" s="5">
        <v>0.016060290966264</v>
      </c>
      <c r="F32" s="5" t="s">
        <v>15</v>
      </c>
      <c r="G32" s="5" t="s">
        <v>15</v>
      </c>
      <c r="H32" s="4">
        <v>0.197702181794717</v>
      </c>
      <c r="I32" s="4">
        <v>1319.297033</v>
      </c>
      <c r="J32" s="6">
        <v>0.0</v>
      </c>
      <c r="K32" s="5" t="s">
        <v>15</v>
      </c>
      <c r="L32" s="7">
        <v>1.42041679719411</v>
      </c>
      <c r="M32" s="4">
        <v>12.72</v>
      </c>
      <c r="N32" s="2">
        <v>6.94</v>
      </c>
    </row>
    <row r="33">
      <c r="A33" s="2" t="s">
        <v>53</v>
      </c>
      <c r="B33" s="3" t="str">
        <f>HYPERLINK("https://www.suredividend.com/sure-analysis-research-database/","Adma Biologics Inc")</f>
        <v>Adma Biologics Inc</v>
      </c>
      <c r="C33" s="2" t="s">
        <v>30</v>
      </c>
      <c r="D33" s="4">
        <v>5.18</v>
      </c>
      <c r="E33" s="5">
        <v>0.0</v>
      </c>
      <c r="F33" s="5" t="s">
        <v>15</v>
      </c>
      <c r="G33" s="5" t="s">
        <v>15</v>
      </c>
      <c r="H33" s="4">
        <v>0.0</v>
      </c>
      <c r="I33" s="4">
        <v>1204.40767</v>
      </c>
      <c r="J33" s="6">
        <v>0.0</v>
      </c>
      <c r="K33" s="5" t="s">
        <v>15</v>
      </c>
      <c r="L33" s="7">
        <v>1.16768379177936</v>
      </c>
      <c r="M33" s="4">
        <v>5.35</v>
      </c>
      <c r="N33" s="2">
        <v>2.95</v>
      </c>
    </row>
    <row r="34">
      <c r="A34" s="2" t="s">
        <v>54</v>
      </c>
      <c r="B34" s="3" t="str">
        <f>HYPERLINK("https://www.suredividend.com/sure-analysis-research-database/","Adient plc")</f>
        <v>Adient plc</v>
      </c>
      <c r="C34" s="2" t="s">
        <v>25</v>
      </c>
      <c r="D34" s="4">
        <v>34.94</v>
      </c>
      <c r="E34" s="5">
        <v>0.0</v>
      </c>
      <c r="F34" s="5" t="s">
        <v>15</v>
      </c>
      <c r="G34" s="5" t="s">
        <v>15</v>
      </c>
      <c r="H34" s="4">
        <v>0.0</v>
      </c>
      <c r="I34" s="4">
        <v>3241.96537</v>
      </c>
      <c r="J34" s="6">
        <v>15.8144652208292</v>
      </c>
      <c r="K34" s="5">
        <v>0.0</v>
      </c>
      <c r="L34" s="7">
        <v>1.52701395689407</v>
      </c>
      <c r="M34" s="4">
        <v>47.5</v>
      </c>
      <c r="N34" s="2">
        <v>30.11</v>
      </c>
    </row>
    <row r="35">
      <c r="A35" s="2" t="s">
        <v>55</v>
      </c>
      <c r="B35" s="3" t="str">
        <f>HYPERLINK("https://www.suredividend.com/sure-analysis-research-database/","Adaptive Biotechnologies Corp")</f>
        <v>Adaptive Biotechnologies Corp</v>
      </c>
      <c r="C35" s="2" t="s">
        <v>30</v>
      </c>
      <c r="D35" s="4">
        <v>3.46</v>
      </c>
      <c r="E35" s="5">
        <v>0.0</v>
      </c>
      <c r="F35" s="5" t="s">
        <v>15</v>
      </c>
      <c r="G35" s="5" t="s">
        <v>15</v>
      </c>
      <c r="H35" s="4">
        <v>0.0</v>
      </c>
      <c r="I35" s="4">
        <v>597.911462</v>
      </c>
      <c r="J35" s="6" t="s">
        <v>15</v>
      </c>
      <c r="K35" s="5">
        <v>0.0</v>
      </c>
      <c r="L35" s="7">
        <v>2.32155917415517</v>
      </c>
      <c r="M35" s="4">
        <v>10.38</v>
      </c>
      <c r="N35" s="2">
        <v>2.61</v>
      </c>
    </row>
    <row r="36">
      <c r="A36" s="2" t="s">
        <v>56</v>
      </c>
      <c r="B36" s="3" t="str">
        <f>HYPERLINK("https://www.suredividend.com/sure-analysis-research-database/","AdTheorent Holding Company Inc")</f>
        <v>AdTheorent Holding Company Inc</v>
      </c>
      <c r="C36" s="2" t="s">
        <v>15</v>
      </c>
      <c r="D36" s="4">
        <v>2.63</v>
      </c>
      <c r="E36" s="5">
        <v>0.0</v>
      </c>
      <c r="F36" s="5" t="s">
        <v>15</v>
      </c>
      <c r="G36" s="5" t="s">
        <v>15</v>
      </c>
      <c r="H36" s="4">
        <v>0.0</v>
      </c>
      <c r="I36" s="4">
        <v>250.60699</v>
      </c>
      <c r="J36" s="6">
        <v>40.1549415670565</v>
      </c>
      <c r="K36" s="5">
        <v>0.0</v>
      </c>
      <c r="L36" s="7">
        <v>0.488815290660234</v>
      </c>
      <c r="M36" s="4">
        <v>3.02</v>
      </c>
      <c r="N36" s="2">
        <v>1.11</v>
      </c>
    </row>
    <row r="37">
      <c r="A37" s="2" t="s">
        <v>57</v>
      </c>
      <c r="B37" s="3" t="str">
        <f>HYPERLINK("https://www.suredividend.com/sure-analysis-research-database/","ADTRAN Holdings Inc")</f>
        <v>ADTRAN Holdings Inc</v>
      </c>
      <c r="C37" s="2" t="s">
        <v>40</v>
      </c>
      <c r="D37" s="4">
        <v>6.57</v>
      </c>
      <c r="E37" s="5">
        <v>0.036971855970208</v>
      </c>
      <c r="F37" s="5" t="s">
        <v>15</v>
      </c>
      <c r="G37" s="5" t="s">
        <v>15</v>
      </c>
      <c r="H37" s="4">
        <v>0.266197362985502</v>
      </c>
      <c r="I37" s="4">
        <v>566.632793</v>
      </c>
      <c r="J37" s="6">
        <v>0.0</v>
      </c>
      <c r="K37" s="5" t="s">
        <v>15</v>
      </c>
      <c r="L37" s="7">
        <v>1.33526461959081</v>
      </c>
      <c r="M37" s="4">
        <v>18.5</v>
      </c>
      <c r="N37" s="2">
        <v>4.91</v>
      </c>
    </row>
    <row r="38">
      <c r="A38" s="2" t="s">
        <v>58</v>
      </c>
      <c r="B38" s="3" t="str">
        <f>HYPERLINK("https://www.suredividend.com/sure-analysis-research-database/","Addus HomeCare Corporation")</f>
        <v>Addus HomeCare Corporation</v>
      </c>
      <c r="C38" s="2" t="s">
        <v>30</v>
      </c>
      <c r="D38" s="4">
        <v>89.11</v>
      </c>
      <c r="E38" s="5">
        <v>0.0</v>
      </c>
      <c r="F38" s="5" t="s">
        <v>15</v>
      </c>
      <c r="G38" s="5" t="s">
        <v>15</v>
      </c>
      <c r="H38" s="4">
        <v>0.0</v>
      </c>
      <c r="I38" s="4">
        <v>1442.293384</v>
      </c>
      <c r="J38" s="6">
        <v>24.9964191395147</v>
      </c>
      <c r="K38" s="5">
        <v>0.0</v>
      </c>
      <c r="L38" s="7">
        <v>0.659141547269482</v>
      </c>
      <c r="M38" s="4">
        <v>114.99</v>
      </c>
      <c r="N38" s="2">
        <v>77.3</v>
      </c>
    </row>
    <row r="39">
      <c r="A39" s="2" t="s">
        <v>59</v>
      </c>
      <c r="B39" s="3" t="str">
        <f>HYPERLINK("https://www.suredividend.com/sure-analysis-research-database/","Advantage Solutions Inc.")</f>
        <v>Advantage Solutions Inc.</v>
      </c>
      <c r="C39" s="2" t="s">
        <v>15</v>
      </c>
      <c r="D39" s="4">
        <v>3.68</v>
      </c>
      <c r="E39" s="5">
        <v>0.0</v>
      </c>
      <c r="F39" s="5" t="s">
        <v>15</v>
      </c>
      <c r="G39" s="5" t="s">
        <v>15</v>
      </c>
      <c r="H39" s="4">
        <v>0.0</v>
      </c>
      <c r="I39" s="4">
        <v>1429.603959</v>
      </c>
      <c r="J39" s="6" t="s">
        <v>15</v>
      </c>
      <c r="K39" s="5">
        <v>0.0</v>
      </c>
      <c r="L39" s="7">
        <v>1.81418850864357</v>
      </c>
      <c r="M39" s="4">
        <v>4.39</v>
      </c>
      <c r="N39" s="2">
        <v>1.13</v>
      </c>
    </row>
    <row r="40">
      <c r="A40" s="2" t="s">
        <v>60</v>
      </c>
      <c r="B40" s="3" t="str">
        <f>HYPERLINK("https://www.suredividend.com/sure-analysis-research-database/","Advanced Energy Industries Inc.")</f>
        <v>Advanced Energy Industries Inc.</v>
      </c>
      <c r="C40" s="2" t="s">
        <v>17</v>
      </c>
      <c r="D40" s="4">
        <v>105.12</v>
      </c>
      <c r="E40" s="5">
        <v>0.003706854916953</v>
      </c>
      <c r="F40" s="5" t="s">
        <v>15</v>
      </c>
      <c r="G40" s="5" t="s">
        <v>15</v>
      </c>
      <c r="H40" s="4">
        <v>0.398968794711699</v>
      </c>
      <c r="I40" s="4">
        <v>4012.517113</v>
      </c>
      <c r="J40" s="6">
        <v>29.8268534413909</v>
      </c>
      <c r="K40" s="5">
        <v>0.112069886154971</v>
      </c>
      <c r="L40" s="7">
        <v>1.64751807661094</v>
      </c>
      <c r="M40" s="4">
        <v>126.0</v>
      </c>
      <c r="N40" s="2">
        <v>81.69</v>
      </c>
    </row>
    <row r="41">
      <c r="A41" s="2" t="s">
        <v>61</v>
      </c>
      <c r="B41" s="3" t="str">
        <f>HYPERLINK("https://www.suredividend.com/sure-analysis-AEL/","American Equity Investment Life Holding Co")</f>
        <v>American Equity Investment Life Holding Co</v>
      </c>
      <c r="C41" s="2" t="s">
        <v>22</v>
      </c>
      <c r="D41" s="4">
        <v>55.41</v>
      </c>
      <c r="E41" s="5">
        <v>0.00685796787583468</v>
      </c>
      <c r="F41" s="5" t="s">
        <v>15</v>
      </c>
      <c r="G41" s="5" t="s">
        <v>15</v>
      </c>
      <c r="H41" s="4">
        <v>0.0</v>
      </c>
      <c r="I41" s="4">
        <v>4385.877843</v>
      </c>
      <c r="J41" s="6">
        <v>7.15021551180242</v>
      </c>
      <c r="K41" s="5">
        <v>0.0</v>
      </c>
      <c r="L41" s="7">
        <v>0.801306637872805</v>
      </c>
      <c r="M41" s="4">
        <v>56.09</v>
      </c>
      <c r="N41" s="2">
        <v>31.57</v>
      </c>
    </row>
    <row r="42">
      <c r="A42" s="2" t="s">
        <v>62</v>
      </c>
      <c r="B42" s="3" t="str">
        <f>HYPERLINK("https://www.suredividend.com/sure-analysis-research-database/","American Eagle Outfitters Inc.")</f>
        <v>American Eagle Outfitters Inc.</v>
      </c>
      <c r="C42" s="2" t="s">
        <v>25</v>
      </c>
      <c r="D42" s="4">
        <v>20.53</v>
      </c>
      <c r="E42" s="5">
        <v>0.020544969068161</v>
      </c>
      <c r="F42" s="5" t="s">
        <v>15</v>
      </c>
      <c r="G42" s="5" t="s">
        <v>15</v>
      </c>
      <c r="H42" s="4">
        <v>0.421171865897304</v>
      </c>
      <c r="I42" s="4">
        <v>4049.536175</v>
      </c>
      <c r="J42" s="6">
        <v>18.5492214160402</v>
      </c>
      <c r="K42" s="5">
        <v>0.393618566259162</v>
      </c>
      <c r="L42" s="7">
        <v>1.26380627423935</v>
      </c>
      <c r="M42" s="4">
        <v>21.68</v>
      </c>
      <c r="N42" s="2">
        <v>9.75</v>
      </c>
    </row>
    <row r="43">
      <c r="A43" s="2" t="s">
        <v>63</v>
      </c>
      <c r="B43" s="3" t="str">
        <f>HYPERLINK("https://www.suredividend.com/sure-analysis-research-database/","Aeva Technologies Inc")</f>
        <v>Aeva Technologies Inc</v>
      </c>
      <c r="C43" s="2" t="s">
        <v>15</v>
      </c>
      <c r="D43" s="4">
        <v>0.8343</v>
      </c>
      <c r="E43" s="5">
        <v>0.0</v>
      </c>
      <c r="F43" s="5" t="s">
        <v>15</v>
      </c>
      <c r="G43" s="5" t="s">
        <v>15</v>
      </c>
      <c r="H43" s="4">
        <v>0.0</v>
      </c>
      <c r="I43" s="4">
        <v>226.638757</v>
      </c>
      <c r="J43" s="6" t="s">
        <v>15</v>
      </c>
      <c r="K43" s="5">
        <v>0.0</v>
      </c>
      <c r="L43" s="7">
        <v>2.60190935231021</v>
      </c>
      <c r="M43" s="4">
        <v>2.1</v>
      </c>
      <c r="N43" s="2">
        <v>0.465</v>
      </c>
    </row>
    <row r="44">
      <c r="A44" s="2" t="s">
        <v>64</v>
      </c>
      <c r="B44" s="3" t="str">
        <f>HYPERLINK("https://www.suredividend.com/sure-analysis-research-database/","AFC Gamma Inc")</f>
        <v>AFC Gamma Inc</v>
      </c>
      <c r="C44" s="2" t="s">
        <v>15</v>
      </c>
      <c r="D44" s="4">
        <v>11.44</v>
      </c>
      <c r="E44" s="5">
        <v>0.150665739646312</v>
      </c>
      <c r="F44" s="5" t="s">
        <v>15</v>
      </c>
      <c r="G44" s="5" t="s">
        <v>15</v>
      </c>
      <c r="H44" s="4">
        <v>1.8019622461699</v>
      </c>
      <c r="I44" s="4">
        <v>244.674056</v>
      </c>
      <c r="J44" s="6">
        <v>7.39675500815981</v>
      </c>
      <c r="K44" s="5">
        <v>1.11232237417895</v>
      </c>
      <c r="L44" s="7">
        <v>1.06677129594548</v>
      </c>
      <c r="M44" s="4">
        <v>12.79</v>
      </c>
      <c r="N44" s="2">
        <v>8.21</v>
      </c>
    </row>
    <row r="45">
      <c r="A45" s="2" t="s">
        <v>65</v>
      </c>
      <c r="B45" s="3" t="str">
        <f>HYPERLINK("https://www.suredividend.com/sure-analysis-research-database/","Affimed N.V.")</f>
        <v>Affimed N.V.</v>
      </c>
      <c r="C45" s="2" t="s">
        <v>30</v>
      </c>
      <c r="D45" s="4">
        <v>0.523</v>
      </c>
      <c r="E45" s="5">
        <v>0.0</v>
      </c>
      <c r="F45" s="5" t="s">
        <v>15</v>
      </c>
      <c r="G45" s="5" t="s">
        <v>15</v>
      </c>
      <c r="H45" s="4">
        <v>0.0</v>
      </c>
      <c r="I45" s="4">
        <v>83.630028</v>
      </c>
      <c r="J45" s="6">
        <v>0.0</v>
      </c>
      <c r="K45" s="5" t="s">
        <v>15</v>
      </c>
      <c r="L45" s="7">
        <v>1.514443236742</v>
      </c>
      <c r="M45" s="4">
        <v>1.35</v>
      </c>
      <c r="N45" s="2">
        <v>0.2235</v>
      </c>
    </row>
    <row r="46">
      <c r="A46" s="2" t="s">
        <v>66</v>
      </c>
      <c r="B46" s="3" t="str">
        <f>HYPERLINK("https://www.suredividend.com/sure-analysis-research-database/","Agenus Inc")</f>
        <v>Agenus Inc</v>
      </c>
      <c r="C46" s="2" t="s">
        <v>30</v>
      </c>
      <c r="D46" s="4">
        <v>0.6323</v>
      </c>
      <c r="E46" s="5">
        <v>0.0</v>
      </c>
      <c r="F46" s="5" t="s">
        <v>15</v>
      </c>
      <c r="G46" s="5" t="s">
        <v>15</v>
      </c>
      <c r="H46" s="4">
        <v>0.0</v>
      </c>
      <c r="I46" s="4">
        <v>264.948605</v>
      </c>
      <c r="J46" s="6" t="s">
        <v>15</v>
      </c>
      <c r="K46" s="5">
        <v>0.0</v>
      </c>
      <c r="L46" s="7">
        <v>1.59819123758148</v>
      </c>
      <c r="M46" s="4">
        <v>2.61</v>
      </c>
      <c r="N46" s="2">
        <v>0.527</v>
      </c>
    </row>
    <row r="47">
      <c r="A47" s="2" t="s">
        <v>67</v>
      </c>
      <c r="B47" s="3" t="str">
        <f>HYPERLINK("https://www.suredividend.com/sure-analysis-research-database/","Agios Pharmaceuticals Inc")</f>
        <v>Agios Pharmaceuticals Inc</v>
      </c>
      <c r="C47" s="2" t="s">
        <v>30</v>
      </c>
      <c r="D47" s="4">
        <v>23.73</v>
      </c>
      <c r="E47" s="5">
        <v>0.0</v>
      </c>
      <c r="F47" s="5" t="s">
        <v>15</v>
      </c>
      <c r="G47" s="5" t="s">
        <v>15</v>
      </c>
      <c r="H47" s="4">
        <v>0.0</v>
      </c>
      <c r="I47" s="4">
        <v>1334.124949</v>
      </c>
      <c r="J47" s="6">
        <v>0.832950891767107</v>
      </c>
      <c r="K47" s="5">
        <v>0.0</v>
      </c>
      <c r="L47" s="7">
        <v>1.12799850775238</v>
      </c>
      <c r="M47" s="4">
        <v>31.5</v>
      </c>
      <c r="N47" s="2">
        <v>19.8</v>
      </c>
    </row>
    <row r="48">
      <c r="A48" s="2" t="s">
        <v>68</v>
      </c>
      <c r="B48" s="3" t="str">
        <f>HYPERLINK("https://www.suredividend.com/sure-analysis-AGM/","Federal Agricultural Mortgage Corp.")</f>
        <v>Federal Agricultural Mortgage Corp.</v>
      </c>
      <c r="C48" s="2" t="s">
        <v>22</v>
      </c>
      <c r="D48" s="4">
        <v>187.49</v>
      </c>
      <c r="E48" s="5">
        <v>0.0234679182889754</v>
      </c>
      <c r="F48" s="5">
        <v>0.157894736842105</v>
      </c>
      <c r="G48" s="5">
        <v>0.0946087842231575</v>
      </c>
      <c r="H48" s="4">
        <v>4.3571415890341</v>
      </c>
      <c r="I48" s="4">
        <v>1939.81597</v>
      </c>
      <c r="J48" s="6">
        <v>11.5319713818276</v>
      </c>
      <c r="K48" s="5">
        <v>0.282931272015201</v>
      </c>
      <c r="L48" s="7">
        <v>1.20740070628909</v>
      </c>
      <c r="M48" s="4">
        <v>198.17</v>
      </c>
      <c r="N48" s="2">
        <v>118.92</v>
      </c>
    </row>
    <row r="49">
      <c r="A49" s="2" t="s">
        <v>69</v>
      </c>
      <c r="B49" s="3" t="str">
        <f>HYPERLINK("https://www.suredividend.com/sure-analysis-research-database/","Agiliti Inc")</f>
        <v>Agiliti Inc</v>
      </c>
      <c r="C49" s="2" t="s">
        <v>15</v>
      </c>
      <c r="D49" s="4">
        <v>6.76</v>
      </c>
      <c r="E49" s="5">
        <v>0.0</v>
      </c>
      <c r="F49" s="5" t="s">
        <v>15</v>
      </c>
      <c r="G49" s="5" t="s">
        <v>15</v>
      </c>
      <c r="H49" s="4">
        <v>0.0</v>
      </c>
      <c r="I49" s="4">
        <v>1016.727055</v>
      </c>
      <c r="J49" s="6" t="s">
        <v>15</v>
      </c>
      <c r="K49" s="5">
        <v>0.0</v>
      </c>
      <c r="L49" s="7">
        <v>1.77415128674996</v>
      </c>
      <c r="M49" s="4">
        <v>19.68</v>
      </c>
      <c r="N49" s="2">
        <v>5.07</v>
      </c>
    </row>
    <row r="50">
      <c r="A50" s="2" t="s">
        <v>70</v>
      </c>
      <c r="B50" s="3" t="str">
        <f>HYPERLINK("https://www.suredividend.com/sure-analysis-research-database/","Argan, Inc.")</f>
        <v>Argan, Inc.</v>
      </c>
      <c r="C50" s="2" t="s">
        <v>17</v>
      </c>
      <c r="D50" s="4">
        <v>44.51</v>
      </c>
      <c r="E50" s="5">
        <v>0.024491033499171</v>
      </c>
      <c r="F50" s="5">
        <v>0.2</v>
      </c>
      <c r="G50" s="5">
        <v>0.0371372893366481</v>
      </c>
      <c r="H50" s="4">
        <v>1.08985099071312</v>
      </c>
      <c r="I50" s="4">
        <v>593.090037</v>
      </c>
      <c r="J50" s="6">
        <v>17.4576880758249</v>
      </c>
      <c r="K50" s="5">
        <v>0.435940396285248</v>
      </c>
      <c r="L50" s="7">
        <v>0.355793171044448</v>
      </c>
      <c r="M50" s="4">
        <v>48.19</v>
      </c>
      <c r="N50" s="2">
        <v>36.87</v>
      </c>
    </row>
    <row r="51">
      <c r="A51" s="2" t="s">
        <v>71</v>
      </c>
      <c r="B51" s="3" t="str">
        <f>HYPERLINK("https://www.suredividend.com/sure-analysis-research-database/","Agilysys, Inc")</f>
        <v>Agilysys, Inc</v>
      </c>
      <c r="C51" s="2" t="s">
        <v>40</v>
      </c>
      <c r="D51" s="4">
        <v>82.39</v>
      </c>
      <c r="E51" s="5">
        <v>0.0</v>
      </c>
      <c r="F51" s="5" t="s">
        <v>15</v>
      </c>
      <c r="G51" s="5" t="s">
        <v>15</v>
      </c>
      <c r="H51" s="4">
        <v>0.0</v>
      </c>
      <c r="I51" s="4">
        <v>2367.157599</v>
      </c>
      <c r="J51" s="6">
        <v>27.6388576101627</v>
      </c>
      <c r="K51" s="5">
        <v>0.0</v>
      </c>
      <c r="L51" s="7">
        <v>1.15015419966489</v>
      </c>
      <c r="M51" s="4">
        <v>91.61</v>
      </c>
      <c r="N51" s="2">
        <v>62.0</v>
      </c>
    </row>
    <row r="52">
      <c r="A52" s="2" t="s">
        <v>72</v>
      </c>
      <c r="B52" s="3" t="str">
        <f>HYPERLINK("https://www.suredividend.com/sure-analysis-research-database/","AdaptHealth Corp")</f>
        <v>AdaptHealth Corp</v>
      </c>
      <c r="C52" s="2" t="s">
        <v>30</v>
      </c>
      <c r="D52" s="4">
        <v>7.01</v>
      </c>
      <c r="E52" s="5">
        <v>0.0</v>
      </c>
      <c r="F52" s="5" t="s">
        <v>15</v>
      </c>
      <c r="G52" s="5" t="s">
        <v>15</v>
      </c>
      <c r="H52" s="4">
        <v>0.0</v>
      </c>
      <c r="I52" s="4">
        <v>1003.827861</v>
      </c>
      <c r="J52" s="6" t="s">
        <v>15</v>
      </c>
      <c r="K52" s="5">
        <v>0.0</v>
      </c>
      <c r="L52" s="7">
        <v>1.62789649692265</v>
      </c>
      <c r="M52" s="4">
        <v>22.94</v>
      </c>
      <c r="N52" s="2">
        <v>6.37</v>
      </c>
    </row>
    <row r="53">
      <c r="A53" s="2" t="s">
        <v>73</v>
      </c>
      <c r="B53" s="3" t="str">
        <f>HYPERLINK("https://www.suredividend.com/sure-analysis-research-database/","Armada Hoffler Properties Inc")</f>
        <v>Armada Hoffler Properties Inc</v>
      </c>
      <c r="C53" s="2" t="s">
        <v>20</v>
      </c>
      <c r="D53" s="4">
        <v>11.63</v>
      </c>
      <c r="E53" s="5">
        <v>0.061884760925403</v>
      </c>
      <c r="F53" s="5" t="s">
        <v>15</v>
      </c>
      <c r="G53" s="5" t="s">
        <v>15</v>
      </c>
      <c r="H53" s="4">
        <v>0.75623177850843</v>
      </c>
      <c r="I53" s="4">
        <v>823.641784</v>
      </c>
      <c r="J53" s="6">
        <v>34.7807011595794</v>
      </c>
      <c r="K53" s="5">
        <v>2.16623253654663</v>
      </c>
      <c r="L53" s="7">
        <v>1.18391204130598</v>
      </c>
      <c r="M53" s="4">
        <v>12.91</v>
      </c>
      <c r="N53" s="2">
        <v>9.66</v>
      </c>
    </row>
    <row r="54">
      <c r="A54" s="2" t="s">
        <v>74</v>
      </c>
      <c r="B54" s="3" t="str">
        <f>HYPERLINK("https://www.suredividend.com/sure-analysis-research-database/","Ashford Hospitality Trust Inc")</f>
        <v>Ashford Hospitality Trust Inc</v>
      </c>
      <c r="C54" s="2" t="s">
        <v>20</v>
      </c>
      <c r="D54" s="4">
        <v>1.64</v>
      </c>
      <c r="E54" s="5">
        <v>0.0</v>
      </c>
      <c r="F54" s="5" t="s">
        <v>15</v>
      </c>
      <c r="G54" s="5" t="s">
        <v>15</v>
      </c>
      <c r="H54" s="4">
        <v>0.0</v>
      </c>
      <c r="I54" s="4">
        <v>47.600815</v>
      </c>
      <c r="J54" s="6" t="s">
        <v>15</v>
      </c>
      <c r="K54" s="5">
        <v>0.0</v>
      </c>
      <c r="L54" s="7">
        <v>2.58401501344192</v>
      </c>
      <c r="M54" s="4">
        <v>7.52</v>
      </c>
      <c r="N54" s="2">
        <v>1.24</v>
      </c>
    </row>
    <row r="55">
      <c r="A55" s="2" t="s">
        <v>75</v>
      </c>
      <c r="B55" s="3" t="str">
        <f>HYPERLINK("https://www.suredividend.com/sure-analysis-research-database/","C3.ai Inc")</f>
        <v>C3.ai Inc</v>
      </c>
      <c r="C55" s="2" t="s">
        <v>20</v>
      </c>
      <c r="D55" s="4">
        <v>24.12</v>
      </c>
      <c r="E55" s="5">
        <v>0.0</v>
      </c>
      <c r="F55" s="5" t="s">
        <v>15</v>
      </c>
      <c r="G55" s="5" t="s">
        <v>15</v>
      </c>
      <c r="H55" s="4">
        <v>0.0</v>
      </c>
      <c r="I55" s="4">
        <v>3032.477242</v>
      </c>
      <c r="J55" s="6" t="s">
        <v>15</v>
      </c>
      <c r="K55" s="5">
        <v>0.0</v>
      </c>
      <c r="L55" s="7">
        <v>3.29391516508953</v>
      </c>
      <c r="M55" s="4">
        <v>48.87</v>
      </c>
      <c r="N55" s="2">
        <v>16.79</v>
      </c>
    </row>
    <row r="56">
      <c r="A56" s="2" t="s">
        <v>76</v>
      </c>
      <c r="B56" s="3" t="str">
        <f>HYPERLINK("https://www.suredividend.com/sure-analysis-research-database/","Albany International Corp.")</f>
        <v>Albany International Corp.</v>
      </c>
      <c r="C56" s="2" t="s">
        <v>25</v>
      </c>
      <c r="D56" s="4">
        <v>87.8</v>
      </c>
      <c r="E56" s="5">
        <v>0.010943231515319</v>
      </c>
      <c r="F56" s="5">
        <v>0.04</v>
      </c>
      <c r="G56" s="5">
        <v>0.0763169225148108</v>
      </c>
      <c r="H56" s="4">
        <v>1.00590184088818</v>
      </c>
      <c r="I56" s="4">
        <v>2867.904</v>
      </c>
      <c r="J56" s="6">
        <v>29.0273684210526</v>
      </c>
      <c r="K56" s="5">
        <v>0.318323367369678</v>
      </c>
      <c r="L56" s="7">
        <v>1.0904401275389</v>
      </c>
      <c r="M56" s="4">
        <v>114.12</v>
      </c>
      <c r="N56" s="2">
        <v>77.99</v>
      </c>
    </row>
    <row r="57">
      <c r="A57" s="2" t="s">
        <v>77</v>
      </c>
      <c r="B57" s="3" t="str">
        <f>HYPERLINK("https://www.suredividend.com/sure-analysis-research-database/","Arteris Inc")</f>
        <v>Arteris Inc</v>
      </c>
      <c r="C57" s="2" t="s">
        <v>15</v>
      </c>
      <c r="D57" s="4">
        <v>6.23</v>
      </c>
      <c r="E57" s="5">
        <v>0.0</v>
      </c>
      <c r="F57" s="5" t="s">
        <v>15</v>
      </c>
      <c r="G57" s="5" t="s">
        <v>15</v>
      </c>
      <c r="H57" s="4">
        <v>0.0</v>
      </c>
      <c r="I57" s="4">
        <v>232.182613</v>
      </c>
      <c r="J57" s="6" t="s">
        <v>15</v>
      </c>
      <c r="K57" s="5">
        <v>0.0</v>
      </c>
      <c r="L57" s="7">
        <v>2.20556102440687</v>
      </c>
      <c r="M57" s="4">
        <v>8.08</v>
      </c>
      <c r="N57" s="2">
        <v>3.57</v>
      </c>
    </row>
    <row r="58">
      <c r="A58" s="2" t="s">
        <v>78</v>
      </c>
      <c r="B58" s="3" t="str">
        <f>HYPERLINK("https://www.suredividend.com/sure-analysis-research-database/","AAR Corp.")</f>
        <v>AAR Corp.</v>
      </c>
      <c r="C58" s="2" t="s">
        <v>17</v>
      </c>
      <c r="D58" s="4">
        <v>59.95</v>
      </c>
      <c r="E58" s="5">
        <v>0.0</v>
      </c>
      <c r="F58" s="5" t="s">
        <v>15</v>
      </c>
      <c r="G58" s="5" t="s">
        <v>15</v>
      </c>
      <c r="H58" s="4">
        <v>0.0</v>
      </c>
      <c r="I58" s="4">
        <v>2105.660036</v>
      </c>
      <c r="J58" s="6">
        <v>30.8747805914956</v>
      </c>
      <c r="K58" s="5">
        <v>0.0</v>
      </c>
      <c r="L58" s="7">
        <v>0.900967210339003</v>
      </c>
      <c r="M58" s="4">
        <v>73.95</v>
      </c>
      <c r="N58" s="2">
        <v>49.06</v>
      </c>
    </row>
    <row r="59">
      <c r="A59" s="2" t="s">
        <v>79</v>
      </c>
      <c r="B59" s="3" t="str">
        <f>HYPERLINK("https://www.suredividend.com/sure-analysis-research-database/","Airsculpt Technologies Inc")</f>
        <v>Airsculpt Technologies Inc</v>
      </c>
      <c r="C59" s="2" t="s">
        <v>15</v>
      </c>
      <c r="D59" s="4">
        <v>7.03</v>
      </c>
      <c r="E59" s="5">
        <v>0.0</v>
      </c>
      <c r="F59" s="5" t="s">
        <v>15</v>
      </c>
      <c r="G59" s="5" t="s">
        <v>15</v>
      </c>
      <c r="H59" s="4">
        <v>0.0</v>
      </c>
      <c r="I59" s="4">
        <v>444.506489</v>
      </c>
      <c r="J59" s="6" t="s">
        <v>15</v>
      </c>
      <c r="K59" s="5">
        <v>0.0</v>
      </c>
      <c r="L59" s="7">
        <v>2.00600279308204</v>
      </c>
      <c r="M59" s="4">
        <v>9.94</v>
      </c>
      <c r="N59" s="2">
        <v>4.29</v>
      </c>
    </row>
    <row r="60">
      <c r="A60" s="2" t="s">
        <v>80</v>
      </c>
      <c r="B60" s="3" t="str">
        <f>HYPERLINK("https://www.suredividend.com/sure-analysis-AIT/","Applied Industrial Technologies Inc.")</f>
        <v>Applied Industrial Technologies Inc.</v>
      </c>
      <c r="C60" s="2" t="s">
        <v>17</v>
      </c>
      <c r="D60" s="4">
        <v>179.41</v>
      </c>
      <c r="E60" s="5">
        <v>0.00824926146814558</v>
      </c>
      <c r="F60" s="5">
        <v>0.0294117647058824</v>
      </c>
      <c r="G60" s="5">
        <v>0.0245691383630806</v>
      </c>
      <c r="H60" s="4">
        <v>1.39743752771934</v>
      </c>
      <c r="I60" s="4">
        <v>6920.287456</v>
      </c>
      <c r="J60" s="6">
        <v>19.0282454772674</v>
      </c>
      <c r="K60" s="5">
        <v>0.150911180099281</v>
      </c>
      <c r="L60" s="7">
        <v>1.01885463998422</v>
      </c>
      <c r="M60" s="4">
        <v>182.96</v>
      </c>
      <c r="N60" s="2">
        <v>121.95</v>
      </c>
    </row>
    <row r="61">
      <c r="A61" s="2" t="s">
        <v>81</v>
      </c>
      <c r="B61" s="3" t="str">
        <f>HYPERLINK("https://www.suredividend.com/sure-analysis-research-database/","Apartment Investment &amp; Management Co.")</f>
        <v>Apartment Investment &amp; Management Co.</v>
      </c>
      <c r="C61" s="2" t="s">
        <v>20</v>
      </c>
      <c r="D61" s="4">
        <v>7.37</v>
      </c>
      <c r="E61" s="5">
        <v>0.0</v>
      </c>
      <c r="F61" s="5" t="s">
        <v>15</v>
      </c>
      <c r="G61" s="5" t="s">
        <v>15</v>
      </c>
      <c r="H61" s="4">
        <v>0.0</v>
      </c>
      <c r="I61" s="4">
        <v>1122.349474</v>
      </c>
      <c r="J61" s="6" t="s">
        <v>15</v>
      </c>
      <c r="K61" s="5">
        <v>0.0</v>
      </c>
      <c r="L61" s="7">
        <v>1.18565159185986</v>
      </c>
      <c r="M61" s="4">
        <v>8.93</v>
      </c>
      <c r="N61" s="2">
        <v>5.63</v>
      </c>
    </row>
    <row r="62">
      <c r="A62" s="2" t="s">
        <v>82</v>
      </c>
      <c r="B62" s="3" t="str">
        <f>HYPERLINK("https://www.suredividend.com/sure-analysis-research-database/","Aerojet Rocketdyne Holdings Inc")</f>
        <v>Aerojet Rocketdyne Holdings Inc</v>
      </c>
      <c r="C62" s="2" t="s">
        <v>17</v>
      </c>
      <c r="D62" s="4">
        <v>57.99</v>
      </c>
      <c r="E62" s="5">
        <v>0.0</v>
      </c>
      <c r="F62" s="5" t="s">
        <v>15</v>
      </c>
      <c r="G62" s="5" t="s">
        <v>15</v>
      </c>
      <c r="H62" s="4">
        <v>0.0</v>
      </c>
      <c r="I62" s="4">
        <v>4683.208089</v>
      </c>
      <c r="J62" s="6">
        <v>63.4581041882113</v>
      </c>
      <c r="K62" s="5">
        <v>0.0</v>
      </c>
      <c r="L62" s="7">
        <v>0.469332736924296</v>
      </c>
      <c r="M62" s="4">
        <v>58.01</v>
      </c>
      <c r="N62" s="2">
        <v>39.18</v>
      </c>
    </row>
    <row r="63">
      <c r="A63" s="2" t="s">
        <v>83</v>
      </c>
      <c r="B63" s="3" t="str">
        <f>HYPERLINK("https://www.suredividend.com/sure-analysis-research-database/","a.k.a. Brands Holding Corp")</f>
        <v>a.k.a. Brands Holding Corp</v>
      </c>
      <c r="C63" s="2" t="s">
        <v>15</v>
      </c>
      <c r="D63" s="4">
        <v>9.85</v>
      </c>
      <c r="E63" s="5">
        <v>0.0</v>
      </c>
      <c r="F63" s="5" t="s">
        <v>15</v>
      </c>
      <c r="G63" s="5" t="s">
        <v>15</v>
      </c>
      <c r="H63" s="4">
        <v>0.0</v>
      </c>
      <c r="I63" s="4">
        <v>104.571746</v>
      </c>
      <c r="J63" s="6" t="s">
        <v>15</v>
      </c>
      <c r="K63" s="5">
        <v>0.0</v>
      </c>
      <c r="L63" s="7">
        <v>0.977413575785004</v>
      </c>
      <c r="M63" s="4">
        <v>22.08</v>
      </c>
      <c r="N63" s="2">
        <v>3.6</v>
      </c>
    </row>
    <row r="64">
      <c r="A64" s="2" t="s">
        <v>84</v>
      </c>
      <c r="B64" s="3" t="str">
        <f>HYPERLINK("https://www.suredividend.com/sure-analysis-AKR/","Acadia Realty Trust")</f>
        <v>Acadia Realty Trust</v>
      </c>
      <c r="C64" s="2" t="s">
        <v>20</v>
      </c>
      <c r="D64" s="4">
        <v>16.76</v>
      </c>
      <c r="E64" s="5">
        <v>0.0429594272076372</v>
      </c>
      <c r="F64" s="5" t="s">
        <v>15</v>
      </c>
      <c r="G64" s="5" t="s">
        <v>15</v>
      </c>
      <c r="H64" s="4">
        <v>0.70771903197932</v>
      </c>
      <c r="I64" s="4">
        <v>1673.235533</v>
      </c>
      <c r="J64" s="6">
        <v>69.5587417501558</v>
      </c>
      <c r="K64" s="5">
        <v>2.80062933114095</v>
      </c>
      <c r="L64" s="7">
        <v>1.30527333812773</v>
      </c>
      <c r="M64" s="4">
        <v>17.73</v>
      </c>
      <c r="N64" s="2">
        <v>11.94</v>
      </c>
    </row>
    <row r="65">
      <c r="A65" s="2" t="s">
        <v>85</v>
      </c>
      <c r="B65" s="3" t="str">
        <f>HYPERLINK("https://www.suredividend.com/sure-analysis-research-database/","Akero Therapeutics Inc")</f>
        <v>Akero Therapeutics Inc</v>
      </c>
      <c r="C65" s="2" t="s">
        <v>30</v>
      </c>
      <c r="D65" s="4">
        <v>20.24</v>
      </c>
      <c r="E65" s="5">
        <v>0.0</v>
      </c>
      <c r="F65" s="5" t="s">
        <v>15</v>
      </c>
      <c r="G65" s="5" t="s">
        <v>15</v>
      </c>
      <c r="H65" s="4">
        <v>0.0</v>
      </c>
      <c r="I65" s="4">
        <v>1312.849</v>
      </c>
      <c r="J65" s="6">
        <v>0.0</v>
      </c>
      <c r="K65" s="5" t="s">
        <v>15</v>
      </c>
      <c r="L65" s="7">
        <v>0.969809775297838</v>
      </c>
      <c r="M65" s="4">
        <v>58.38</v>
      </c>
      <c r="N65" s="2">
        <v>11.25</v>
      </c>
    </row>
    <row r="66">
      <c r="A66" s="2" t="s">
        <v>86</v>
      </c>
      <c r="B66" s="3" t="str">
        <f>HYPERLINK("https://www.suredividend.com/sure-analysis-research-database/","Akoustis Technologies Inc")</f>
        <v>Akoustis Technologies Inc</v>
      </c>
      <c r="C66" s="2" t="s">
        <v>40</v>
      </c>
      <c r="D66" s="4">
        <v>0.583</v>
      </c>
      <c r="E66" s="5">
        <v>0.0</v>
      </c>
      <c r="F66" s="5" t="s">
        <v>15</v>
      </c>
      <c r="G66" s="5" t="s">
        <v>15</v>
      </c>
      <c r="H66" s="4">
        <v>0.0</v>
      </c>
      <c r="I66" s="4">
        <v>42.548676</v>
      </c>
      <c r="J66" s="6" t="s">
        <v>15</v>
      </c>
      <c r="K66" s="5">
        <v>0.0</v>
      </c>
      <c r="L66" s="7">
        <v>3.07873550826544</v>
      </c>
      <c r="M66" s="4">
        <v>4.96</v>
      </c>
      <c r="N66" s="2">
        <v>0.45</v>
      </c>
    </row>
    <row r="67">
      <c r="A67" s="2" t="s">
        <v>87</v>
      </c>
      <c r="B67" s="3" t="str">
        <f>HYPERLINK("https://www.suredividend.com/sure-analysis-research-database/","Akoya Biosciences Inc")</f>
        <v>Akoya Biosciences Inc</v>
      </c>
      <c r="C67" s="2" t="s">
        <v>15</v>
      </c>
      <c r="D67" s="4">
        <v>5.55</v>
      </c>
      <c r="E67" s="5">
        <v>0.0</v>
      </c>
      <c r="F67" s="5" t="s">
        <v>15</v>
      </c>
      <c r="G67" s="5" t="s">
        <v>15</v>
      </c>
      <c r="H67" s="4">
        <v>0.0</v>
      </c>
      <c r="I67" s="4">
        <v>250.288482</v>
      </c>
      <c r="J67" s="6" t="s">
        <v>15</v>
      </c>
      <c r="K67" s="5">
        <v>0.0</v>
      </c>
      <c r="L67" s="7">
        <v>1.82944471946441</v>
      </c>
      <c r="M67" s="4">
        <v>12.9</v>
      </c>
      <c r="N67" s="2">
        <v>3.04</v>
      </c>
    </row>
    <row r="68">
      <c r="A68" s="2" t="s">
        <v>88</v>
      </c>
      <c r="B68" s="3" t="str">
        <f>HYPERLINK("https://www.suredividend.com/sure-analysis-research-database/","Alico Inc.")</f>
        <v>Alico Inc.</v>
      </c>
      <c r="C68" s="2" t="s">
        <v>89</v>
      </c>
      <c r="D68" s="4">
        <v>27.34</v>
      </c>
      <c r="E68" s="5">
        <v>0.006617970361529</v>
      </c>
      <c r="F68" s="5">
        <v>0.0</v>
      </c>
      <c r="G68" s="5">
        <v>-0.0358074959973727</v>
      </c>
      <c r="H68" s="4">
        <v>0.198870009363952</v>
      </c>
      <c r="I68" s="4">
        <v>228.863234</v>
      </c>
      <c r="J68" s="6">
        <v>124.721108474114</v>
      </c>
      <c r="K68" s="5">
        <v>0.823819425699884</v>
      </c>
      <c r="L68" s="7">
        <v>0.691218979450214</v>
      </c>
      <c r="M68" s="4">
        <v>30.89</v>
      </c>
      <c r="N68" s="2">
        <v>22.32</v>
      </c>
    </row>
    <row r="69">
      <c r="A69" s="2" t="s">
        <v>90</v>
      </c>
      <c r="B69" s="3" t="str">
        <f>HYPERLINK("https://www.suredividend.com/sure-analysis-ALE/","Allete, Inc.")</f>
        <v>Allete, Inc.</v>
      </c>
      <c r="C69" s="2" t="s">
        <v>91</v>
      </c>
      <c r="D69" s="4">
        <v>57.94</v>
      </c>
      <c r="E69" s="5">
        <v>0.0486710390058681</v>
      </c>
      <c r="F69" s="5">
        <v>0.0423076923076921</v>
      </c>
      <c r="G69" s="5">
        <v>0.0289168647840776</v>
      </c>
      <c r="H69" s="4">
        <v>2.66132168435791</v>
      </c>
      <c r="I69" s="4">
        <v>3430.25153</v>
      </c>
      <c r="J69" s="6">
        <v>13.8708108790942</v>
      </c>
      <c r="K69" s="5">
        <v>0.617476028853345</v>
      </c>
      <c r="L69" s="7">
        <v>0.498757527561674</v>
      </c>
      <c r="M69" s="4">
        <v>64.36</v>
      </c>
      <c r="N69" s="2">
        <v>48.67</v>
      </c>
    </row>
    <row r="70">
      <c r="A70" s="2" t="s">
        <v>92</v>
      </c>
      <c r="B70" s="3" t="str">
        <f>HYPERLINK("https://www.suredividend.com/sure-analysis-research-database/","Alector Inc")</f>
        <v>Alector Inc</v>
      </c>
      <c r="C70" s="2" t="s">
        <v>30</v>
      </c>
      <c r="D70" s="4">
        <v>5.99</v>
      </c>
      <c r="E70" s="5">
        <v>0.0</v>
      </c>
      <c r="F70" s="5" t="s">
        <v>15</v>
      </c>
      <c r="G70" s="5" t="s">
        <v>15</v>
      </c>
      <c r="H70" s="4">
        <v>0.0</v>
      </c>
      <c r="I70" s="4">
        <v>589.036871</v>
      </c>
      <c r="J70" s="6" t="s">
        <v>15</v>
      </c>
      <c r="K70" s="5">
        <v>0.0</v>
      </c>
      <c r="L70" s="7">
        <v>1.32917453926473</v>
      </c>
      <c r="M70" s="4">
        <v>9.86</v>
      </c>
      <c r="N70" s="2">
        <v>3.66</v>
      </c>
    </row>
    <row r="71">
      <c r="A71" s="2" t="s">
        <v>93</v>
      </c>
      <c r="B71" s="3" t="str">
        <f>HYPERLINK("https://www.suredividend.com/sure-analysis-research-database/","Alexander &amp; Baldwin Inc.")</f>
        <v>Alexander &amp; Baldwin Inc.</v>
      </c>
      <c r="C71" s="2" t="s">
        <v>20</v>
      </c>
      <c r="D71" s="4">
        <v>17.03</v>
      </c>
      <c r="E71" s="5">
        <v>0.048685319719651</v>
      </c>
      <c r="F71" s="5" t="s">
        <v>15</v>
      </c>
      <c r="G71" s="5" t="s">
        <v>15</v>
      </c>
      <c r="H71" s="4">
        <v>0.866598691009804</v>
      </c>
      <c r="I71" s="4">
        <v>1291.146407</v>
      </c>
      <c r="J71" s="6" t="s">
        <v>15</v>
      </c>
      <c r="K71" s="5" t="s">
        <v>15</v>
      </c>
      <c r="L71" s="7">
        <v>0.978117550028862</v>
      </c>
      <c r="M71" s="4">
        <v>19.51</v>
      </c>
      <c r="N71" s="2">
        <v>15.38</v>
      </c>
    </row>
    <row r="72">
      <c r="A72" s="2" t="s">
        <v>94</v>
      </c>
      <c r="B72" s="3" t="str">
        <f>HYPERLINK("https://www.suredividend.com/sure-analysis-research-database/","Alamo Group Inc.")</f>
        <v>Alamo Group Inc.</v>
      </c>
      <c r="C72" s="2" t="s">
        <v>17</v>
      </c>
      <c r="D72" s="4">
        <v>214.07</v>
      </c>
      <c r="E72" s="5">
        <v>0.004232553718307</v>
      </c>
      <c r="F72" s="5">
        <v>0.181818181818181</v>
      </c>
      <c r="G72" s="5">
        <v>0.167235319329693</v>
      </c>
      <c r="H72" s="4">
        <v>0.918337180261208</v>
      </c>
      <c r="I72" s="4">
        <v>2606.196124</v>
      </c>
      <c r="J72" s="6">
        <v>19.477860164346</v>
      </c>
      <c r="K72" s="5">
        <v>0.0821410715797145</v>
      </c>
      <c r="L72" s="7">
        <v>1.00375593952484</v>
      </c>
      <c r="M72" s="4">
        <v>217.68</v>
      </c>
      <c r="N72" s="2">
        <v>151.36</v>
      </c>
    </row>
    <row r="73">
      <c r="A73" s="2" t="s">
        <v>95</v>
      </c>
      <c r="B73" s="3" t="str">
        <f>HYPERLINK("https://www.suredividend.com/sure-analysis-research-database/","Allegiant Travel")</f>
        <v>Allegiant Travel</v>
      </c>
      <c r="C73" s="2" t="s">
        <v>17</v>
      </c>
      <c r="D73" s="4">
        <v>73.1</v>
      </c>
      <c r="E73" s="5">
        <v>0.014785947354245</v>
      </c>
      <c r="F73" s="5" t="s">
        <v>15</v>
      </c>
      <c r="G73" s="5" t="s">
        <v>15</v>
      </c>
      <c r="H73" s="4">
        <v>1.1880508699136</v>
      </c>
      <c r="I73" s="4">
        <v>1478.534813</v>
      </c>
      <c r="J73" s="6">
        <v>8.87113790889672</v>
      </c>
      <c r="K73" s="5">
        <v>0.127064264161882</v>
      </c>
      <c r="L73" s="7">
        <v>1.68234776411922</v>
      </c>
      <c r="M73" s="4">
        <v>126.86</v>
      </c>
      <c r="N73" s="2">
        <v>53.78</v>
      </c>
    </row>
    <row r="74">
      <c r="A74" s="2" t="s">
        <v>96</v>
      </c>
      <c r="B74" s="3" t="str">
        <f>HYPERLINK("https://www.suredividend.com/sure-analysis-research-database/","Alignment Healthcare Inc")</f>
        <v>Alignment Healthcare Inc</v>
      </c>
      <c r="C74" s="2" t="s">
        <v>15</v>
      </c>
      <c r="D74" s="4">
        <v>6.1</v>
      </c>
      <c r="E74" s="5">
        <v>0.0</v>
      </c>
      <c r="F74" s="5" t="s">
        <v>15</v>
      </c>
      <c r="G74" s="5" t="s">
        <v>15</v>
      </c>
      <c r="H74" s="4">
        <v>0.0</v>
      </c>
      <c r="I74" s="4">
        <v>1338.826492</v>
      </c>
      <c r="J74" s="6" t="s">
        <v>15</v>
      </c>
      <c r="K74" s="5">
        <v>0.0</v>
      </c>
      <c r="L74" s="7">
        <v>1.12778475085665</v>
      </c>
      <c r="M74" s="4">
        <v>12.6</v>
      </c>
      <c r="N74" s="2">
        <v>4.88</v>
      </c>
    </row>
    <row r="75">
      <c r="A75" s="2" t="s">
        <v>97</v>
      </c>
      <c r="B75" s="3" t="str">
        <f>HYPERLINK("https://www.suredividend.com/sure-analysis-research-database/","Alight Inc.")</f>
        <v>Alight Inc.</v>
      </c>
      <c r="C75" s="2" t="s">
        <v>15</v>
      </c>
      <c r="D75" s="4">
        <v>8.98</v>
      </c>
      <c r="E75" s="5">
        <v>0.0</v>
      </c>
      <c r="F75" s="5" t="s">
        <v>15</v>
      </c>
      <c r="G75" s="5" t="s">
        <v>15</v>
      </c>
      <c r="H75" s="4">
        <v>0.0</v>
      </c>
      <c r="I75" s="4">
        <v>4590.839907</v>
      </c>
      <c r="J75" s="6" t="s">
        <v>15</v>
      </c>
      <c r="K75" s="5">
        <v>0.0</v>
      </c>
      <c r="L75" s="7">
        <v>1.42010591742107</v>
      </c>
      <c r="M75" s="4">
        <v>10.19</v>
      </c>
      <c r="N75" s="2">
        <v>6.33</v>
      </c>
    </row>
    <row r="76">
      <c r="A76" s="2" t="s">
        <v>98</v>
      </c>
      <c r="B76" s="3" t="str">
        <f>HYPERLINK("https://www.suredividend.com/sure-analysis-research-database/","Alkermes plc")</f>
        <v>Alkermes plc</v>
      </c>
      <c r="C76" s="2" t="s">
        <v>30</v>
      </c>
      <c r="D76" s="4">
        <v>26.4</v>
      </c>
      <c r="E76" s="5">
        <v>0.0</v>
      </c>
      <c r="F76" s="5" t="s">
        <v>15</v>
      </c>
      <c r="G76" s="5" t="s">
        <v>15</v>
      </c>
      <c r="H76" s="4">
        <v>0.0</v>
      </c>
      <c r="I76" s="4">
        <v>4724.409207</v>
      </c>
      <c r="J76" s="6">
        <v>22.002241047391</v>
      </c>
      <c r="K76" s="5">
        <v>0.0</v>
      </c>
      <c r="L76" s="7"/>
      <c r="M76" s="4">
        <v>33.71</v>
      </c>
      <c r="N76" s="2">
        <v>22.01</v>
      </c>
    </row>
    <row r="77">
      <c r="A77" s="2" t="s">
        <v>99</v>
      </c>
      <c r="B77" s="3" t="str">
        <f>HYPERLINK("https://www.suredividend.com/sure-analysis-research-database/","Alkami Technology Inc")</f>
        <v>Alkami Technology Inc</v>
      </c>
      <c r="C77" s="2" t="s">
        <v>15</v>
      </c>
      <c r="D77" s="4">
        <v>24.52</v>
      </c>
      <c r="E77" s="5">
        <v>0.0</v>
      </c>
      <c r="F77" s="5" t="s">
        <v>15</v>
      </c>
      <c r="G77" s="5" t="s">
        <v>15</v>
      </c>
      <c r="H77" s="4">
        <v>0.0</v>
      </c>
      <c r="I77" s="4">
        <v>2495.617966</v>
      </c>
      <c r="J77" s="6" t="s">
        <v>15</v>
      </c>
      <c r="K77" s="5">
        <v>0.0</v>
      </c>
      <c r="L77" s="7">
        <v>1.61407120757747</v>
      </c>
      <c r="M77" s="4">
        <v>26.18</v>
      </c>
      <c r="N77" s="2">
        <v>10.93</v>
      </c>
    </row>
    <row r="78">
      <c r="A78" s="2" t="s">
        <v>100</v>
      </c>
      <c r="B78" s="3" t="str">
        <f>HYPERLINK("https://www.suredividend.com/sure-analysis-research-database/","Allogene Therapeutics Inc")</f>
        <v>Allogene Therapeutics Inc</v>
      </c>
      <c r="C78" s="2" t="s">
        <v>30</v>
      </c>
      <c r="D78" s="4">
        <v>4.14</v>
      </c>
      <c r="E78" s="5">
        <v>0.0</v>
      </c>
      <c r="F78" s="5" t="s">
        <v>15</v>
      </c>
      <c r="G78" s="5" t="s">
        <v>15</v>
      </c>
      <c r="H78" s="4">
        <v>0.0</v>
      </c>
      <c r="I78" s="4">
        <v>595.699383</v>
      </c>
      <c r="J78" s="6" t="s">
        <v>15</v>
      </c>
      <c r="K78" s="5">
        <v>0.0</v>
      </c>
      <c r="L78" s="7">
        <v>1.63029868379873</v>
      </c>
      <c r="M78" s="4">
        <v>8.4</v>
      </c>
      <c r="N78" s="2">
        <v>2.23</v>
      </c>
    </row>
    <row r="79">
      <c r="A79" s="2" t="s">
        <v>101</v>
      </c>
      <c r="B79" s="3" t="str">
        <f>HYPERLINK("https://www.suredividend.com/sure-analysis-research-database/","Alpine Immune Sciences Inc")</f>
        <v>Alpine Immune Sciences Inc</v>
      </c>
      <c r="C79" s="2" t="s">
        <v>30</v>
      </c>
      <c r="D79" s="4">
        <v>27.45</v>
      </c>
      <c r="E79" s="5">
        <v>0.0</v>
      </c>
      <c r="F79" s="5" t="s">
        <v>15</v>
      </c>
      <c r="G79" s="5" t="s">
        <v>15</v>
      </c>
      <c r="H79" s="4">
        <v>0.0</v>
      </c>
      <c r="I79" s="4">
        <v>1516.356782</v>
      </c>
      <c r="J79" s="6" t="s">
        <v>15</v>
      </c>
      <c r="K79" s="5">
        <v>0.0</v>
      </c>
      <c r="L79" s="7">
        <v>1.57535846892001</v>
      </c>
      <c r="M79" s="4">
        <v>26.23</v>
      </c>
      <c r="N79" s="2">
        <v>6.4</v>
      </c>
    </row>
    <row r="80">
      <c r="A80" s="2" t="s">
        <v>102</v>
      </c>
      <c r="B80" s="3" t="str">
        <f>HYPERLINK("https://www.suredividend.com/sure-analysis-research-database/","Alarm.com Holdings Inc")</f>
        <v>Alarm.com Holdings Inc</v>
      </c>
      <c r="C80" s="2" t="s">
        <v>40</v>
      </c>
      <c r="D80" s="4">
        <v>61.57</v>
      </c>
      <c r="E80" s="5">
        <v>0.0</v>
      </c>
      <c r="F80" s="5" t="s">
        <v>15</v>
      </c>
      <c r="G80" s="5" t="s">
        <v>15</v>
      </c>
      <c r="H80" s="4">
        <v>0.0</v>
      </c>
      <c r="I80" s="4">
        <v>3144.231614</v>
      </c>
      <c r="J80" s="6">
        <v>46.358687390894</v>
      </c>
      <c r="K80" s="5">
        <v>0.0</v>
      </c>
      <c r="L80" s="7">
        <v>1.24298271808653</v>
      </c>
      <c r="M80" s="4">
        <v>67.02</v>
      </c>
      <c r="N80" s="2">
        <v>44.92</v>
      </c>
    </row>
    <row r="81">
      <c r="A81" s="2" t="s">
        <v>103</v>
      </c>
      <c r="B81" s="3" t="str">
        <f>HYPERLINK("https://www.suredividend.com/sure-analysis-ALRS/","Alerus Financial Corp")</f>
        <v>Alerus Financial Corp</v>
      </c>
      <c r="C81" s="2" t="s">
        <v>22</v>
      </c>
      <c r="D81" s="4">
        <v>22.25</v>
      </c>
      <c r="E81" s="5">
        <v>0.0341573033707865</v>
      </c>
      <c r="F81" s="5">
        <v>0.0555555555555555</v>
      </c>
      <c r="G81" s="5">
        <v>0.0629800482623443</v>
      </c>
      <c r="H81" s="4">
        <v>0.729624653931392</v>
      </c>
      <c r="I81" s="4">
        <v>474.624144</v>
      </c>
      <c r="J81" s="6">
        <v>12.7040723768736</v>
      </c>
      <c r="K81" s="5">
        <v>0.394391704827779</v>
      </c>
      <c r="L81" s="7">
        <v>1.17736991760326</v>
      </c>
      <c r="M81" s="4">
        <v>24.29</v>
      </c>
      <c r="N81" s="2">
        <v>12.37</v>
      </c>
    </row>
    <row r="82">
      <c r="A82" s="2" t="s">
        <v>104</v>
      </c>
      <c r="B82" s="3" t="str">
        <f>HYPERLINK("https://www.suredividend.com/sure-analysis-research-database/","Alta Equipment Group Inc")</f>
        <v>Alta Equipment Group Inc</v>
      </c>
      <c r="C82" s="2" t="s">
        <v>17</v>
      </c>
      <c r="D82" s="4">
        <v>10.83</v>
      </c>
      <c r="E82" s="5">
        <v>0.020199562259591</v>
      </c>
      <c r="F82" s="5" t="s">
        <v>15</v>
      </c>
      <c r="G82" s="5" t="s">
        <v>15</v>
      </c>
      <c r="H82" s="4">
        <v>0.22643709293002</v>
      </c>
      <c r="I82" s="4">
        <v>362.846536</v>
      </c>
      <c r="J82" s="6">
        <v>51.1051458478873</v>
      </c>
      <c r="K82" s="5">
        <v>1.04013363771254</v>
      </c>
      <c r="L82" s="7">
        <v>1.60115452418008</v>
      </c>
      <c r="M82" s="4">
        <v>20.33</v>
      </c>
      <c r="N82" s="2">
        <v>8.71</v>
      </c>
    </row>
    <row r="83">
      <c r="A83" s="2" t="s">
        <v>105</v>
      </c>
      <c r="B83" s="3" t="str">
        <f>HYPERLINK("https://www.suredividend.com/sure-analysis-research-database/","Alto Ingredients Inc")</f>
        <v>Alto Ingredients Inc</v>
      </c>
      <c r="C83" s="2" t="s">
        <v>15</v>
      </c>
      <c r="D83" s="4">
        <v>1.8</v>
      </c>
      <c r="E83" s="5">
        <v>0.0</v>
      </c>
      <c r="F83" s="5" t="s">
        <v>15</v>
      </c>
      <c r="G83" s="5" t="s">
        <v>15</v>
      </c>
      <c r="H83" s="4">
        <v>0.0</v>
      </c>
      <c r="I83" s="4">
        <v>152.2782</v>
      </c>
      <c r="J83" s="6" t="s">
        <v>15</v>
      </c>
      <c r="K83" s="5">
        <v>0.0</v>
      </c>
      <c r="L83" s="7">
        <v>1.99915566429687</v>
      </c>
      <c r="M83" s="4">
        <v>4.97</v>
      </c>
      <c r="N83" s="2">
        <v>1.2</v>
      </c>
    </row>
    <row r="84">
      <c r="A84" s="2" t="s">
        <v>106</v>
      </c>
      <c r="B84" s="3" t="str">
        <f>HYPERLINK("https://www.suredividend.com/sure-analysis-research-database/","Altair Engineering Inc")</f>
        <v>Altair Engineering Inc</v>
      </c>
      <c r="C84" s="2" t="s">
        <v>40</v>
      </c>
      <c r="D84" s="4">
        <v>86.86</v>
      </c>
      <c r="E84" s="5">
        <v>0.0</v>
      </c>
      <c r="F84" s="5" t="s">
        <v>15</v>
      </c>
      <c r="G84" s="5" t="s">
        <v>15</v>
      </c>
      <c r="H84" s="4">
        <v>0.0</v>
      </c>
      <c r="I84" s="4">
        <v>4761.12</v>
      </c>
      <c r="J84" s="6" t="s">
        <v>15</v>
      </c>
      <c r="K84" s="5">
        <v>0.0</v>
      </c>
      <c r="L84" s="7">
        <v>1.11715769543546</v>
      </c>
      <c r="M84" s="4">
        <v>88.99</v>
      </c>
      <c r="N84" s="2">
        <v>52.41</v>
      </c>
    </row>
    <row r="85">
      <c r="A85" s="2" t="s">
        <v>107</v>
      </c>
      <c r="B85" s="3" t="str">
        <f>HYPERLINK("https://www.suredividend.com/sure-analysis-research-database/","AlloVir Inc")</f>
        <v>AlloVir Inc</v>
      </c>
      <c r="C85" s="2" t="s">
        <v>15</v>
      </c>
      <c r="D85" s="4">
        <v>0.6701</v>
      </c>
      <c r="E85" s="5">
        <v>0.0</v>
      </c>
      <c r="F85" s="5" t="s">
        <v>15</v>
      </c>
      <c r="G85" s="5" t="s">
        <v>15</v>
      </c>
      <c r="H85" s="4">
        <v>0.0</v>
      </c>
      <c r="I85" s="4">
        <v>80.728277</v>
      </c>
      <c r="J85" s="6">
        <v>0.0</v>
      </c>
      <c r="K85" s="5" t="s">
        <v>15</v>
      </c>
      <c r="L85" s="7">
        <v>2.36203396740586</v>
      </c>
      <c r="M85" s="4">
        <v>7.24</v>
      </c>
      <c r="N85" s="2">
        <v>0.6231</v>
      </c>
    </row>
    <row r="86">
      <c r="A86" s="2" t="s">
        <v>108</v>
      </c>
      <c r="B86" s="3" t="str">
        <f>HYPERLINK("https://www.suredividend.com/sure-analysis-research-database/","Alexander`s Inc.")</f>
        <v>Alexander`s Inc.</v>
      </c>
      <c r="C86" s="2" t="s">
        <v>20</v>
      </c>
      <c r="D86" s="4">
        <v>213.99</v>
      </c>
      <c r="E86" s="5">
        <v>0.058136367707702</v>
      </c>
      <c r="F86" s="5" t="s">
        <v>15</v>
      </c>
      <c r="G86" s="5" t="s">
        <v>15</v>
      </c>
      <c r="H86" s="4">
        <v>13.1911418328777</v>
      </c>
      <c r="I86" s="4">
        <v>1158.844101</v>
      </c>
      <c r="J86" s="6">
        <v>11.6696618565213</v>
      </c>
      <c r="K86" s="5">
        <v>0.681360631863521</v>
      </c>
      <c r="L86" s="7">
        <v>0.857386819190831</v>
      </c>
      <c r="M86" s="4">
        <v>235.85</v>
      </c>
      <c r="N86" s="2">
        <v>148.49</v>
      </c>
    </row>
    <row r="87">
      <c r="A87" s="2" t="s">
        <v>109</v>
      </c>
      <c r="B87" s="3" t="str">
        <f>HYPERLINK("https://www.suredividend.com/sure-analysis-research-database/","Alx Oncology Holdings Inc")</f>
        <v>Alx Oncology Holdings Inc</v>
      </c>
      <c r="C87" s="2" t="s">
        <v>15</v>
      </c>
      <c r="D87" s="4">
        <v>15.65</v>
      </c>
      <c r="E87" s="5">
        <v>0.0</v>
      </c>
      <c r="F87" s="5" t="s">
        <v>15</v>
      </c>
      <c r="G87" s="5" t="s">
        <v>15</v>
      </c>
      <c r="H87" s="4">
        <v>0.0</v>
      </c>
      <c r="I87" s="4">
        <v>745.787616</v>
      </c>
      <c r="J87" s="6">
        <v>0.0</v>
      </c>
      <c r="K87" s="5" t="s">
        <v>15</v>
      </c>
      <c r="L87" s="7">
        <v>1.48569019302435</v>
      </c>
      <c r="M87" s="4">
        <v>15.93</v>
      </c>
      <c r="N87" s="2">
        <v>3.94</v>
      </c>
    </row>
    <row r="88">
      <c r="A88" s="2" t="s">
        <v>110</v>
      </c>
      <c r="B88" s="3" t="str">
        <f>HYPERLINK("https://www.suredividend.com/sure-analysis-research-database/","Amalgamated Financial Corp")</f>
        <v>Amalgamated Financial Corp</v>
      </c>
      <c r="C88" s="2" t="s">
        <v>22</v>
      </c>
      <c r="D88" s="4">
        <v>25.24</v>
      </c>
      <c r="E88" s="5">
        <v>0.014708123420582</v>
      </c>
      <c r="F88" s="5">
        <v>0.0</v>
      </c>
      <c r="G88" s="5">
        <v>0.10756634324829</v>
      </c>
      <c r="H88" s="4">
        <v>0.394618951374232</v>
      </c>
      <c r="I88" s="4">
        <v>815.460422</v>
      </c>
      <c r="J88" s="6">
        <v>9.05634443710227</v>
      </c>
      <c r="K88" s="5">
        <v>0.135143476498024</v>
      </c>
      <c r="L88" s="7">
        <v>1.26044174233008</v>
      </c>
      <c r="M88" s="4">
        <v>27.77</v>
      </c>
      <c r="N88" s="2">
        <v>13.79</v>
      </c>
    </row>
    <row r="89">
      <c r="A89" s="2" t="s">
        <v>111</v>
      </c>
      <c r="B89" s="3" t="str">
        <f>HYPERLINK("https://www.suredividend.com/sure-analysis-research-database/","Ambarella Inc")</f>
        <v>Ambarella Inc</v>
      </c>
      <c r="C89" s="2" t="s">
        <v>40</v>
      </c>
      <c r="D89" s="4">
        <v>52.32</v>
      </c>
      <c r="E89" s="5">
        <v>0.0</v>
      </c>
      <c r="F89" s="5" t="s">
        <v>15</v>
      </c>
      <c r="G89" s="5" t="s">
        <v>15</v>
      </c>
      <c r="H89" s="4">
        <v>0.0</v>
      </c>
      <c r="I89" s="4">
        <v>2274.821086</v>
      </c>
      <c r="J89" s="6" t="s">
        <v>15</v>
      </c>
      <c r="K89" s="5">
        <v>0.0</v>
      </c>
      <c r="L89" s="7">
        <v>1.93759851744758</v>
      </c>
      <c r="M89" s="4">
        <v>99.86</v>
      </c>
      <c r="N89" s="2">
        <v>43.59</v>
      </c>
    </row>
    <row r="90">
      <c r="A90" s="2" t="s">
        <v>112</v>
      </c>
      <c r="B90" s="3" t="str">
        <f>HYPERLINK("https://www.suredividend.com/sure-analysis-research-database/","AMBAC Financial Group Inc.")</f>
        <v>AMBAC Financial Group Inc.</v>
      </c>
      <c r="C90" s="2" t="s">
        <v>22</v>
      </c>
      <c r="D90" s="4">
        <v>15.81</v>
      </c>
      <c r="E90" s="5">
        <v>0.0</v>
      </c>
      <c r="F90" s="5" t="s">
        <v>15</v>
      </c>
      <c r="G90" s="5" t="s">
        <v>15</v>
      </c>
      <c r="H90" s="4">
        <v>0.0</v>
      </c>
      <c r="I90" s="4">
        <v>751.133205</v>
      </c>
      <c r="J90" s="6">
        <v>3.79360204515151</v>
      </c>
      <c r="K90" s="5">
        <v>0.0</v>
      </c>
      <c r="L90" s="7">
        <v>0.665331115205393</v>
      </c>
      <c r="M90" s="4">
        <v>17.75</v>
      </c>
      <c r="N90" s="2">
        <v>11.26</v>
      </c>
    </row>
    <row r="91">
      <c r="A91" s="2" t="s">
        <v>113</v>
      </c>
      <c r="B91" s="3" t="str">
        <f>HYPERLINK("https://www.suredividend.com/sure-analysis-research-database/","AMC Networks Inc")</f>
        <v>AMC Networks Inc</v>
      </c>
      <c r="C91" s="2" t="s">
        <v>114</v>
      </c>
      <c r="D91" s="4">
        <v>17.58</v>
      </c>
      <c r="E91" s="5">
        <v>0.0</v>
      </c>
      <c r="F91" s="5" t="s">
        <v>15</v>
      </c>
      <c r="G91" s="5" t="s">
        <v>15</v>
      </c>
      <c r="H91" s="4">
        <v>0.0</v>
      </c>
      <c r="I91" s="4">
        <v>590.143568</v>
      </c>
      <c r="J91" s="6" t="s">
        <v>15</v>
      </c>
      <c r="K91" s="5">
        <v>0.0</v>
      </c>
      <c r="L91" s="7">
        <v>2.05972713559886</v>
      </c>
      <c r="M91" s="4">
        <v>27.46</v>
      </c>
      <c r="N91" s="2">
        <v>9.96</v>
      </c>
    </row>
    <row r="92">
      <c r="A92" s="2" t="s">
        <v>115</v>
      </c>
      <c r="B92" s="3" t="str">
        <f>HYPERLINK("https://www.suredividend.com/sure-analysis-research-database/","Apollo Medical Holdings Inc")</f>
        <v>Apollo Medical Holdings Inc</v>
      </c>
      <c r="C92" s="2" t="s">
        <v>30</v>
      </c>
      <c r="D92" s="4">
        <v>35.3</v>
      </c>
      <c r="E92" s="5">
        <v>0.0</v>
      </c>
      <c r="F92" s="5" t="s">
        <v>15</v>
      </c>
      <c r="G92" s="5" t="s">
        <v>15</v>
      </c>
      <c r="H92" s="4">
        <v>0.0</v>
      </c>
      <c r="I92" s="4">
        <v>2090.632337</v>
      </c>
      <c r="J92" s="6">
        <v>49.9160121631688</v>
      </c>
      <c r="K92" s="5">
        <v>0.0</v>
      </c>
      <c r="L92" s="7">
        <v>1.35141075638781</v>
      </c>
      <c r="M92" s="4">
        <v>40.81</v>
      </c>
      <c r="N92" s="2">
        <v>28.87</v>
      </c>
    </row>
    <row r="93">
      <c r="A93" s="2" t="s">
        <v>116</v>
      </c>
      <c r="B93" s="3" t="str">
        <f>HYPERLINK("https://www.suredividend.com/sure-analysis-research-database/","Assetmark Financial Holdings Inc")</f>
        <v>Assetmark Financial Holdings Inc</v>
      </c>
      <c r="C93" s="2" t="s">
        <v>22</v>
      </c>
      <c r="D93" s="4">
        <v>30.66</v>
      </c>
      <c r="E93" s="5">
        <v>0.0</v>
      </c>
      <c r="F93" s="5" t="s">
        <v>15</v>
      </c>
      <c r="G93" s="5" t="s">
        <v>15</v>
      </c>
      <c r="H93" s="4">
        <v>0.0</v>
      </c>
      <c r="I93" s="4">
        <v>2299.998137</v>
      </c>
      <c r="J93" s="6">
        <v>20.1618041959378</v>
      </c>
      <c r="K93" s="5">
        <v>0.0</v>
      </c>
      <c r="L93" s="7">
        <v>1.10833840257098</v>
      </c>
      <c r="M93" s="4">
        <v>33.0</v>
      </c>
      <c r="N93" s="2">
        <v>22.92</v>
      </c>
    </row>
    <row r="94">
      <c r="A94" s="2" t="s">
        <v>117</v>
      </c>
      <c r="B94" s="3" t="str">
        <f>HYPERLINK("https://www.suredividend.com/sure-analysis-research-database/","AMKOR Technology Inc.")</f>
        <v>AMKOR Technology Inc.</v>
      </c>
      <c r="C94" s="2" t="s">
        <v>40</v>
      </c>
      <c r="D94" s="4">
        <v>32.31</v>
      </c>
      <c r="E94" s="5">
        <v>0.009138136347147</v>
      </c>
      <c r="F94" s="5" t="s">
        <v>15</v>
      </c>
      <c r="G94" s="5" t="s">
        <v>15</v>
      </c>
      <c r="H94" s="4">
        <v>0.30210678763671</v>
      </c>
      <c r="I94" s="4">
        <v>8126.148</v>
      </c>
      <c r="J94" s="6">
        <v>19.9879670989196</v>
      </c>
      <c r="K94" s="5">
        <v>0.183095022810127</v>
      </c>
      <c r="L94" s="7">
        <v>1.85312970538908</v>
      </c>
      <c r="M94" s="4">
        <v>34.44</v>
      </c>
      <c r="N94" s="2">
        <v>17.48</v>
      </c>
    </row>
    <row r="95">
      <c r="A95" s="2" t="s">
        <v>118</v>
      </c>
      <c r="B95" s="3" t="str">
        <f>HYPERLINK("https://www.suredividend.com/sure-analysis-research-database/","Amylyx Pharmaceuticals Inc")</f>
        <v>Amylyx Pharmaceuticals Inc</v>
      </c>
      <c r="C95" s="2" t="s">
        <v>15</v>
      </c>
      <c r="D95" s="4">
        <v>15.3</v>
      </c>
      <c r="E95" s="5">
        <v>0.0</v>
      </c>
      <c r="F95" s="5" t="s">
        <v>15</v>
      </c>
      <c r="G95" s="5" t="s">
        <v>15</v>
      </c>
      <c r="H95" s="4">
        <v>0.0</v>
      </c>
      <c r="I95" s="4">
        <v>1066.10532</v>
      </c>
      <c r="J95" s="6">
        <v>580.667385550108</v>
      </c>
      <c r="K95" s="5">
        <v>0.0</v>
      </c>
      <c r="L95" s="7">
        <v>1.01632896587131</v>
      </c>
      <c r="M95" s="4">
        <v>40.88</v>
      </c>
      <c r="N95" s="2">
        <v>11.82</v>
      </c>
    </row>
    <row r="96">
      <c r="A96" s="2" t="s">
        <v>119</v>
      </c>
      <c r="B96" s="3" t="str">
        <f>HYPERLINK("https://www.suredividend.com/sure-analysis-research-database/","AMN Healthcare Services Inc.")</f>
        <v>AMN Healthcare Services Inc.</v>
      </c>
      <c r="C96" s="2" t="s">
        <v>30</v>
      </c>
      <c r="D96" s="4">
        <v>73.73</v>
      </c>
      <c r="E96" s="5">
        <v>0.0</v>
      </c>
      <c r="F96" s="5" t="s">
        <v>15</v>
      </c>
      <c r="G96" s="5" t="s">
        <v>15</v>
      </c>
      <c r="H96" s="4">
        <v>0.0</v>
      </c>
      <c r="I96" s="4">
        <v>2876.131445</v>
      </c>
      <c r="J96" s="6">
        <v>10.2723749509798</v>
      </c>
      <c r="K96" s="5">
        <v>0.0</v>
      </c>
      <c r="L96" s="7">
        <v>0.613717397510293</v>
      </c>
      <c r="M96" s="4">
        <v>112.44</v>
      </c>
      <c r="N96" s="2">
        <v>57.8</v>
      </c>
    </row>
    <row r="97">
      <c r="A97" s="2" t="s">
        <v>120</v>
      </c>
      <c r="B97" s="3" t="str">
        <f>HYPERLINK("https://www.suredividend.com/sure-analysis-research-database/","American National Bankshares Inc.")</f>
        <v>American National Bankshares Inc.</v>
      </c>
      <c r="C97" s="2" t="s">
        <v>22</v>
      </c>
      <c r="D97" s="4">
        <v>44.8</v>
      </c>
      <c r="E97" s="5">
        <v>0.024284234341114</v>
      </c>
      <c r="F97" s="5">
        <v>0.0</v>
      </c>
      <c r="G97" s="5">
        <v>0.0371372893366481</v>
      </c>
      <c r="H97" s="4">
        <v>1.17171430695879</v>
      </c>
      <c r="I97" s="4">
        <v>512.848623</v>
      </c>
      <c r="J97" s="6">
        <v>17.0279773806361</v>
      </c>
      <c r="K97" s="5">
        <v>0.412575460196758</v>
      </c>
      <c r="L97" s="7">
        <v>1.27117319523441</v>
      </c>
      <c r="M97" s="4">
        <v>50.76</v>
      </c>
      <c r="N97" s="2">
        <v>23.99</v>
      </c>
    </row>
    <row r="98">
      <c r="A98" s="2" t="s">
        <v>121</v>
      </c>
      <c r="B98" s="3" t="str">
        <f>HYPERLINK("https://www.suredividend.com/sure-analysis-research-database/","Amphastar Pharmaceuticals Inc")</f>
        <v>Amphastar Pharmaceuticals Inc</v>
      </c>
      <c r="C98" s="2" t="s">
        <v>30</v>
      </c>
      <c r="D98" s="4">
        <v>52.35</v>
      </c>
      <c r="E98" s="5">
        <v>0.0</v>
      </c>
      <c r="F98" s="5" t="s">
        <v>15</v>
      </c>
      <c r="G98" s="5" t="s">
        <v>15</v>
      </c>
      <c r="H98" s="4">
        <v>0.0</v>
      </c>
      <c r="I98" s="4">
        <v>2653.591495</v>
      </c>
      <c r="J98" s="6">
        <v>19.6139543302215</v>
      </c>
      <c r="K98" s="5">
        <v>0.0</v>
      </c>
      <c r="L98" s="7">
        <v>0.723674625317281</v>
      </c>
      <c r="M98" s="4">
        <v>67.66</v>
      </c>
      <c r="N98" s="2">
        <v>29.91</v>
      </c>
    </row>
    <row r="99">
      <c r="A99" s="2" t="s">
        <v>122</v>
      </c>
      <c r="B99" s="3" t="str">
        <f>HYPERLINK("https://www.suredividend.com/sure-analysis-research-database/","Amplitude Inc")</f>
        <v>Amplitude Inc</v>
      </c>
      <c r="C99" s="2" t="s">
        <v>15</v>
      </c>
      <c r="D99" s="4">
        <v>13.21</v>
      </c>
      <c r="E99" s="5">
        <v>0.0</v>
      </c>
      <c r="F99" s="5" t="s">
        <v>15</v>
      </c>
      <c r="G99" s="5" t="s">
        <v>15</v>
      </c>
      <c r="H99" s="4">
        <v>0.0</v>
      </c>
      <c r="I99" s="4">
        <v>1134.544535</v>
      </c>
      <c r="J99" s="6" t="s">
        <v>15</v>
      </c>
      <c r="K99" s="5">
        <v>0.0</v>
      </c>
      <c r="L99" s="7">
        <v>1.75103346837149</v>
      </c>
      <c r="M99" s="4">
        <v>16.95</v>
      </c>
      <c r="N99" s="2">
        <v>8.5</v>
      </c>
    </row>
    <row r="100">
      <c r="A100" s="2" t="s">
        <v>123</v>
      </c>
      <c r="B100" s="3" t="str">
        <f>HYPERLINK("https://www.suredividend.com/sure-analysis-research-database/","Altus Power Inc")</f>
        <v>Altus Power Inc</v>
      </c>
      <c r="C100" s="2" t="s">
        <v>15</v>
      </c>
      <c r="D100" s="4">
        <v>5.31</v>
      </c>
      <c r="E100" s="5">
        <v>0.0</v>
      </c>
      <c r="F100" s="5" t="s">
        <v>15</v>
      </c>
      <c r="G100" s="5" t="s">
        <v>15</v>
      </c>
      <c r="H100" s="4">
        <v>0.0</v>
      </c>
      <c r="I100" s="4">
        <v>898.293234</v>
      </c>
      <c r="J100" s="6">
        <v>10.4873414797735</v>
      </c>
      <c r="K100" s="5">
        <v>0.0</v>
      </c>
      <c r="L100" s="7">
        <v>1.91492363638347</v>
      </c>
      <c r="M100" s="4">
        <v>8.4</v>
      </c>
      <c r="N100" s="2">
        <v>4.08</v>
      </c>
    </row>
    <row r="101">
      <c r="A101" s="2" t="s">
        <v>124</v>
      </c>
      <c r="B101" s="3" t="str">
        <f>HYPERLINK("https://www.suredividend.com/sure-analysis-research-database/","Amplify Energy Corp.")</f>
        <v>Amplify Energy Corp.</v>
      </c>
      <c r="C101" s="2" t="s">
        <v>125</v>
      </c>
      <c r="D101" s="4">
        <v>5.81</v>
      </c>
      <c r="E101" s="5">
        <v>0.0</v>
      </c>
      <c r="F101" s="5" t="s">
        <v>15</v>
      </c>
      <c r="G101" s="5" t="s">
        <v>15</v>
      </c>
      <c r="H101" s="4">
        <v>0.0</v>
      </c>
      <c r="I101" s="4">
        <v>243.963408</v>
      </c>
      <c r="J101" s="6">
        <v>0.0</v>
      </c>
      <c r="K101" s="5" t="s">
        <v>15</v>
      </c>
      <c r="L101" s="7">
        <v>0.871973779538443</v>
      </c>
      <c r="M101" s="4">
        <v>10.23</v>
      </c>
      <c r="N101" s="2">
        <v>5.47</v>
      </c>
    </row>
    <row r="102">
      <c r="A102" s="2" t="s">
        <v>126</v>
      </c>
      <c r="B102" s="3" t="str">
        <f>HYPERLINK("https://www.suredividend.com/sure-analysis-research-database/","Alpha Metallurgical Resources Inc")</f>
        <v>Alpha Metallurgical Resources Inc</v>
      </c>
      <c r="C102" s="2" t="s">
        <v>15</v>
      </c>
      <c r="D102" s="4">
        <v>380.27</v>
      </c>
      <c r="E102" s="5">
        <v>0.00488919853447</v>
      </c>
      <c r="F102" s="5" t="s">
        <v>15</v>
      </c>
      <c r="G102" s="5" t="s">
        <v>15</v>
      </c>
      <c r="H102" s="4">
        <v>1.93387358832429</v>
      </c>
      <c r="I102" s="4">
        <v>6000.520189</v>
      </c>
      <c r="J102" s="6">
        <v>7.82724190412459</v>
      </c>
      <c r="K102" s="5">
        <v>0.0387239404950799</v>
      </c>
      <c r="L102" s="7">
        <v>1.01310239186583</v>
      </c>
      <c r="M102" s="4">
        <v>408.74</v>
      </c>
      <c r="N102" s="2">
        <v>131.75</v>
      </c>
    </row>
    <row r="103">
      <c r="A103" s="2" t="s">
        <v>127</v>
      </c>
      <c r="B103" s="3" t="str">
        <f>HYPERLINK("https://www.suredividend.com/sure-analysis-research-database/","Ameresco Inc.")</f>
        <v>Ameresco Inc.</v>
      </c>
      <c r="C103" s="2" t="s">
        <v>17</v>
      </c>
      <c r="D103" s="4">
        <v>20.21</v>
      </c>
      <c r="E103" s="5">
        <v>0.0</v>
      </c>
      <c r="F103" s="5" t="s">
        <v>15</v>
      </c>
      <c r="G103" s="5" t="s">
        <v>15</v>
      </c>
      <c r="H103" s="4">
        <v>0.0</v>
      </c>
      <c r="I103" s="4">
        <v>779.86248</v>
      </c>
      <c r="J103" s="6">
        <v>0.0</v>
      </c>
      <c r="K103" s="5" t="s">
        <v>15</v>
      </c>
      <c r="L103" s="7">
        <v>2.39482352677211</v>
      </c>
      <c r="M103" s="4">
        <v>65.86</v>
      </c>
      <c r="N103" s="2">
        <v>18.4</v>
      </c>
    </row>
    <row r="104">
      <c r="A104" s="2" t="s">
        <v>128</v>
      </c>
      <c r="B104" s="3" t="str">
        <f>HYPERLINK("https://www.suredividend.com/sure-analysis-research-database/","A-Mark Precious Metals Inc")</f>
        <v>A-Mark Precious Metals Inc</v>
      </c>
      <c r="C104" s="2" t="s">
        <v>22</v>
      </c>
      <c r="D104" s="4">
        <v>26.66</v>
      </c>
      <c r="E104" s="5">
        <v>0.027188464930558</v>
      </c>
      <c r="F104" s="5" t="s">
        <v>15</v>
      </c>
      <c r="G104" s="5" t="s">
        <v>15</v>
      </c>
      <c r="H104" s="4">
        <v>0.766986595691046</v>
      </c>
      <c r="I104" s="4">
        <v>654.781859</v>
      </c>
      <c r="J104" s="6">
        <v>0.0</v>
      </c>
      <c r="K104" s="5" t="s">
        <v>15</v>
      </c>
      <c r="L104" s="7">
        <v>0.957263160931142</v>
      </c>
      <c r="M104" s="4">
        <v>38.98</v>
      </c>
      <c r="N104" s="2">
        <v>22.97</v>
      </c>
    </row>
    <row r="105">
      <c r="A105" s="2" t="s">
        <v>129</v>
      </c>
      <c r="B105" s="3" t="str">
        <f>HYPERLINK("https://www.suredividend.com/sure-analysis-research-database/","Amyris Inc")</f>
        <v>Amyris Inc</v>
      </c>
      <c r="C105" s="2" t="s">
        <v>130</v>
      </c>
      <c r="D105" s="4">
        <v>0.05</v>
      </c>
      <c r="E105" s="5">
        <v>0.0</v>
      </c>
      <c r="F105" s="5" t="s">
        <v>15</v>
      </c>
      <c r="G105" s="5" t="s">
        <v>15</v>
      </c>
      <c r="H105" s="4">
        <v>0.0</v>
      </c>
      <c r="I105" s="4">
        <v>0.0</v>
      </c>
      <c r="J105" s="6">
        <v>0.0</v>
      </c>
      <c r="K105" s="5" t="s">
        <v>15</v>
      </c>
      <c r="L105" s="7"/>
      <c r="M105" s="4" t="s">
        <v>49</v>
      </c>
      <c r="N105" s="2" t="s">
        <v>49</v>
      </c>
    </row>
    <row r="106">
      <c r="A106" s="2" t="s">
        <v>131</v>
      </c>
      <c r="B106" s="3" t="str">
        <f>HYPERLINK("https://www.suredividend.com/sure-analysis-research-database/","Amneal Pharmaceuticals Inc")</f>
        <v>Amneal Pharmaceuticals Inc</v>
      </c>
      <c r="C106" s="2" t="s">
        <v>30</v>
      </c>
      <c r="D106" s="4">
        <v>5.52</v>
      </c>
      <c r="E106" s="5">
        <v>0.0</v>
      </c>
      <c r="F106" s="5" t="s">
        <v>15</v>
      </c>
      <c r="G106" s="5" t="s">
        <v>15</v>
      </c>
      <c r="H106" s="4">
        <v>0.0</v>
      </c>
      <c r="I106" s="4">
        <v>1765.694586</v>
      </c>
      <c r="J106" s="6">
        <v>171.044714350479</v>
      </c>
      <c r="K106" s="5">
        <v>0.0</v>
      </c>
      <c r="L106" s="7">
        <v>1.76982289892135</v>
      </c>
      <c r="M106" s="4">
        <v>6.3</v>
      </c>
      <c r="N106" s="2">
        <v>1.24</v>
      </c>
    </row>
    <row r="107">
      <c r="A107" s="2" t="s">
        <v>132</v>
      </c>
      <c r="B107" s="3" t="str">
        <f>HYPERLINK("https://www.suredividend.com/sure-analysis-research-database/","Amerisafe Inc")</f>
        <v>Amerisafe Inc</v>
      </c>
      <c r="C107" s="2" t="s">
        <v>22</v>
      </c>
      <c r="D107" s="4">
        <v>48.76</v>
      </c>
      <c r="E107" s="5">
        <v>0.024936287846207</v>
      </c>
      <c r="F107" s="5">
        <v>0.0</v>
      </c>
      <c r="G107" s="5">
        <v>0.0471840786061832</v>
      </c>
      <c r="H107" s="4">
        <v>1.21539466962413</v>
      </c>
      <c r="I107" s="4">
        <v>934.918446</v>
      </c>
      <c r="J107" s="6">
        <v>14.6757467429558</v>
      </c>
      <c r="K107" s="5">
        <v>0.367188721940825</v>
      </c>
      <c r="L107" s="7">
        <v>0.507689776010722</v>
      </c>
      <c r="M107" s="4">
        <v>49.25</v>
      </c>
      <c r="N107" s="2">
        <v>40.26</v>
      </c>
    </row>
    <row r="108">
      <c r="A108" s="2" t="s">
        <v>133</v>
      </c>
      <c r="B108" s="3" t="str">
        <f>HYPERLINK("https://www.suredividend.com/sure-analysis-research-database/","American Software Inc.")</f>
        <v>American Software Inc.</v>
      </c>
      <c r="C108" s="2" t="s">
        <v>40</v>
      </c>
      <c r="D108" s="4">
        <v>10.8</v>
      </c>
      <c r="E108" s="5">
        <v>0.037044618301921</v>
      </c>
      <c r="F108" s="5">
        <v>0.0</v>
      </c>
      <c r="G108" s="5">
        <v>0.0</v>
      </c>
      <c r="H108" s="4">
        <v>0.430458464668324</v>
      </c>
      <c r="I108" s="4">
        <v>375.847308</v>
      </c>
      <c r="J108" s="6">
        <v>0.0</v>
      </c>
      <c r="K108" s="5" t="s">
        <v>15</v>
      </c>
      <c r="L108" s="7">
        <v>0.709526299653693</v>
      </c>
      <c r="M108" s="4">
        <v>15.27</v>
      </c>
      <c r="N108" s="2">
        <v>9.38</v>
      </c>
    </row>
    <row r="109">
      <c r="A109" s="2" t="s">
        <v>134</v>
      </c>
      <c r="B109" s="3" t="str">
        <f>HYPERLINK("https://www.suredividend.com/sure-analysis-research-database/","Amerant Bancorp Inc")</f>
        <v>Amerant Bancorp Inc</v>
      </c>
      <c r="C109" s="2" t="s">
        <v>22</v>
      </c>
      <c r="D109" s="4">
        <v>21.79</v>
      </c>
      <c r="E109" s="5">
        <v>0.00374843829972</v>
      </c>
      <c r="F109" s="5" t="s">
        <v>15</v>
      </c>
      <c r="G109" s="5" t="s">
        <v>15</v>
      </c>
      <c r="H109" s="4">
        <v>0.090000003576278</v>
      </c>
      <c r="I109" s="4">
        <v>806.181225</v>
      </c>
      <c r="J109" s="6">
        <v>11.7898949230026</v>
      </c>
      <c r="K109" s="5">
        <v>0.0443349771311714</v>
      </c>
      <c r="L109" s="7">
        <v>1.46245594155392</v>
      </c>
      <c r="M109" s="4">
        <v>29.46</v>
      </c>
      <c r="N109" s="2">
        <v>15.49</v>
      </c>
    </row>
    <row r="110">
      <c r="A110" s="2" t="s">
        <v>135</v>
      </c>
      <c r="B110" s="3" t="str">
        <f>HYPERLINK("https://www.suredividend.com/sure-analysis-research-database/","Aemetis Inc")</f>
        <v>Aemetis Inc</v>
      </c>
      <c r="C110" s="2" t="s">
        <v>125</v>
      </c>
      <c r="D110" s="4">
        <v>3.25</v>
      </c>
      <c r="E110" s="5">
        <v>0.0</v>
      </c>
      <c r="F110" s="5" t="s">
        <v>15</v>
      </c>
      <c r="G110" s="5" t="s">
        <v>15</v>
      </c>
      <c r="H110" s="4">
        <v>0.0</v>
      </c>
      <c r="I110" s="4">
        <v>146.96331</v>
      </c>
      <c r="J110" s="6">
        <v>0.0</v>
      </c>
      <c r="K110" s="5" t="s">
        <v>15</v>
      </c>
      <c r="L110" s="7">
        <v>2.96488548647807</v>
      </c>
      <c r="M110" s="4">
        <v>8.99</v>
      </c>
      <c r="N110" s="2">
        <v>1.16</v>
      </c>
    </row>
    <row r="111">
      <c r="A111" s="2" t="s">
        <v>136</v>
      </c>
      <c r="B111" s="3" t="str">
        <f>HYPERLINK("https://www.suredividend.com/sure-analysis-research-database/","American Woodmark Corp.")</f>
        <v>American Woodmark Corp.</v>
      </c>
      <c r="C111" s="2" t="s">
        <v>25</v>
      </c>
      <c r="D111" s="4">
        <v>91.55</v>
      </c>
      <c r="E111" s="5">
        <v>0.0</v>
      </c>
      <c r="F111" s="5" t="s">
        <v>15</v>
      </c>
      <c r="G111" s="5" t="s">
        <v>15</v>
      </c>
      <c r="H111" s="4">
        <v>0.0</v>
      </c>
      <c r="I111" s="4">
        <v>1545.34436</v>
      </c>
      <c r="J111" s="6">
        <v>13.6683562708296</v>
      </c>
      <c r="K111" s="5">
        <v>0.0</v>
      </c>
      <c r="L111" s="7">
        <v>1.58398259628629</v>
      </c>
      <c r="M111" s="4">
        <v>95.55</v>
      </c>
      <c r="N111" s="2">
        <v>47.98</v>
      </c>
    </row>
    <row r="112">
      <c r="A112" s="2" t="s">
        <v>137</v>
      </c>
      <c r="B112" s="3" t="str">
        <f>HYPERLINK("https://www.suredividend.com/sure-analysis-research-database/","American Well Corporation")</f>
        <v>American Well Corporation</v>
      </c>
      <c r="C112" s="2" t="s">
        <v>15</v>
      </c>
      <c r="D112" s="4">
        <v>1.03</v>
      </c>
      <c r="E112" s="5">
        <v>0.0</v>
      </c>
      <c r="F112" s="5" t="s">
        <v>15</v>
      </c>
      <c r="G112" s="5" t="s">
        <v>15</v>
      </c>
      <c r="H112" s="4">
        <v>0.0</v>
      </c>
      <c r="I112" s="4">
        <v>292.816777</v>
      </c>
      <c r="J112" s="6" t="s">
        <v>15</v>
      </c>
      <c r="K112" s="5">
        <v>0.0</v>
      </c>
      <c r="L112" s="7">
        <v>2.33671816934527</v>
      </c>
      <c r="M112" s="4">
        <v>4.28</v>
      </c>
      <c r="N112" s="2">
        <v>0.9251</v>
      </c>
    </row>
    <row r="113">
      <c r="A113" s="2" t="s">
        <v>138</v>
      </c>
      <c r="B113" s="3" t="str">
        <f>HYPERLINK("https://www.suredividend.com/sure-analysis-research-database/","AnaptysBio Inc")</f>
        <v>AnaptysBio Inc</v>
      </c>
      <c r="C113" s="2" t="s">
        <v>30</v>
      </c>
      <c r="D113" s="4">
        <v>24.07</v>
      </c>
      <c r="E113" s="5">
        <v>0.0</v>
      </c>
      <c r="F113" s="5" t="s">
        <v>15</v>
      </c>
      <c r="G113" s="5" t="s">
        <v>15</v>
      </c>
      <c r="H113" s="4">
        <v>0.0</v>
      </c>
      <c r="I113" s="4">
        <v>633.02074</v>
      </c>
      <c r="J113" s="6" t="s">
        <v>15</v>
      </c>
      <c r="K113" s="5">
        <v>0.0</v>
      </c>
      <c r="L113" s="7">
        <v>0.816807037900355</v>
      </c>
      <c r="M113" s="4">
        <v>27.48</v>
      </c>
      <c r="N113" s="2">
        <v>13.36</v>
      </c>
    </row>
    <row r="114">
      <c r="A114" s="2" t="s">
        <v>139</v>
      </c>
      <c r="B114" s="3" t="str">
        <f>HYPERLINK("https://www.suredividend.com/sure-analysis-ANDE/","Andersons Inc.")</f>
        <v>Andersons Inc.</v>
      </c>
      <c r="C114" s="2" t="s">
        <v>89</v>
      </c>
      <c r="D114" s="4">
        <v>51.26</v>
      </c>
      <c r="E114" s="5">
        <v>0.0148263753413968</v>
      </c>
      <c r="F114" s="5">
        <v>0.0270270270270269</v>
      </c>
      <c r="G114" s="5">
        <v>0.0224943947595515</v>
      </c>
      <c r="H114" s="4">
        <v>0.737328072477397</v>
      </c>
      <c r="I114" s="4">
        <v>1779.08484</v>
      </c>
      <c r="J114" s="6">
        <v>30.1396767620451</v>
      </c>
      <c r="K114" s="5">
        <v>0.426201197963813</v>
      </c>
      <c r="L114" s="7">
        <v>0.962016347749367</v>
      </c>
      <c r="M114" s="4">
        <v>58.58</v>
      </c>
      <c r="N114" s="2">
        <v>34.92</v>
      </c>
    </row>
    <row r="115">
      <c r="A115" s="2" t="s">
        <v>140</v>
      </c>
      <c r="B115" s="3" t="str">
        <f>HYPERLINK("https://www.suredividend.com/sure-analysis-research-database/","Abercrombie &amp; Fitch Co.")</f>
        <v>Abercrombie &amp; Fitch Co.</v>
      </c>
      <c r="C115" s="2" t="s">
        <v>25</v>
      </c>
      <c r="D115" s="4">
        <v>106.45</v>
      </c>
      <c r="E115" s="5">
        <v>0.0</v>
      </c>
      <c r="F115" s="5" t="s">
        <v>15</v>
      </c>
      <c r="G115" s="5" t="s">
        <v>15</v>
      </c>
      <c r="H115" s="4">
        <v>0.0</v>
      </c>
      <c r="I115" s="4">
        <v>5295.603721</v>
      </c>
      <c r="J115" s="6">
        <v>25.4585317033397</v>
      </c>
      <c r="K115" s="5">
        <v>0.0</v>
      </c>
      <c r="L115" s="7">
        <v>1.19316349264831</v>
      </c>
      <c r="M115" s="4">
        <v>105.81</v>
      </c>
      <c r="N115" s="2">
        <v>21.74</v>
      </c>
    </row>
    <row r="116">
      <c r="A116" s="2" t="s">
        <v>141</v>
      </c>
      <c r="B116" s="3" t="str">
        <f>HYPERLINK("https://www.suredividend.com/sure-analysis-research-database/","Angiodynamic Inc")</f>
        <v>Angiodynamic Inc</v>
      </c>
      <c r="C116" s="2" t="s">
        <v>30</v>
      </c>
      <c r="D116" s="4">
        <v>5.86</v>
      </c>
      <c r="E116" s="5">
        <v>0.0</v>
      </c>
      <c r="F116" s="5" t="s">
        <v>15</v>
      </c>
      <c r="G116" s="5" t="s">
        <v>15</v>
      </c>
      <c r="H116" s="4">
        <v>0.0</v>
      </c>
      <c r="I116" s="4">
        <v>245.906528</v>
      </c>
      <c r="J116" s="6" t="s">
        <v>15</v>
      </c>
      <c r="K116" s="5">
        <v>0.0</v>
      </c>
      <c r="L116" s="7">
        <v>1.02604656596199</v>
      </c>
      <c r="M116" s="4">
        <v>13.56</v>
      </c>
      <c r="N116" s="2">
        <v>5.67</v>
      </c>
    </row>
    <row r="117">
      <c r="A117" s="2" t="s">
        <v>142</v>
      </c>
      <c r="B117" s="3" t="str">
        <f>HYPERLINK("https://www.suredividend.com/sure-analysis-research-database/","Anika Therapeutics Inc.")</f>
        <v>Anika Therapeutics Inc.</v>
      </c>
      <c r="C117" s="2" t="s">
        <v>30</v>
      </c>
      <c r="D117" s="4">
        <v>23.42</v>
      </c>
      <c r="E117" s="5">
        <v>0.0</v>
      </c>
      <c r="F117" s="5" t="s">
        <v>15</v>
      </c>
      <c r="G117" s="5" t="s">
        <v>15</v>
      </c>
      <c r="H117" s="4">
        <v>0.0</v>
      </c>
      <c r="I117" s="4">
        <v>367.193421</v>
      </c>
      <c r="J117" s="6" t="s">
        <v>15</v>
      </c>
      <c r="K117" s="5">
        <v>0.0</v>
      </c>
      <c r="L117" s="7">
        <v>0.870960573566084</v>
      </c>
      <c r="M117" s="4">
        <v>32.33</v>
      </c>
      <c r="N117" s="2">
        <v>16.54</v>
      </c>
    </row>
    <row r="118">
      <c r="A118" s="2" t="s">
        <v>143</v>
      </c>
      <c r="B118" s="3" t="str">
        <f>HYPERLINK("https://www.suredividend.com/sure-analysis-research-database/","ANI Pharmaceuticals Inc")</f>
        <v>ANI Pharmaceuticals Inc</v>
      </c>
      <c r="C118" s="2" t="s">
        <v>30</v>
      </c>
      <c r="D118" s="4">
        <v>56.04</v>
      </c>
      <c r="E118" s="5">
        <v>0.0</v>
      </c>
      <c r="F118" s="5" t="s">
        <v>15</v>
      </c>
      <c r="G118" s="5" t="s">
        <v>15</v>
      </c>
      <c r="H118" s="4">
        <v>0.0</v>
      </c>
      <c r="I118" s="4">
        <v>1123.876099</v>
      </c>
      <c r="J118" s="6">
        <v>101.680638619379</v>
      </c>
      <c r="K118" s="5">
        <v>0.0</v>
      </c>
      <c r="L118" s="7">
        <v>0.697362327879737</v>
      </c>
      <c r="M118" s="4">
        <v>65.89</v>
      </c>
      <c r="N118" s="2">
        <v>36.54</v>
      </c>
    </row>
    <row r="119">
      <c r="A119" s="2" t="s">
        <v>144</v>
      </c>
      <c r="B119" s="3" t="str">
        <f>HYPERLINK("https://www.suredividend.com/sure-analysis-research-database/","AN2 Therapeutics Inc")</f>
        <v>AN2 Therapeutics Inc</v>
      </c>
      <c r="C119" s="2" t="s">
        <v>15</v>
      </c>
      <c r="D119" s="4">
        <v>20.99</v>
      </c>
      <c r="E119" s="5">
        <v>0.0</v>
      </c>
      <c r="F119" s="5" t="s">
        <v>15</v>
      </c>
      <c r="G119" s="5" t="s">
        <v>15</v>
      </c>
      <c r="H119" s="4">
        <v>0.0</v>
      </c>
      <c r="I119" s="4">
        <v>594.531486</v>
      </c>
      <c r="J119" s="6">
        <v>0.0</v>
      </c>
      <c r="K119" s="5" t="s">
        <v>15</v>
      </c>
      <c r="L119" s="7">
        <v>0.306486814560099</v>
      </c>
      <c r="M119" s="4">
        <v>22.22</v>
      </c>
      <c r="N119" s="2">
        <v>4.87</v>
      </c>
    </row>
    <row r="120">
      <c r="A120" s="2" t="s">
        <v>145</v>
      </c>
      <c r="B120" s="3" t="str">
        <f>HYPERLINK("https://www.suredividend.com/sure-analysis-research-database/","Angel Oak Mortgage REIT Inc")</f>
        <v>Angel Oak Mortgage REIT Inc</v>
      </c>
      <c r="C120" s="2" t="s">
        <v>15</v>
      </c>
      <c r="D120" s="4">
        <v>10.34</v>
      </c>
      <c r="E120" s="5">
        <v>0.109954588514904</v>
      </c>
      <c r="F120" s="5" t="s">
        <v>15</v>
      </c>
      <c r="G120" s="5" t="s">
        <v>15</v>
      </c>
      <c r="H120" s="4">
        <v>1.21829684074514</v>
      </c>
      <c r="I120" s="4">
        <v>276.615236</v>
      </c>
      <c r="J120" s="6" t="s">
        <v>15</v>
      </c>
      <c r="K120" s="5" t="s">
        <v>15</v>
      </c>
      <c r="L120" s="7">
        <v>1.05572235376068</v>
      </c>
      <c r="M120" s="4">
        <v>11.2</v>
      </c>
      <c r="N120" s="2">
        <v>5.17</v>
      </c>
    </row>
    <row r="121">
      <c r="A121" s="2" t="s">
        <v>146</v>
      </c>
      <c r="B121" s="3" t="str">
        <f>HYPERLINK("https://www.suredividend.com/sure-analysis-research-database/","Artivion Inc")</f>
        <v>Artivion Inc</v>
      </c>
      <c r="C121" s="2" t="s">
        <v>15</v>
      </c>
      <c r="D121" s="4">
        <v>16.72</v>
      </c>
      <c r="E121" s="5">
        <v>0.0</v>
      </c>
      <c r="F121" s="5" t="s">
        <v>15</v>
      </c>
      <c r="G121" s="5" t="s">
        <v>15</v>
      </c>
      <c r="H121" s="4">
        <v>0.0</v>
      </c>
      <c r="I121" s="4">
        <v>707.25</v>
      </c>
      <c r="J121" s="6" t="s">
        <v>15</v>
      </c>
      <c r="K121" s="5">
        <v>0.0</v>
      </c>
      <c r="L121" s="7">
        <v>1.64619099090855</v>
      </c>
      <c r="M121" s="4">
        <v>19.0</v>
      </c>
      <c r="N121" s="2">
        <v>11.44</v>
      </c>
    </row>
    <row r="122">
      <c r="A122" s="2" t="s">
        <v>147</v>
      </c>
      <c r="B122" s="3" t="str">
        <f>HYPERLINK("https://www.suredividend.com/sure-analysis-research-database/","Alpha &amp; Omega Semiconductor Ltd")</f>
        <v>Alpha &amp; Omega Semiconductor Ltd</v>
      </c>
      <c r="C122" s="2" t="s">
        <v>40</v>
      </c>
      <c r="D122" s="4">
        <v>26.07</v>
      </c>
      <c r="E122" s="5">
        <v>0.0</v>
      </c>
      <c r="F122" s="5" t="s">
        <v>15</v>
      </c>
      <c r="G122" s="5" t="s">
        <v>15</v>
      </c>
      <c r="H122" s="4">
        <v>0.0</v>
      </c>
      <c r="I122" s="4">
        <v>766.019244</v>
      </c>
      <c r="J122" s="6" t="s">
        <v>15</v>
      </c>
      <c r="K122" s="5">
        <v>0.0</v>
      </c>
      <c r="L122" s="7">
        <v>1.68153157220224</v>
      </c>
      <c r="M122" s="4">
        <v>38.87</v>
      </c>
      <c r="N122" s="2">
        <v>20.03</v>
      </c>
    </row>
    <row r="123">
      <c r="A123" s="2" t="s">
        <v>148</v>
      </c>
      <c r="B123" s="3" t="str">
        <f>HYPERLINK("https://www.suredividend.com/sure-analysis-APAM/","Artisan Partners Asset Management Inc")</f>
        <v>Artisan Partners Asset Management Inc</v>
      </c>
      <c r="C123" s="2" t="s">
        <v>22</v>
      </c>
      <c r="D123" s="4">
        <v>41.94</v>
      </c>
      <c r="E123" s="5">
        <v>0.0648545541249404</v>
      </c>
      <c r="F123" s="5">
        <v>0.181818181818181</v>
      </c>
      <c r="G123" s="5">
        <v>0.0161373647415956</v>
      </c>
      <c r="H123" s="4">
        <v>2.25656251117864</v>
      </c>
      <c r="I123" s="4">
        <v>2921.330607</v>
      </c>
      <c r="J123" s="6">
        <v>15.2325588781011</v>
      </c>
      <c r="K123" s="5">
        <v>0.744740102699223</v>
      </c>
      <c r="L123" s="7">
        <v>1.44370611211748</v>
      </c>
      <c r="M123" s="4">
        <v>45.92</v>
      </c>
      <c r="N123" s="2">
        <v>27.59</v>
      </c>
    </row>
    <row r="124">
      <c r="A124" s="2" t="s">
        <v>149</v>
      </c>
      <c r="B124" s="3" t="str">
        <f>HYPERLINK("https://www.suredividend.com/sure-analysis-research-database/","American Public Education Inc")</f>
        <v>American Public Education Inc</v>
      </c>
      <c r="C124" s="2" t="s">
        <v>89</v>
      </c>
      <c r="D124" s="4">
        <v>11.15</v>
      </c>
      <c r="E124" s="5">
        <v>0.0</v>
      </c>
      <c r="F124" s="5" t="s">
        <v>15</v>
      </c>
      <c r="G124" s="5" t="s">
        <v>15</v>
      </c>
      <c r="H124" s="4">
        <v>0.0</v>
      </c>
      <c r="I124" s="4">
        <v>189.039827</v>
      </c>
      <c r="J124" s="6" t="s">
        <v>15</v>
      </c>
      <c r="K124" s="5">
        <v>0.0</v>
      </c>
      <c r="L124" s="7">
        <v>1.28954743007343</v>
      </c>
      <c r="M124" s="4">
        <v>13.51</v>
      </c>
      <c r="N124" s="2">
        <v>3.76</v>
      </c>
    </row>
    <row r="125">
      <c r="A125" s="2" t="s">
        <v>150</v>
      </c>
      <c r="B125" s="3" t="str">
        <f>HYPERLINK("https://www.suredividend.com/sure-analysis-research-database/","APi Group Corporation")</f>
        <v>APi Group Corporation</v>
      </c>
      <c r="C125" s="2" t="s">
        <v>15</v>
      </c>
      <c r="D125" s="4">
        <v>33.31</v>
      </c>
      <c r="E125" s="5">
        <v>0.0</v>
      </c>
      <c r="F125" s="5" t="s">
        <v>15</v>
      </c>
      <c r="G125" s="5" t="s">
        <v>15</v>
      </c>
      <c r="H125" s="4">
        <v>0.0</v>
      </c>
      <c r="I125" s="4">
        <v>7615.627966</v>
      </c>
      <c r="J125" s="6">
        <v>71.8455468499999</v>
      </c>
      <c r="K125" s="5">
        <v>0.0</v>
      </c>
      <c r="L125" s="7">
        <v>1.27878607422503</v>
      </c>
      <c r="M125" s="4">
        <v>34.92</v>
      </c>
      <c r="N125" s="2">
        <v>20.05</v>
      </c>
    </row>
    <row r="126">
      <c r="A126" s="2" t="s">
        <v>151</v>
      </c>
      <c r="B126" s="3" t="str">
        <f>HYPERLINK("https://www.suredividend.com/sure-analysis-research-database/","Applied Digital Corporation")</f>
        <v>Applied Digital Corporation</v>
      </c>
      <c r="C126" s="2" t="s">
        <v>17</v>
      </c>
      <c r="D126" s="4">
        <v>4.26</v>
      </c>
      <c r="E126" s="5">
        <v>0.0</v>
      </c>
      <c r="F126" s="5" t="s">
        <v>15</v>
      </c>
      <c r="G126" s="5" t="s">
        <v>15</v>
      </c>
      <c r="H126" s="4">
        <v>0.0</v>
      </c>
      <c r="I126" s="4">
        <v>666.364264</v>
      </c>
      <c r="J126" s="6" t="s">
        <v>15</v>
      </c>
      <c r="K126" s="5">
        <v>0.0</v>
      </c>
      <c r="L126" s="7">
        <v>2.52865446392694</v>
      </c>
      <c r="M126" s="4">
        <v>11.62</v>
      </c>
      <c r="N126" s="2">
        <v>1.74</v>
      </c>
    </row>
    <row r="127">
      <c r="A127" s="2" t="s">
        <v>152</v>
      </c>
      <c r="B127" s="3" t="str">
        <f>HYPERLINK("https://www.suredividend.com/sure-analysis-APLE/","Apple Hospitality REIT Inc")</f>
        <v>Apple Hospitality REIT Inc</v>
      </c>
      <c r="C127" s="2" t="s">
        <v>20</v>
      </c>
      <c r="D127" s="4">
        <v>15.99</v>
      </c>
      <c r="E127" s="5">
        <v>0.0600375234521576</v>
      </c>
      <c r="F127" s="5">
        <v>0.0</v>
      </c>
      <c r="G127" s="5">
        <v>0.0270660870893517</v>
      </c>
      <c r="H127" s="4">
        <v>0.853652038015599</v>
      </c>
      <c r="I127" s="4">
        <v>3802.775697</v>
      </c>
      <c r="J127" s="6">
        <v>23.9114143793858</v>
      </c>
      <c r="K127" s="5">
        <v>1.22933761234965</v>
      </c>
      <c r="L127" s="7">
        <v>1.0949451848687</v>
      </c>
      <c r="M127" s="4">
        <v>17.73</v>
      </c>
      <c r="N127" s="2">
        <v>12.9</v>
      </c>
    </row>
    <row r="128">
      <c r="A128" s="2" t="s">
        <v>153</v>
      </c>
      <c r="B128" s="3" t="str">
        <f>HYPERLINK("https://www.suredividend.com/sure-analysis-research-database/","Apellis Pharmaceuticals Inc")</f>
        <v>Apellis Pharmaceuticals Inc</v>
      </c>
      <c r="C128" s="2" t="s">
        <v>30</v>
      </c>
      <c r="D128" s="4">
        <v>68.16</v>
      </c>
      <c r="E128" s="5">
        <v>0.0</v>
      </c>
      <c r="F128" s="5" t="s">
        <v>15</v>
      </c>
      <c r="G128" s="5" t="s">
        <v>15</v>
      </c>
      <c r="H128" s="4">
        <v>0.0</v>
      </c>
      <c r="I128" s="4">
        <v>7745.156405</v>
      </c>
      <c r="J128" s="6">
        <v>0.0</v>
      </c>
      <c r="K128" s="5" t="s">
        <v>15</v>
      </c>
      <c r="L128" s="7">
        <v>0.913798869106296</v>
      </c>
      <c r="M128" s="4">
        <v>94.75</v>
      </c>
      <c r="N128" s="2">
        <v>19.83</v>
      </c>
    </row>
    <row r="129">
      <c r="A129" s="2" t="s">
        <v>154</v>
      </c>
      <c r="B129" s="3" t="str">
        <f>HYPERLINK("https://www.suredividend.com/sure-analysis-APOG/","Apogee Enterprises Inc.")</f>
        <v>Apogee Enterprises Inc.</v>
      </c>
      <c r="C129" s="2" t="s">
        <v>17</v>
      </c>
      <c r="D129" s="4">
        <v>53.15</v>
      </c>
      <c r="E129" s="5">
        <v>0.0188146754468485</v>
      </c>
      <c r="F129" s="5">
        <v>0.0416666666666667</v>
      </c>
      <c r="G129" s="5">
        <v>0.0739409237857793</v>
      </c>
      <c r="H129" s="4">
        <v>0.956813970356413</v>
      </c>
      <c r="I129" s="4">
        <v>1204.962947</v>
      </c>
      <c r="J129" s="6">
        <v>11.5751635162681</v>
      </c>
      <c r="K129" s="5">
        <v>0.20401150753868</v>
      </c>
      <c r="L129" s="7">
        <v>1.05828934681219</v>
      </c>
      <c r="M129" s="4">
        <v>54.9</v>
      </c>
      <c r="N129" s="2">
        <v>35.69</v>
      </c>
    </row>
    <row r="130">
      <c r="A130" s="2" t="s">
        <v>155</v>
      </c>
      <c r="B130" s="3" t="str">
        <f>HYPERLINK("https://www.suredividend.com/sure-analysis-research-database/","Appfolio Inc")</f>
        <v>Appfolio Inc</v>
      </c>
      <c r="C130" s="2" t="s">
        <v>40</v>
      </c>
      <c r="D130" s="4">
        <v>223.3</v>
      </c>
      <c r="E130" s="5">
        <v>0.0</v>
      </c>
      <c r="F130" s="5" t="s">
        <v>15</v>
      </c>
      <c r="G130" s="5" t="s">
        <v>15</v>
      </c>
      <c r="H130" s="4">
        <v>0.0</v>
      </c>
      <c r="I130" s="4">
        <v>4961.304</v>
      </c>
      <c r="J130" s="6" t="s">
        <v>15</v>
      </c>
      <c r="K130" s="5">
        <v>0.0</v>
      </c>
      <c r="L130" s="7">
        <v>1.46441654479723</v>
      </c>
      <c r="M130" s="4">
        <v>231.02</v>
      </c>
      <c r="N130" s="2">
        <v>110.25</v>
      </c>
    </row>
    <row r="131">
      <c r="A131" s="2" t="s">
        <v>156</v>
      </c>
      <c r="B131" s="3" t="str">
        <f>HYPERLINK("https://www.suredividend.com/sure-analysis-research-database/","AppHarvest Inc")</f>
        <v>AppHarvest Inc</v>
      </c>
      <c r="C131" s="2" t="s">
        <v>15</v>
      </c>
      <c r="D131" s="4">
        <v>0.0666</v>
      </c>
      <c r="E131" s="5">
        <v>0.0</v>
      </c>
      <c r="F131" s="5" t="s">
        <v>15</v>
      </c>
      <c r="G131" s="5" t="s">
        <v>15</v>
      </c>
      <c r="H131" s="4">
        <v>0.0</v>
      </c>
      <c r="I131" s="4">
        <v>0.0</v>
      </c>
      <c r="J131" s="6">
        <v>0.0</v>
      </c>
      <c r="K131" s="5" t="s">
        <v>15</v>
      </c>
      <c r="L131" s="7"/>
      <c r="M131" s="4" t="s">
        <v>49</v>
      </c>
      <c r="N131" s="2" t="s">
        <v>49</v>
      </c>
    </row>
    <row r="132">
      <c r="A132" s="2" t="s">
        <v>157</v>
      </c>
      <c r="B132" s="3" t="str">
        <f>HYPERLINK("https://www.suredividend.com/sure-analysis-research-database/","Appian Corp")</f>
        <v>Appian Corp</v>
      </c>
      <c r="C132" s="2" t="s">
        <v>40</v>
      </c>
      <c r="D132" s="4">
        <v>31.53</v>
      </c>
      <c r="E132" s="5">
        <v>0.0</v>
      </c>
      <c r="F132" s="5" t="s">
        <v>15</v>
      </c>
      <c r="G132" s="5" t="s">
        <v>15</v>
      </c>
      <c r="H132" s="4">
        <v>0.0</v>
      </c>
      <c r="I132" s="4">
        <v>1469.75543</v>
      </c>
      <c r="J132" s="6" t="s">
        <v>15</v>
      </c>
      <c r="K132" s="5">
        <v>0.0</v>
      </c>
      <c r="L132" s="7">
        <v>2.15548424070015</v>
      </c>
      <c r="M132" s="4">
        <v>54.26</v>
      </c>
      <c r="N132" s="2">
        <v>31.59</v>
      </c>
    </row>
    <row r="133">
      <c r="A133" s="2" t="s">
        <v>158</v>
      </c>
      <c r="B133" s="3" t="str">
        <f>HYPERLINK("https://www.suredividend.com/sure-analysis-research-database/","Digital Turbine Inc")</f>
        <v>Digital Turbine Inc</v>
      </c>
      <c r="C133" s="2" t="s">
        <v>40</v>
      </c>
      <c r="D133" s="4">
        <v>5.12</v>
      </c>
      <c r="E133" s="5">
        <v>0.0</v>
      </c>
      <c r="F133" s="5" t="s">
        <v>15</v>
      </c>
      <c r="G133" s="5" t="s">
        <v>15</v>
      </c>
      <c r="H133" s="4">
        <v>0.0</v>
      </c>
      <c r="I133" s="4">
        <v>608.85873</v>
      </c>
      <c r="J133" s="6" t="s">
        <v>15</v>
      </c>
      <c r="K133" s="5">
        <v>0.0</v>
      </c>
      <c r="L133" s="7">
        <v>2.51327075975321</v>
      </c>
      <c r="M133" s="4">
        <v>18.77</v>
      </c>
      <c r="N133" s="2">
        <v>4.1</v>
      </c>
    </row>
    <row r="134">
      <c r="A134" s="2" t="s">
        <v>159</v>
      </c>
      <c r="B134" s="3" t="str">
        <f>HYPERLINK("https://www.suredividend.com/sure-analysis-research-database/","ArcBest Corp")</f>
        <v>ArcBest Corp</v>
      </c>
      <c r="C134" s="2" t="s">
        <v>17</v>
      </c>
      <c r="D134" s="4">
        <v>128.07</v>
      </c>
      <c r="E134" s="5">
        <v>0.003879916425626</v>
      </c>
      <c r="F134" s="5">
        <v>0.0</v>
      </c>
      <c r="G134" s="5">
        <v>0.0844717711976985</v>
      </c>
      <c r="H134" s="4">
        <v>0.478432494444016</v>
      </c>
      <c r="I134" s="4">
        <v>2922.447</v>
      </c>
      <c r="J134" s="6">
        <v>15.8845907163822</v>
      </c>
      <c r="K134" s="5">
        <v>0.0646530397897318</v>
      </c>
      <c r="L134" s="7">
        <v>1.446242320202</v>
      </c>
      <c r="M134" s="4">
        <v>125.48</v>
      </c>
      <c r="N134" s="2">
        <v>77.74</v>
      </c>
    </row>
    <row r="135">
      <c r="A135" s="2" t="s">
        <v>160</v>
      </c>
      <c r="B135" s="3" t="str">
        <f>HYPERLINK("https://www.suredividend.com/sure-analysis-research-database/","Arch Resources Inc")</f>
        <v>Arch Resources Inc</v>
      </c>
      <c r="C135" s="2" t="s">
        <v>125</v>
      </c>
      <c r="D135" s="4">
        <v>170.85</v>
      </c>
      <c r="E135" s="5">
        <v>0.059572211984981</v>
      </c>
      <c r="F135" s="5">
        <v>0.0</v>
      </c>
      <c r="G135" s="5">
        <v>-0.1109104638678</v>
      </c>
      <c r="H135" s="4">
        <v>10.642575671117</v>
      </c>
      <c r="I135" s="4">
        <v>3281.62185</v>
      </c>
      <c r="J135" s="6">
        <v>4.00381376094404</v>
      </c>
      <c r="K135" s="5">
        <v>0.253394658836119</v>
      </c>
      <c r="L135" s="7">
        <v>0.638595933124239</v>
      </c>
      <c r="M135" s="4">
        <v>187.45</v>
      </c>
      <c r="N135" s="2">
        <v>102.23</v>
      </c>
    </row>
    <row r="136">
      <c r="A136" s="2" t="s">
        <v>161</v>
      </c>
      <c r="B136" s="3" t="str">
        <f>HYPERLINK("https://www.suredividend.com/sure-analysis-research-database/","Arcturus Therapeutics Holdings Inc")</f>
        <v>Arcturus Therapeutics Holdings Inc</v>
      </c>
      <c r="C136" s="2" t="s">
        <v>30</v>
      </c>
      <c r="D136" s="4">
        <v>35.07</v>
      </c>
      <c r="E136" s="5">
        <v>0.0</v>
      </c>
      <c r="F136" s="5" t="s">
        <v>15</v>
      </c>
      <c r="G136" s="5" t="s">
        <v>15</v>
      </c>
      <c r="H136" s="4">
        <v>0.0</v>
      </c>
      <c r="I136" s="4">
        <v>898.705655</v>
      </c>
      <c r="J136" s="6">
        <v>9.04776706863051</v>
      </c>
      <c r="K136" s="5">
        <v>0.0</v>
      </c>
      <c r="L136" s="7">
        <v>2.09158875744541</v>
      </c>
      <c r="M136" s="4">
        <v>37.75</v>
      </c>
      <c r="N136" s="2">
        <v>14.21</v>
      </c>
    </row>
    <row r="137">
      <c r="A137" s="2" t="s">
        <v>162</v>
      </c>
      <c r="B137" s="3" t="str">
        <f>HYPERLINK("https://www.suredividend.com/sure-analysis-research-database/","Arena Group Holdings Inc (The)")</f>
        <v>Arena Group Holdings Inc (The)</v>
      </c>
      <c r="C137" s="2" t="s">
        <v>15</v>
      </c>
      <c r="D137" s="4">
        <v>1.16</v>
      </c>
      <c r="E137" s="5">
        <v>0.0</v>
      </c>
      <c r="F137" s="5" t="s">
        <v>15</v>
      </c>
      <c r="G137" s="5" t="s">
        <v>15</v>
      </c>
      <c r="H137" s="4">
        <v>0.0</v>
      </c>
      <c r="I137" s="4">
        <v>27.886822</v>
      </c>
      <c r="J137" s="6">
        <v>0.0</v>
      </c>
      <c r="K137" s="5" t="s">
        <v>15</v>
      </c>
      <c r="L137" s="7">
        <v>0.299899457280872</v>
      </c>
      <c r="M137" s="4">
        <v>11.18</v>
      </c>
      <c r="N137" s="2">
        <v>0.7703</v>
      </c>
    </row>
    <row r="138">
      <c r="A138" s="2" t="s">
        <v>163</v>
      </c>
      <c r="B138" s="3" t="str">
        <f>HYPERLINK("https://www.suredividend.com/sure-analysis-research-database/","Argo Group International Holdings Ltd")</f>
        <v>Argo Group International Holdings Ltd</v>
      </c>
      <c r="C138" s="2" t="s">
        <v>22</v>
      </c>
      <c r="D138" s="4">
        <v>29.99</v>
      </c>
      <c r="E138" s="5">
        <v>0.010336779005808</v>
      </c>
      <c r="F138" s="5" t="s">
        <v>15</v>
      </c>
      <c r="G138" s="5" t="s">
        <v>15</v>
      </c>
      <c r="H138" s="4">
        <v>0.310000002384185</v>
      </c>
      <c r="I138" s="4">
        <v>1056.113355</v>
      </c>
      <c r="J138" s="6" t="s">
        <v>15</v>
      </c>
      <c r="K138" s="5" t="s">
        <v>15</v>
      </c>
      <c r="L138" s="7"/>
      <c r="M138" s="4">
        <v>30.13</v>
      </c>
      <c r="N138" s="2">
        <v>24.35</v>
      </c>
    </row>
    <row r="139">
      <c r="A139" s="2" t="s">
        <v>164</v>
      </c>
      <c r="B139" s="3" t="str">
        <f>HYPERLINK("https://www.suredividend.com/sure-analysis-ARI/","Apollo Commercial Real Estate Finance Inc")</f>
        <v>Apollo Commercial Real Estate Finance Inc</v>
      </c>
      <c r="C139" s="2" t="s">
        <v>20</v>
      </c>
      <c r="D139" s="4">
        <v>11.0</v>
      </c>
      <c r="E139" s="5">
        <v>0.127272727272727</v>
      </c>
      <c r="F139" s="5">
        <v>0.0</v>
      </c>
      <c r="G139" s="5">
        <v>-0.053191730288527</v>
      </c>
      <c r="H139" s="4">
        <v>1.33770351946737</v>
      </c>
      <c r="I139" s="4">
        <v>1683.580986</v>
      </c>
      <c r="J139" s="6" t="s">
        <v>15</v>
      </c>
      <c r="K139" s="5" t="s">
        <v>15</v>
      </c>
      <c r="L139" s="7">
        <v>1.68689162431062</v>
      </c>
      <c r="M139" s="4">
        <v>12.39</v>
      </c>
      <c r="N139" s="2">
        <v>7.63</v>
      </c>
    </row>
    <row r="140">
      <c r="A140" s="2" t="s">
        <v>165</v>
      </c>
      <c r="B140" s="3" t="str">
        <f>HYPERLINK("https://www.suredividend.com/sure-analysis-research-database/","Aris Water Solutions Inc")</f>
        <v>Aris Water Solutions Inc</v>
      </c>
      <c r="C140" s="2" t="s">
        <v>15</v>
      </c>
      <c r="D140" s="4">
        <v>8.5</v>
      </c>
      <c r="E140" s="5">
        <v>0.040413102534141</v>
      </c>
      <c r="F140" s="5" t="s">
        <v>15</v>
      </c>
      <c r="G140" s="5" t="s">
        <v>15</v>
      </c>
      <c r="H140" s="4">
        <v>0.354422909224422</v>
      </c>
      <c r="I140" s="4">
        <v>264.406107</v>
      </c>
      <c r="J140" s="6">
        <v>17.2611377027027</v>
      </c>
      <c r="K140" s="5">
        <v>0.683159038597575</v>
      </c>
      <c r="L140" s="7">
        <v>1.48271138320617</v>
      </c>
      <c r="M140" s="4">
        <v>15.12</v>
      </c>
      <c r="N140" s="2">
        <v>6.49</v>
      </c>
    </row>
    <row r="141">
      <c r="A141" s="2" t="s">
        <v>166</v>
      </c>
      <c r="B141" s="3" t="str">
        <f>HYPERLINK("https://www.suredividend.com/sure-analysis-research-database/","ARKO Corp")</f>
        <v>ARKO Corp</v>
      </c>
      <c r="C141" s="2" t="s">
        <v>15</v>
      </c>
      <c r="D141" s="4">
        <v>7.77</v>
      </c>
      <c r="E141" s="5">
        <v>0.014913410382116</v>
      </c>
      <c r="F141" s="5" t="s">
        <v>15</v>
      </c>
      <c r="G141" s="5" t="s">
        <v>15</v>
      </c>
      <c r="H141" s="4">
        <v>0.118710746641648</v>
      </c>
      <c r="I141" s="4">
        <v>929.801248</v>
      </c>
      <c r="J141" s="6">
        <v>0.0</v>
      </c>
      <c r="K141" s="5" t="s">
        <v>15</v>
      </c>
      <c r="L141" s="7">
        <v>0.725146846257009</v>
      </c>
      <c r="M141" s="4">
        <v>8.92</v>
      </c>
      <c r="N141" s="2">
        <v>6.57</v>
      </c>
    </row>
    <row r="142">
      <c r="A142" s="2" t="s">
        <v>167</v>
      </c>
      <c r="B142" s="3" t="str">
        <f>HYPERLINK("https://www.suredividend.com/sure-analysis-research-database/","American Realty Investors Inc.")</f>
        <v>American Realty Investors Inc.</v>
      </c>
      <c r="C142" s="2" t="s">
        <v>20</v>
      </c>
      <c r="D142" s="4">
        <v>21.69</v>
      </c>
      <c r="E142" s="5">
        <v>0.0</v>
      </c>
      <c r="F142" s="5" t="s">
        <v>15</v>
      </c>
      <c r="G142" s="5" t="s">
        <v>15</v>
      </c>
      <c r="H142" s="4">
        <v>0.0</v>
      </c>
      <c r="I142" s="4">
        <v>357.444712</v>
      </c>
      <c r="J142" s="6">
        <v>7.21746010277637</v>
      </c>
      <c r="K142" s="5">
        <v>0.0</v>
      </c>
      <c r="L142" s="7">
        <v>0.281831314616428</v>
      </c>
      <c r="M142" s="4">
        <v>31.59</v>
      </c>
      <c r="N142" s="2">
        <v>11.69</v>
      </c>
    </row>
    <row r="143">
      <c r="A143" s="2" t="s">
        <v>168</v>
      </c>
      <c r="B143" s="3" t="str">
        <f>HYPERLINK("https://www.suredividend.com/sure-analysis-research-database/","Arlo Technologies Inc")</f>
        <v>Arlo Technologies Inc</v>
      </c>
      <c r="C143" s="2" t="s">
        <v>17</v>
      </c>
      <c r="D143" s="4">
        <v>8.58</v>
      </c>
      <c r="E143" s="5">
        <v>0.0</v>
      </c>
      <c r="F143" s="5" t="s">
        <v>15</v>
      </c>
      <c r="G143" s="5" t="s">
        <v>15</v>
      </c>
      <c r="H143" s="4">
        <v>0.0</v>
      </c>
      <c r="I143" s="4">
        <v>859.227752</v>
      </c>
      <c r="J143" s="6" t="s">
        <v>15</v>
      </c>
      <c r="K143" s="5">
        <v>0.0</v>
      </c>
      <c r="L143" s="7">
        <v>1.73379161598455</v>
      </c>
      <c r="M143" s="4">
        <v>11.54</v>
      </c>
      <c r="N143" s="2">
        <v>3.37</v>
      </c>
    </row>
    <row r="144">
      <c r="A144" s="2" t="s">
        <v>169</v>
      </c>
      <c r="B144" s="3" t="str">
        <f>HYPERLINK("https://www.suredividend.com/sure-analysis-research-database/","Arconic Corporation")</f>
        <v>Arconic Corporation</v>
      </c>
      <c r="C144" s="2" t="s">
        <v>17</v>
      </c>
      <c r="D144" s="4">
        <v>29.99</v>
      </c>
      <c r="E144" s="5">
        <v>0.0</v>
      </c>
      <c r="F144" s="5" t="s">
        <v>15</v>
      </c>
      <c r="G144" s="5" t="s">
        <v>15</v>
      </c>
      <c r="H144" s="4">
        <v>0.0</v>
      </c>
      <c r="I144" s="4">
        <v>3009.390455</v>
      </c>
      <c r="J144" s="6" t="s">
        <v>15</v>
      </c>
      <c r="K144" s="5">
        <v>0.0</v>
      </c>
      <c r="L144" s="7">
        <v>1.23776542656898</v>
      </c>
      <c r="M144" s="4">
        <v>30.02</v>
      </c>
      <c r="N144" s="2">
        <v>16.33</v>
      </c>
    </row>
    <row r="145">
      <c r="A145" s="2" t="s">
        <v>170</v>
      </c>
      <c r="B145" s="3" t="str">
        <f>HYPERLINK("https://www.suredividend.com/sure-analysis-research-database/","Archrock Inc")</f>
        <v>Archrock Inc</v>
      </c>
      <c r="C145" s="2" t="s">
        <v>125</v>
      </c>
      <c r="D145" s="4">
        <v>15.83</v>
      </c>
      <c r="E145" s="5">
        <v>0.03614323412931</v>
      </c>
      <c r="F145" s="5">
        <v>0.1</v>
      </c>
      <c r="G145" s="5">
        <v>0.0456395525912731</v>
      </c>
      <c r="H145" s="4">
        <v>0.599254821863974</v>
      </c>
      <c r="I145" s="4">
        <v>2587.441491</v>
      </c>
      <c r="J145" s="6">
        <v>31.9338659769207</v>
      </c>
      <c r="K145" s="5">
        <v>1.14100308808829</v>
      </c>
      <c r="L145" s="7">
        <v>0.966617490843492</v>
      </c>
      <c r="M145" s="4">
        <v>16.83</v>
      </c>
      <c r="N145" s="2">
        <v>8.45</v>
      </c>
    </row>
    <row r="146">
      <c r="A146" s="2" t="s">
        <v>171</v>
      </c>
      <c r="B146" s="3" t="str">
        <f>HYPERLINK("https://www.suredividend.com/sure-analysis-AROW/","Arrow Financial Corp.")</f>
        <v>Arrow Financial Corp.</v>
      </c>
      <c r="C146" s="2" t="s">
        <v>22</v>
      </c>
      <c r="D146" s="4">
        <v>23.77</v>
      </c>
      <c r="E146" s="5">
        <v>0.045435422801851</v>
      </c>
      <c r="F146" s="5">
        <v>0.0</v>
      </c>
      <c r="G146" s="5">
        <v>0.00757662405217418</v>
      </c>
      <c r="H146" s="4">
        <v>1.02449102634467</v>
      </c>
      <c r="I146" s="4">
        <v>464.414893</v>
      </c>
      <c r="J146" s="6">
        <v>13.4851445506547</v>
      </c>
      <c r="K146" s="5">
        <v>0.497325740944018</v>
      </c>
      <c r="L146" s="7">
        <v>1.04508577339983</v>
      </c>
      <c r="M146" s="4">
        <v>29.85</v>
      </c>
      <c r="N146" s="2">
        <v>15.79</v>
      </c>
    </row>
    <row r="147">
      <c r="A147" s="2" t="s">
        <v>172</v>
      </c>
      <c r="B147" s="3" t="str">
        <f>HYPERLINK("https://www.suredividend.com/sure-analysis-research-database/","Arcutis Biotherapeutics Inc")</f>
        <v>Arcutis Biotherapeutics Inc</v>
      </c>
      <c r="C147" s="2" t="s">
        <v>30</v>
      </c>
      <c r="D147" s="4">
        <v>6.02</v>
      </c>
      <c r="E147" s="5">
        <v>0.0</v>
      </c>
      <c r="F147" s="5" t="s">
        <v>15</v>
      </c>
      <c r="G147" s="5" t="s">
        <v>15</v>
      </c>
      <c r="H147" s="4">
        <v>0.0</v>
      </c>
      <c r="I147" s="4">
        <v>571.955368</v>
      </c>
      <c r="J147" s="6" t="s">
        <v>15</v>
      </c>
      <c r="K147" s="5">
        <v>0.0</v>
      </c>
      <c r="L147" s="7">
        <v>1.77923292822402</v>
      </c>
      <c r="M147" s="4">
        <v>17.57</v>
      </c>
      <c r="N147" s="2">
        <v>1.76</v>
      </c>
    </row>
    <row r="148">
      <c r="A148" s="2" t="s">
        <v>173</v>
      </c>
      <c r="B148" s="3" t="str">
        <f>HYPERLINK("https://www.suredividend.com/sure-analysis-ARR/","ARMOUR Residential REIT Inc")</f>
        <v>ARMOUR Residential REIT Inc</v>
      </c>
      <c r="C148" s="2" t="s">
        <v>20</v>
      </c>
      <c r="D148" s="4">
        <v>18.8</v>
      </c>
      <c r="E148" s="5">
        <v>0.153191489361702</v>
      </c>
      <c r="F148" s="5">
        <v>2.0</v>
      </c>
      <c r="G148" s="5">
        <v>0.191357898167091</v>
      </c>
      <c r="H148" s="4">
        <v>4.28455184674957</v>
      </c>
      <c r="I148" s="4">
        <v>993.626388</v>
      </c>
      <c r="J148" s="6" t="s">
        <v>15</v>
      </c>
      <c r="K148" s="5" t="s">
        <v>15</v>
      </c>
      <c r="L148" s="7">
        <v>1.363061748034</v>
      </c>
      <c r="M148" s="4">
        <v>27.2</v>
      </c>
      <c r="N148" s="2">
        <v>12.58</v>
      </c>
    </row>
    <row r="149">
      <c r="A149" s="2" t="s">
        <v>174</v>
      </c>
      <c r="B149" s="3" t="str">
        <f>HYPERLINK("https://www.suredividend.com/sure-analysis-research-database/","Array Technologies Inc")</f>
        <v>Array Technologies Inc</v>
      </c>
      <c r="C149" s="2" t="s">
        <v>15</v>
      </c>
      <c r="D149" s="4">
        <v>13.06</v>
      </c>
      <c r="E149" s="5">
        <v>0.0</v>
      </c>
      <c r="F149" s="5" t="s">
        <v>15</v>
      </c>
      <c r="G149" s="5" t="s">
        <v>15</v>
      </c>
      <c r="H149" s="4">
        <v>0.0</v>
      </c>
      <c r="I149" s="4">
        <v>2053.519798</v>
      </c>
      <c r="J149" s="6">
        <v>37.5579742190357</v>
      </c>
      <c r="K149" s="5">
        <v>0.0</v>
      </c>
      <c r="L149" s="7">
        <v>1.84999221320362</v>
      </c>
      <c r="M149" s="4">
        <v>26.64</v>
      </c>
      <c r="N149" s="2">
        <v>12.52</v>
      </c>
    </row>
    <row r="150">
      <c r="A150" s="2" t="s">
        <v>175</v>
      </c>
      <c r="B150" s="3" t="str">
        <f>HYPERLINK("https://www.suredividend.com/sure-analysis-ARTNA/","Artesian Resources Corp.")</f>
        <v>Artesian Resources Corp.</v>
      </c>
      <c r="C150" s="2" t="s">
        <v>91</v>
      </c>
      <c r="D150" s="4">
        <v>35.57</v>
      </c>
      <c r="E150" s="5">
        <v>0.0326117514759628</v>
      </c>
      <c r="F150" s="5">
        <v>0.0405890804597699</v>
      </c>
      <c r="G150" s="5">
        <v>0.0333275139136153</v>
      </c>
      <c r="H150" s="4">
        <v>1.11993171990223</v>
      </c>
      <c r="I150" s="4">
        <v>350.82965</v>
      </c>
      <c r="J150" s="6">
        <v>22.5701010229027</v>
      </c>
      <c r="K150" s="5">
        <v>0.708817544241917</v>
      </c>
      <c r="L150" s="7">
        <v>0.640577177652821</v>
      </c>
      <c r="M150" s="4">
        <v>60.19</v>
      </c>
      <c r="N150" s="2">
        <v>35.81</v>
      </c>
    </row>
    <row r="151">
      <c r="A151" s="2" t="s">
        <v>176</v>
      </c>
      <c r="B151" s="3" t="str">
        <f>HYPERLINK("https://www.suredividend.com/sure-analysis-research-database/","Arvinas Inc")</f>
        <v>Arvinas Inc</v>
      </c>
      <c r="C151" s="2" t="s">
        <v>30</v>
      </c>
      <c r="D151" s="4">
        <v>46.3</v>
      </c>
      <c r="E151" s="5">
        <v>0.0</v>
      </c>
      <c r="F151" s="5" t="s">
        <v>15</v>
      </c>
      <c r="G151" s="5" t="s">
        <v>15</v>
      </c>
      <c r="H151" s="4">
        <v>0.0</v>
      </c>
      <c r="I151" s="4">
        <v>2175.708428</v>
      </c>
      <c r="J151" s="6" t="s">
        <v>15</v>
      </c>
      <c r="K151" s="5">
        <v>0.0</v>
      </c>
      <c r="L151" s="7">
        <v>1.97408634522381</v>
      </c>
      <c r="M151" s="4">
        <v>42.84</v>
      </c>
      <c r="N151" s="2">
        <v>13.57</v>
      </c>
    </row>
    <row r="152">
      <c r="A152" s="2" t="s">
        <v>177</v>
      </c>
      <c r="B152" s="3" t="str">
        <f>HYPERLINK("https://www.suredividend.com/sure-analysis-research-database/","Arrowhead Pharmaceuticals Inc.")</f>
        <v>Arrowhead Pharmaceuticals Inc.</v>
      </c>
      <c r="C152" s="2" t="s">
        <v>30</v>
      </c>
      <c r="D152" s="4">
        <v>32.02</v>
      </c>
      <c r="E152" s="5">
        <v>0.0</v>
      </c>
      <c r="F152" s="5" t="s">
        <v>15</v>
      </c>
      <c r="G152" s="5" t="s">
        <v>15</v>
      </c>
      <c r="H152" s="4">
        <v>0.0</v>
      </c>
      <c r="I152" s="4">
        <v>3695.668024</v>
      </c>
      <c r="J152" s="6" t="s">
        <v>15</v>
      </c>
      <c r="K152" s="5">
        <v>0.0</v>
      </c>
      <c r="L152" s="7">
        <v>1.07873074618584</v>
      </c>
      <c r="M152" s="4">
        <v>42.48</v>
      </c>
      <c r="N152" s="2">
        <v>20.67</v>
      </c>
    </row>
    <row r="153">
      <c r="A153" s="2" t="s">
        <v>178</v>
      </c>
      <c r="B153" s="3" t="str">
        <f>HYPERLINK("https://www.suredividend.com/sure-analysis-research-database/","Asana Inc")</f>
        <v>Asana Inc</v>
      </c>
      <c r="C153" s="2" t="s">
        <v>15</v>
      </c>
      <c r="D153" s="4">
        <v>17.32</v>
      </c>
      <c r="E153" s="5">
        <v>0.0</v>
      </c>
      <c r="F153" s="5" t="s">
        <v>15</v>
      </c>
      <c r="G153" s="5" t="s">
        <v>15</v>
      </c>
      <c r="H153" s="4">
        <v>0.0</v>
      </c>
      <c r="I153" s="4">
        <v>4074.623517</v>
      </c>
      <c r="J153" s="6" t="s">
        <v>15</v>
      </c>
      <c r="K153" s="5">
        <v>0.0</v>
      </c>
      <c r="L153" s="7">
        <v>2.31734943231531</v>
      </c>
      <c r="M153" s="4">
        <v>26.27</v>
      </c>
      <c r="N153" s="2">
        <v>14.3</v>
      </c>
    </row>
    <row r="154">
      <c r="A154" s="2" t="s">
        <v>179</v>
      </c>
      <c r="B154" s="3" t="str">
        <f>HYPERLINK("https://www.suredividend.com/sure-analysis-ASB/","Associated Banc-Corp.")</f>
        <v>Associated Banc-Corp.</v>
      </c>
      <c r="C154" s="2" t="s">
        <v>22</v>
      </c>
      <c r="D154" s="4">
        <v>19.97</v>
      </c>
      <c r="E154" s="5">
        <v>0.044066099148723</v>
      </c>
      <c r="F154" s="5">
        <v>0.0476190476190476</v>
      </c>
      <c r="G154" s="5">
        <v>0.0529184890651104</v>
      </c>
      <c r="H154" s="4">
        <v>0.834341222779057</v>
      </c>
      <c r="I154" s="4">
        <v>3320.673664</v>
      </c>
      <c r="J154" s="6">
        <v>9.00370287300847</v>
      </c>
      <c r="K154" s="5">
        <v>0.341943124089777</v>
      </c>
      <c r="L154" s="7">
        <v>1.60646323280857</v>
      </c>
      <c r="M154" s="4">
        <v>23.09</v>
      </c>
      <c r="N154" s="2">
        <v>13.92</v>
      </c>
    </row>
    <row r="155">
      <c r="A155" s="2" t="s">
        <v>180</v>
      </c>
      <c r="B155" s="3" t="str">
        <f>HYPERLINK("https://www.suredividend.com/sure-analysis-research-database/","Ardmore Shipping Corp")</f>
        <v>Ardmore Shipping Corp</v>
      </c>
      <c r="C155" s="2" t="s">
        <v>125</v>
      </c>
      <c r="D155" s="4">
        <v>16.29</v>
      </c>
      <c r="E155" s="5">
        <v>0.067890683371138</v>
      </c>
      <c r="F155" s="5" t="s">
        <v>15</v>
      </c>
      <c r="G155" s="5" t="s">
        <v>15</v>
      </c>
      <c r="H155" s="4">
        <v>1.11476502095409</v>
      </c>
      <c r="I155" s="4">
        <v>700.313</v>
      </c>
      <c r="J155" s="6">
        <v>0.0</v>
      </c>
      <c r="K155" s="5" t="s">
        <v>15</v>
      </c>
      <c r="L155" s="7">
        <v>0.766671042250456</v>
      </c>
      <c r="M155" s="4">
        <v>18.38</v>
      </c>
      <c r="N155" s="2">
        <v>11.28</v>
      </c>
    </row>
    <row r="156">
      <c r="A156" s="2" t="s">
        <v>181</v>
      </c>
      <c r="B156" s="3" t="str">
        <f>HYPERLINK("https://www.suredividend.com/sure-analysis-research-database/","ASGN Inc")</f>
        <v>ASGN Inc</v>
      </c>
      <c r="C156" s="2" t="s">
        <v>17</v>
      </c>
      <c r="D156" s="4">
        <v>93.48</v>
      </c>
      <c r="E156" s="5">
        <v>0.0</v>
      </c>
      <c r="F156" s="5" t="s">
        <v>15</v>
      </c>
      <c r="G156" s="5" t="s">
        <v>15</v>
      </c>
      <c r="H156" s="4">
        <v>0.0</v>
      </c>
      <c r="I156" s="4">
        <v>4536.392</v>
      </c>
      <c r="J156" s="6">
        <v>20.1976491540516</v>
      </c>
      <c r="K156" s="5">
        <v>0.0</v>
      </c>
      <c r="L156" s="7">
        <v>1.25533147616341</v>
      </c>
      <c r="M156" s="4">
        <v>97.8</v>
      </c>
      <c r="N156" s="2">
        <v>63.27</v>
      </c>
    </row>
    <row r="157">
      <c r="A157" s="2" t="s">
        <v>182</v>
      </c>
      <c r="B157" s="3" t="str">
        <f>HYPERLINK("https://www.suredividend.com/sure-analysis-research-database/","AdvanSix Inc")</f>
        <v>AdvanSix Inc</v>
      </c>
      <c r="C157" s="2" t="s">
        <v>130</v>
      </c>
      <c r="D157" s="4">
        <v>25.15</v>
      </c>
      <c r="E157" s="5">
        <v>0.022960183244056</v>
      </c>
      <c r="F157" s="5" t="s">
        <v>15</v>
      </c>
      <c r="G157" s="5" t="s">
        <v>15</v>
      </c>
      <c r="H157" s="4">
        <v>0.605230430313342</v>
      </c>
      <c r="I157" s="4">
        <v>710.499005</v>
      </c>
      <c r="J157" s="6">
        <v>7.61284279055813</v>
      </c>
      <c r="K157" s="5">
        <v>0.182298322383536</v>
      </c>
      <c r="L157" s="7">
        <v>1.11041311100024</v>
      </c>
      <c r="M157" s="4">
        <v>43.75</v>
      </c>
      <c r="N157" s="2">
        <v>23.77</v>
      </c>
    </row>
    <row r="158">
      <c r="A158" s="2" t="s">
        <v>183</v>
      </c>
      <c r="B158" s="3" t="str">
        <f>HYPERLINK("https://www.suredividend.com/sure-analysis-research-database/","AerSale Corp")</f>
        <v>AerSale Corp</v>
      </c>
      <c r="C158" s="2" t="s">
        <v>15</v>
      </c>
      <c r="D158" s="4">
        <v>8.58</v>
      </c>
      <c r="E158" s="5">
        <v>0.0</v>
      </c>
      <c r="F158" s="5" t="s">
        <v>15</v>
      </c>
      <c r="G158" s="5" t="s">
        <v>15</v>
      </c>
      <c r="H158" s="4">
        <v>0.0</v>
      </c>
      <c r="I158" s="4">
        <v>536.428376</v>
      </c>
      <c r="J158" s="6">
        <v>84.3175693021062</v>
      </c>
      <c r="K158" s="5">
        <v>0.0</v>
      </c>
      <c r="L158" s="7">
        <v>1.43066859923707</v>
      </c>
      <c r="M158" s="4">
        <v>20.81</v>
      </c>
      <c r="N158" s="2">
        <v>9.48</v>
      </c>
    </row>
    <row r="159">
      <c r="A159" s="2" t="s">
        <v>184</v>
      </c>
      <c r="B159" s="3" t="str">
        <f>HYPERLINK("https://www.suredividend.com/sure-analysis-research-database/","Academy Sports and Outdoors Inc")</f>
        <v>Academy Sports and Outdoors Inc</v>
      </c>
      <c r="C159" s="2" t="s">
        <v>15</v>
      </c>
      <c r="D159" s="4">
        <v>62.8</v>
      </c>
      <c r="E159" s="5">
        <v>0.005469879329756</v>
      </c>
      <c r="F159" s="5" t="s">
        <v>15</v>
      </c>
      <c r="G159" s="5" t="s">
        <v>15</v>
      </c>
      <c r="H159" s="4">
        <v>0.358331794892318</v>
      </c>
      <c r="I159" s="4">
        <v>4857.657166</v>
      </c>
      <c r="J159" s="6">
        <v>9.54960950750576</v>
      </c>
      <c r="K159" s="5">
        <v>0.055298116495728</v>
      </c>
      <c r="L159" s="7">
        <v>1.11607427731272</v>
      </c>
      <c r="M159" s="4">
        <v>68.5</v>
      </c>
      <c r="N159" s="2">
        <v>42.69</v>
      </c>
    </row>
    <row r="160">
      <c r="A160" s="2" t="s">
        <v>185</v>
      </c>
      <c r="B160" s="3" t="str">
        <f>HYPERLINK("https://www.suredividend.com/sure-analysis-research-database/","Aspen Aerogels Inc.")</f>
        <v>Aspen Aerogels Inc.</v>
      </c>
      <c r="C160" s="2" t="s">
        <v>17</v>
      </c>
      <c r="D160" s="4">
        <v>10.91</v>
      </c>
      <c r="E160" s="5">
        <v>0.0</v>
      </c>
      <c r="F160" s="5" t="s">
        <v>15</v>
      </c>
      <c r="G160" s="5" t="s">
        <v>15</v>
      </c>
      <c r="H160" s="4">
        <v>0.0</v>
      </c>
      <c r="I160" s="4">
        <v>847.298528</v>
      </c>
      <c r="J160" s="6" t="s">
        <v>15</v>
      </c>
      <c r="K160" s="5">
        <v>0.0</v>
      </c>
      <c r="L160" s="7">
        <v>2.62411489541478</v>
      </c>
      <c r="M160" s="4">
        <v>17.32</v>
      </c>
      <c r="N160" s="2">
        <v>5.33</v>
      </c>
    </row>
    <row r="161">
      <c r="A161" s="2" t="s">
        <v>186</v>
      </c>
      <c r="B161" s="3" t="str">
        <f>HYPERLINK("https://www.suredividend.com/sure-analysis-research-database/","Astec Industries Inc.")</f>
        <v>Astec Industries Inc.</v>
      </c>
      <c r="C161" s="2" t="s">
        <v>17</v>
      </c>
      <c r="D161" s="4">
        <v>35.1</v>
      </c>
      <c r="E161" s="5">
        <v>0.014192798143555</v>
      </c>
      <c r="F161" s="5">
        <v>0.0</v>
      </c>
      <c r="G161" s="5">
        <v>0.0339752265319501</v>
      </c>
      <c r="H161" s="4">
        <v>0.51505664462962</v>
      </c>
      <c r="I161" s="4">
        <v>825.209052</v>
      </c>
      <c r="J161" s="6">
        <v>46.8868779454545</v>
      </c>
      <c r="K161" s="5">
        <v>0.663989486437566</v>
      </c>
      <c r="L161" s="7">
        <v>1.24683421829209</v>
      </c>
      <c r="M161" s="4">
        <v>55.86</v>
      </c>
      <c r="N161" s="2">
        <v>28.73</v>
      </c>
    </row>
    <row r="162">
      <c r="A162" s="2" t="s">
        <v>187</v>
      </c>
      <c r="B162" s="3" t="str">
        <f>HYPERLINK("https://www.suredividend.com/sure-analysis-research-database/","Astra Space Inc")</f>
        <v>Astra Space Inc</v>
      </c>
      <c r="C162" s="2" t="s">
        <v>15</v>
      </c>
      <c r="D162" s="4">
        <v>1.85999999999999</v>
      </c>
      <c r="E162" s="5">
        <v>0.0</v>
      </c>
      <c r="F162" s="5" t="s">
        <v>15</v>
      </c>
      <c r="G162" s="5" t="s">
        <v>15</v>
      </c>
      <c r="H162" s="4">
        <v>0.0</v>
      </c>
      <c r="I162" s="4">
        <v>44.534127</v>
      </c>
      <c r="J162" s="6" t="s">
        <v>15</v>
      </c>
      <c r="K162" s="5">
        <v>0.0</v>
      </c>
      <c r="L162" s="7">
        <v>1.46139403053573</v>
      </c>
      <c r="M162" s="4">
        <v>10.95</v>
      </c>
      <c r="N162" s="2">
        <v>0.6212</v>
      </c>
    </row>
    <row r="163">
      <c r="A163" s="2" t="s">
        <v>188</v>
      </c>
      <c r="B163" s="3" t="str">
        <f>HYPERLINK("https://www.suredividend.com/sure-analysis-research-database/","Alphatec Holdings Inc")</f>
        <v>Alphatec Holdings Inc</v>
      </c>
      <c r="C163" s="2" t="s">
        <v>30</v>
      </c>
      <c r="D163" s="4">
        <v>16.35</v>
      </c>
      <c r="E163" s="5">
        <v>0.0</v>
      </c>
      <c r="F163" s="5" t="s">
        <v>15</v>
      </c>
      <c r="G163" s="5" t="s">
        <v>15</v>
      </c>
      <c r="H163" s="4">
        <v>0.0</v>
      </c>
      <c r="I163" s="4">
        <v>2272.132069</v>
      </c>
      <c r="J163" s="6" t="s">
        <v>15</v>
      </c>
      <c r="K163" s="5">
        <v>0.0</v>
      </c>
      <c r="L163" s="7">
        <v>1.51561471922121</v>
      </c>
      <c r="M163" s="4">
        <v>19.14</v>
      </c>
      <c r="N163" s="2">
        <v>8.66</v>
      </c>
    </row>
    <row r="164">
      <c r="A164" s="2" t="s">
        <v>189</v>
      </c>
      <c r="B164" s="3" t="str">
        <f>HYPERLINK("https://www.suredividend.com/sure-analysis-research-database/","A10 Networks Inc")</f>
        <v>A10 Networks Inc</v>
      </c>
      <c r="C164" s="2" t="s">
        <v>40</v>
      </c>
      <c r="D164" s="4">
        <v>12.93</v>
      </c>
      <c r="E164" s="5">
        <v>0.017299594707511</v>
      </c>
      <c r="F164" s="5" t="s">
        <v>15</v>
      </c>
      <c r="G164" s="5" t="s">
        <v>15</v>
      </c>
      <c r="H164" s="4">
        <v>0.238388415069506</v>
      </c>
      <c r="I164" s="4">
        <v>1021.62164</v>
      </c>
      <c r="J164" s="6">
        <v>25.4876541177057</v>
      </c>
      <c r="K164" s="5">
        <v>0.449789462395294</v>
      </c>
      <c r="L164" s="7">
        <v>0.733456658604494</v>
      </c>
      <c r="M164" s="4">
        <v>16.0</v>
      </c>
      <c r="N164" s="2">
        <v>9.99</v>
      </c>
    </row>
    <row r="165">
      <c r="A165" s="2" t="s">
        <v>190</v>
      </c>
      <c r="B165" s="3" t="str">
        <f>HYPERLINK("https://www.suredividend.com/sure-analysis-research-database/","Aterian Inc")</f>
        <v>Aterian Inc</v>
      </c>
      <c r="C165" s="2" t="s">
        <v>15</v>
      </c>
      <c r="D165" s="4">
        <v>0.344</v>
      </c>
      <c r="E165" s="5">
        <v>0.0</v>
      </c>
      <c r="F165" s="5" t="s">
        <v>15</v>
      </c>
      <c r="G165" s="5" t="s">
        <v>15</v>
      </c>
      <c r="H165" s="4">
        <v>0.0</v>
      </c>
      <c r="I165" s="4">
        <v>27.07804</v>
      </c>
      <c r="J165" s="6" t="s">
        <v>15</v>
      </c>
      <c r="K165" s="5">
        <v>0.0</v>
      </c>
      <c r="L165" s="7">
        <v>2.25120740235753</v>
      </c>
      <c r="M165" s="4">
        <v>1.68</v>
      </c>
      <c r="N165" s="2">
        <v>0.2602</v>
      </c>
    </row>
    <row r="166">
      <c r="A166" s="2" t="s">
        <v>191</v>
      </c>
      <c r="B166" s="3" t="str">
        <f>HYPERLINK("https://www.suredividend.com/sure-analysis-research-database/","Anterix Inc")</f>
        <v>Anterix Inc</v>
      </c>
      <c r="C166" s="2" t="s">
        <v>114</v>
      </c>
      <c r="D166" s="4">
        <v>30.13</v>
      </c>
      <c r="E166" s="5">
        <v>0.0</v>
      </c>
      <c r="F166" s="5" t="s">
        <v>15</v>
      </c>
      <c r="G166" s="5" t="s">
        <v>15</v>
      </c>
      <c r="H166" s="4">
        <v>0.0</v>
      </c>
      <c r="I166" s="4">
        <v>574.352086</v>
      </c>
      <c r="J166" s="6">
        <v>76.8158466764745</v>
      </c>
      <c r="K166" s="5">
        <v>0.0</v>
      </c>
      <c r="L166" s="7">
        <v>0.925031383584108</v>
      </c>
      <c r="M166" s="4">
        <v>39.16</v>
      </c>
      <c r="N166" s="2">
        <v>27.2</v>
      </c>
    </row>
    <row r="167">
      <c r="A167" s="2" t="s">
        <v>192</v>
      </c>
      <c r="B167" s="3" t="str">
        <f>HYPERLINK("https://www.suredividend.com/sure-analysis-research-database/","Adtalem Global Education Inc")</f>
        <v>Adtalem Global Education Inc</v>
      </c>
      <c r="C167" s="2" t="s">
        <v>89</v>
      </c>
      <c r="D167" s="4">
        <v>48.91</v>
      </c>
      <c r="E167" s="5">
        <v>0.0</v>
      </c>
      <c r="F167" s="5" t="s">
        <v>15</v>
      </c>
      <c r="G167" s="5" t="s">
        <v>15</v>
      </c>
      <c r="H167" s="4">
        <v>0.0</v>
      </c>
      <c r="I167" s="4">
        <v>2335.142258</v>
      </c>
      <c r="J167" s="6">
        <v>22.9358254235257</v>
      </c>
      <c r="K167" s="5">
        <v>0.0</v>
      </c>
      <c r="L167" s="7">
        <v>0.481916001112451</v>
      </c>
      <c r="M167" s="4">
        <v>62.99</v>
      </c>
      <c r="N167" s="2">
        <v>33.59</v>
      </c>
    </row>
    <row r="168">
      <c r="A168" s="2" t="s">
        <v>193</v>
      </c>
      <c r="B168" s="3" t="str">
        <f>HYPERLINK("https://www.suredividend.com/sure-analysis-research-database/","Athira Pharma Inc")</f>
        <v>Athira Pharma Inc</v>
      </c>
      <c r="C168" s="2" t="s">
        <v>15</v>
      </c>
      <c r="D168" s="4">
        <v>3.09</v>
      </c>
      <c r="E168" s="5">
        <v>0.0</v>
      </c>
      <c r="F168" s="5" t="s">
        <v>15</v>
      </c>
      <c r="G168" s="5" t="s">
        <v>15</v>
      </c>
      <c r="H168" s="4">
        <v>0.0</v>
      </c>
      <c r="I168" s="4">
        <v>124.819032</v>
      </c>
      <c r="J168" s="6">
        <v>0.0</v>
      </c>
      <c r="K168" s="5" t="s">
        <v>15</v>
      </c>
      <c r="L168" s="7">
        <v>1.12275992252797</v>
      </c>
      <c r="M168" s="4">
        <v>4.41</v>
      </c>
      <c r="N168" s="2">
        <v>1.33</v>
      </c>
    </row>
    <row r="169">
      <c r="A169" s="2" t="s">
        <v>194</v>
      </c>
      <c r="B169" s="3" t="str">
        <f>HYPERLINK("https://www.suredividend.com/sure-analysis-research-database/","ATI Inc")</f>
        <v>ATI Inc</v>
      </c>
      <c r="C169" s="2" t="s">
        <v>17</v>
      </c>
      <c r="D169" s="4">
        <v>38.62</v>
      </c>
      <c r="E169" s="5">
        <v>0.0</v>
      </c>
      <c r="F169" s="5" t="s">
        <v>15</v>
      </c>
      <c r="G169" s="5" t="s">
        <v>15</v>
      </c>
      <c r="H169" s="4">
        <v>0.0</v>
      </c>
      <c r="I169" s="4">
        <v>5314.866652</v>
      </c>
      <c r="J169" s="6">
        <v>17.7933265882825</v>
      </c>
      <c r="K169" s="5">
        <v>0.0</v>
      </c>
      <c r="L169" s="7">
        <v>1.42628375043895</v>
      </c>
      <c r="M169" s="4">
        <v>47.92</v>
      </c>
      <c r="N169" s="2">
        <v>34.1</v>
      </c>
    </row>
    <row r="170">
      <c r="A170" s="2" t="s">
        <v>195</v>
      </c>
      <c r="B170" s="3" t="str">
        <f>HYPERLINK("https://www.suredividend.com/sure-analysis-research-database/","ATI Physical Therapy Inc")</f>
        <v>ATI Physical Therapy Inc</v>
      </c>
      <c r="C170" s="2" t="s">
        <v>15</v>
      </c>
      <c r="D170" s="4">
        <v>6.12</v>
      </c>
      <c r="E170" s="5">
        <v>0.0</v>
      </c>
      <c r="F170" s="5" t="s">
        <v>15</v>
      </c>
      <c r="G170" s="5" t="s">
        <v>15</v>
      </c>
      <c r="H170" s="4">
        <v>0.0</v>
      </c>
      <c r="I170" s="4">
        <v>27.127874</v>
      </c>
      <c r="J170" s="6" t="s">
        <v>15</v>
      </c>
      <c r="K170" s="5">
        <v>0.0</v>
      </c>
      <c r="L170" s="7"/>
      <c r="M170" s="4">
        <v>25.0</v>
      </c>
      <c r="N170" s="2">
        <v>5.78</v>
      </c>
    </row>
    <row r="171">
      <c r="A171" s="2" t="s">
        <v>196</v>
      </c>
      <c r="B171" s="3" t="str">
        <f>HYPERLINK("https://www.suredividend.com/sure-analysis-research-database/","Atkore Inc")</f>
        <v>Atkore Inc</v>
      </c>
      <c r="C171" s="2" t="s">
        <v>17</v>
      </c>
      <c r="D171" s="4">
        <v>145.04</v>
      </c>
      <c r="E171" s="5">
        <v>0.0</v>
      </c>
      <c r="F171" s="5" t="s">
        <v>15</v>
      </c>
      <c r="G171" s="5" t="s">
        <v>15</v>
      </c>
      <c r="H171" s="4">
        <v>0.0</v>
      </c>
      <c r="I171" s="4">
        <v>5848.420124</v>
      </c>
      <c r="J171" s="6">
        <v>8.60994949512928</v>
      </c>
      <c r="K171" s="5">
        <v>0.0</v>
      </c>
      <c r="L171" s="7">
        <v>1.68791204765909</v>
      </c>
      <c r="M171" s="4">
        <v>165.69</v>
      </c>
      <c r="N171" s="2">
        <v>116.14</v>
      </c>
    </row>
    <row r="172">
      <c r="A172" s="2" t="s">
        <v>197</v>
      </c>
      <c r="B172" s="3" t="str">
        <f>HYPERLINK("https://www.suredividend.com/sure-analysis-research-database/","Atlanticus Holdings Corp")</f>
        <v>Atlanticus Holdings Corp</v>
      </c>
      <c r="C172" s="2" t="s">
        <v>22</v>
      </c>
      <c r="D172" s="4">
        <v>32.96</v>
      </c>
      <c r="E172" s="5">
        <v>0.0</v>
      </c>
      <c r="F172" s="5" t="s">
        <v>15</v>
      </c>
      <c r="G172" s="5" t="s">
        <v>15</v>
      </c>
      <c r="H172" s="4">
        <v>0.0</v>
      </c>
      <c r="I172" s="4">
        <v>534.34148</v>
      </c>
      <c r="J172" s="6">
        <v>7.09070676384723</v>
      </c>
      <c r="K172" s="5">
        <v>0.0</v>
      </c>
      <c r="L172" s="7">
        <v>2.0374045354393</v>
      </c>
      <c r="M172" s="4">
        <v>43.7</v>
      </c>
      <c r="N172" s="2">
        <v>21.65</v>
      </c>
    </row>
    <row r="173">
      <c r="A173" s="2" t="s">
        <v>198</v>
      </c>
      <c r="B173" s="3" t="str">
        <f>HYPERLINK("https://www.suredividend.com/sure-analysis-research-database/","ATN International Inc")</f>
        <v>ATN International Inc</v>
      </c>
      <c r="C173" s="2" t="s">
        <v>114</v>
      </c>
      <c r="D173" s="4">
        <v>35.51</v>
      </c>
      <c r="E173" s="5">
        <v>0.022531515900304</v>
      </c>
      <c r="F173" s="5">
        <v>0.142857142857142</v>
      </c>
      <c r="G173" s="5">
        <v>0.0714020279410068</v>
      </c>
      <c r="H173" s="4">
        <v>0.854620398098549</v>
      </c>
      <c r="I173" s="4">
        <v>584.936774</v>
      </c>
      <c r="J173" s="6" t="s">
        <v>15</v>
      </c>
      <c r="K173" s="5" t="s">
        <v>15</v>
      </c>
      <c r="L173" s="7">
        <v>0.716776263315071</v>
      </c>
      <c r="M173" s="4">
        <v>48.19</v>
      </c>
      <c r="N173" s="2">
        <v>27.2</v>
      </c>
    </row>
    <row r="174">
      <c r="A174" s="2" t="s">
        <v>199</v>
      </c>
      <c r="B174" s="3" t="str">
        <f>HYPERLINK("https://www.suredividend.com/sure-analysis-research-database/","Atomera Inc")</f>
        <v>Atomera Inc</v>
      </c>
      <c r="C174" s="2" t="s">
        <v>40</v>
      </c>
      <c r="D174" s="4">
        <v>7.6</v>
      </c>
      <c r="E174" s="5">
        <v>0.0</v>
      </c>
      <c r="F174" s="5" t="s">
        <v>15</v>
      </c>
      <c r="G174" s="5" t="s">
        <v>15</v>
      </c>
      <c r="H174" s="4">
        <v>0.0</v>
      </c>
      <c r="I174" s="4">
        <v>217.227732</v>
      </c>
      <c r="J174" s="6" t="s">
        <v>15</v>
      </c>
      <c r="K174" s="5">
        <v>0.0</v>
      </c>
      <c r="L174" s="7">
        <v>2.6560342999935</v>
      </c>
      <c r="M174" s="4">
        <v>10.72</v>
      </c>
      <c r="N174" s="2">
        <v>4.96</v>
      </c>
    </row>
    <row r="175">
      <c r="A175" s="2" t="s">
        <v>200</v>
      </c>
      <c r="B175" s="3" t="str">
        <f>HYPERLINK("https://www.suredividend.com/sure-analysis-research-database/","Atara Biotherapeutics Inc")</f>
        <v>Atara Biotherapeutics Inc</v>
      </c>
      <c r="C175" s="2" t="s">
        <v>30</v>
      </c>
      <c r="D175" s="4">
        <v>1.11</v>
      </c>
      <c r="E175" s="5">
        <v>0.0</v>
      </c>
      <c r="F175" s="5" t="s">
        <v>15</v>
      </c>
      <c r="G175" s="5" t="s">
        <v>15</v>
      </c>
      <c r="H175" s="4">
        <v>0.0</v>
      </c>
      <c r="I175" s="4">
        <v>62.600646</v>
      </c>
      <c r="J175" s="6" t="s">
        <v>15</v>
      </c>
      <c r="K175" s="5">
        <v>0.0</v>
      </c>
      <c r="L175" s="7">
        <v>2.88974339103905</v>
      </c>
      <c r="M175" s="4">
        <v>5.64</v>
      </c>
      <c r="N175" s="2">
        <v>0.1986</v>
      </c>
    </row>
    <row r="176">
      <c r="A176" s="2" t="s">
        <v>201</v>
      </c>
      <c r="B176" s="3" t="str">
        <f>HYPERLINK("https://www.suredividend.com/sure-analysis-research-database/","Atricure Inc")</f>
        <v>Atricure Inc</v>
      </c>
      <c r="C176" s="2" t="s">
        <v>30</v>
      </c>
      <c r="D176" s="4">
        <v>33.08</v>
      </c>
      <c r="E176" s="5">
        <v>0.0</v>
      </c>
      <c r="F176" s="5" t="s">
        <v>15</v>
      </c>
      <c r="G176" s="5" t="s">
        <v>15</v>
      </c>
      <c r="H176" s="4">
        <v>0.0</v>
      </c>
      <c r="I176" s="4">
        <v>1620.911804</v>
      </c>
      <c r="J176" s="6">
        <v>0.0</v>
      </c>
      <c r="K176" s="5" t="s">
        <v>15</v>
      </c>
      <c r="L176" s="7">
        <v>1.3139289682733</v>
      </c>
      <c r="M176" s="4">
        <v>59.61</v>
      </c>
      <c r="N176" s="2">
        <v>32.17</v>
      </c>
    </row>
    <row r="177">
      <c r="A177" s="2" t="s">
        <v>202</v>
      </c>
      <c r="B177" s="3" t="str">
        <f>HYPERLINK("https://www.suredividend.com/sure-analysis-ATRI/","Atrion Corp.")</f>
        <v>Atrion Corp.</v>
      </c>
      <c r="C177" s="2" t="s">
        <v>30</v>
      </c>
      <c r="D177" s="4">
        <v>333.0</v>
      </c>
      <c r="E177" s="5">
        <v>0.0264264264264264</v>
      </c>
      <c r="F177" s="5">
        <v>0.0232558139534884</v>
      </c>
      <c r="G177" s="5">
        <v>0.102599477819062</v>
      </c>
      <c r="H177" s="4">
        <v>8.55234152121235</v>
      </c>
      <c r="I177" s="4">
        <v>589.54506</v>
      </c>
      <c r="J177" s="6">
        <v>27.6664817682669</v>
      </c>
      <c r="K177" s="5">
        <v>0.707975291491089</v>
      </c>
      <c r="L177" s="7">
        <v>0.789911973751512</v>
      </c>
      <c r="M177" s="4">
        <v>677.22</v>
      </c>
      <c r="N177" s="2">
        <v>270.88</v>
      </c>
    </row>
    <row r="178">
      <c r="A178" s="2" t="s">
        <v>203</v>
      </c>
      <c r="B178" s="3" t="str">
        <f>HYPERLINK("https://www.suredividend.com/sure-analysis-research-database/","Astronics Corp.")</f>
        <v>Astronics Corp.</v>
      </c>
      <c r="C178" s="2" t="s">
        <v>17</v>
      </c>
      <c r="D178" s="4">
        <v>17.44</v>
      </c>
      <c r="E178" s="5">
        <v>0.0</v>
      </c>
      <c r="F178" s="5" t="s">
        <v>15</v>
      </c>
      <c r="G178" s="5" t="s">
        <v>15</v>
      </c>
      <c r="H178" s="4">
        <v>0.0</v>
      </c>
      <c r="I178" s="4">
        <v>487.428764</v>
      </c>
      <c r="J178" s="6" t="s">
        <v>15</v>
      </c>
      <c r="K178" s="5">
        <v>0.0</v>
      </c>
      <c r="L178" s="7">
        <v>1.47953694276801</v>
      </c>
      <c r="M178" s="4">
        <v>22.44</v>
      </c>
      <c r="N178" s="2">
        <v>12.13</v>
      </c>
    </row>
    <row r="179">
      <c r="A179" s="2" t="s">
        <v>204</v>
      </c>
      <c r="B179" s="3" t="str">
        <f>HYPERLINK("https://www.suredividend.com/sure-analysis-research-database/","Air Transport Services Group Inc")</f>
        <v>Air Transport Services Group Inc</v>
      </c>
      <c r="C179" s="2" t="s">
        <v>17</v>
      </c>
      <c r="D179" s="4">
        <v>14.19</v>
      </c>
      <c r="E179" s="5">
        <v>0.0</v>
      </c>
      <c r="F179" s="5" t="s">
        <v>15</v>
      </c>
      <c r="G179" s="5" t="s">
        <v>15</v>
      </c>
      <c r="H179" s="4">
        <v>0.0</v>
      </c>
      <c r="I179" s="4">
        <v>1067.864644</v>
      </c>
      <c r="J179" s="6">
        <v>9.05077419354838</v>
      </c>
      <c r="K179" s="5">
        <v>0.0</v>
      </c>
      <c r="L179" s="7">
        <v>1.11929944796977</v>
      </c>
      <c r="M179" s="4">
        <v>28.7</v>
      </c>
      <c r="N179" s="2">
        <v>14.03</v>
      </c>
    </row>
    <row r="180">
      <c r="A180" s="2" t="s">
        <v>205</v>
      </c>
      <c r="B180" s="3" t="str">
        <f>HYPERLINK("https://www.suredividend.com/sure-analysis-research-database/","Atlantic Union Bankshares Corp")</f>
        <v>Atlantic Union Bankshares Corp</v>
      </c>
      <c r="C180" s="2" t="s">
        <v>22</v>
      </c>
      <c r="D180" s="4">
        <v>33.83</v>
      </c>
      <c r="E180" s="5">
        <v>0.008104304949379</v>
      </c>
      <c r="F180" s="5">
        <v>0.0666666666666664</v>
      </c>
      <c r="G180" s="5">
        <v>0.0682783536884379</v>
      </c>
      <c r="H180" s="4">
        <v>0.290701418534239</v>
      </c>
      <c r="I180" s="4">
        <v>2690.830341</v>
      </c>
      <c r="J180" s="6">
        <v>13.2184015126715</v>
      </c>
      <c r="K180" s="5">
        <v>0.10687552151994</v>
      </c>
      <c r="L180" s="7">
        <v>1.67576197444598</v>
      </c>
      <c r="M180" s="4">
        <v>39.77</v>
      </c>
      <c r="N180" s="2">
        <v>22.6</v>
      </c>
    </row>
    <row r="181">
      <c r="A181" s="2" t="s">
        <v>206</v>
      </c>
      <c r="B181" s="3" t="str">
        <f>HYPERLINK("https://www.suredividend.com/sure-analysis-research-database/","Aurinia Pharmaceuticals Inc")</f>
        <v>Aurinia Pharmaceuticals Inc</v>
      </c>
      <c r="C181" s="2" t="s">
        <v>30</v>
      </c>
      <c r="D181" s="4">
        <v>7.55</v>
      </c>
      <c r="E181" s="5">
        <v>0.0</v>
      </c>
      <c r="F181" s="5" t="s">
        <v>15</v>
      </c>
      <c r="G181" s="5" t="s">
        <v>15</v>
      </c>
      <c r="H181" s="4">
        <v>0.0</v>
      </c>
      <c r="I181" s="4">
        <v>1153.173557</v>
      </c>
      <c r="J181" s="6">
        <v>0.0</v>
      </c>
      <c r="K181" s="5" t="s">
        <v>15</v>
      </c>
      <c r="L181" s="7">
        <v>1.62134195025929</v>
      </c>
      <c r="M181" s="4">
        <v>12.43</v>
      </c>
      <c r="N181" s="2">
        <v>6.94</v>
      </c>
    </row>
    <row r="182">
      <c r="A182" s="2" t="s">
        <v>207</v>
      </c>
      <c r="B182" s="3" t="str">
        <f>HYPERLINK("https://www.suredividend.com/sure-analysis-research-database/","Aura Biosciences Inc")</f>
        <v>Aura Biosciences Inc</v>
      </c>
      <c r="C182" s="2" t="s">
        <v>15</v>
      </c>
      <c r="D182" s="4">
        <v>7.77</v>
      </c>
      <c r="E182" s="5">
        <v>0.0</v>
      </c>
      <c r="F182" s="5" t="s">
        <v>15</v>
      </c>
      <c r="G182" s="5" t="s">
        <v>15</v>
      </c>
      <c r="H182" s="4">
        <v>0.0</v>
      </c>
      <c r="I182" s="4">
        <v>304.931236</v>
      </c>
      <c r="J182" s="6">
        <v>0.0</v>
      </c>
      <c r="K182" s="5" t="s">
        <v>15</v>
      </c>
      <c r="L182" s="7">
        <v>1.73164052853829</v>
      </c>
      <c r="M182" s="4">
        <v>13.5</v>
      </c>
      <c r="N182" s="2">
        <v>5.99</v>
      </c>
    </row>
    <row r="183">
      <c r="A183" s="2" t="s">
        <v>208</v>
      </c>
      <c r="B183" s="3" t="str">
        <f>HYPERLINK("https://www.suredividend.com/sure-analysis-AVA/","Avista Corp.")</f>
        <v>Avista Corp.</v>
      </c>
      <c r="C183" s="2" t="s">
        <v>91</v>
      </c>
      <c r="D183" s="4">
        <v>33.08</v>
      </c>
      <c r="E183" s="5">
        <v>0.0556227327690447</v>
      </c>
      <c r="F183" s="5">
        <v>0.0454545454545454</v>
      </c>
      <c r="G183" s="5">
        <v>0.0348972310728257</v>
      </c>
      <c r="H183" s="4">
        <v>1.80477174183111</v>
      </c>
      <c r="I183" s="4">
        <v>2646.746007</v>
      </c>
      <c r="J183" s="6">
        <v>16.040787671105</v>
      </c>
      <c r="K183" s="5">
        <v>0.827876945794088</v>
      </c>
      <c r="L183" s="7">
        <v>0.660695742359746</v>
      </c>
      <c r="M183" s="4">
        <v>43.46</v>
      </c>
      <c r="N183" s="2">
        <v>30.13</v>
      </c>
    </row>
    <row r="184">
      <c r="A184" s="2" t="s">
        <v>209</v>
      </c>
      <c r="B184" s="3" t="str">
        <f>HYPERLINK("https://www.suredividend.com/sure-analysis-research-database/","Aveanna Healthcare Holdings Inc")</f>
        <v>Aveanna Healthcare Holdings Inc</v>
      </c>
      <c r="C184" s="2" t="s">
        <v>15</v>
      </c>
      <c r="D184" s="4">
        <v>2.38</v>
      </c>
      <c r="E184" s="5">
        <v>0.0</v>
      </c>
      <c r="F184" s="5" t="s">
        <v>15</v>
      </c>
      <c r="G184" s="5" t="s">
        <v>15</v>
      </c>
      <c r="H184" s="4">
        <v>0.0</v>
      </c>
      <c r="I184" s="4">
        <v>479.69388</v>
      </c>
      <c r="J184" s="6" t="s">
        <v>15</v>
      </c>
      <c r="K184" s="5">
        <v>0.0</v>
      </c>
      <c r="L184" s="7">
        <v>1.63016398300105</v>
      </c>
      <c r="M184" s="4">
        <v>3.0</v>
      </c>
      <c r="N184" s="2">
        <v>0.85</v>
      </c>
    </row>
    <row r="185">
      <c r="A185" s="2" t="s">
        <v>210</v>
      </c>
      <c r="B185" s="3" t="str">
        <f>HYPERLINK("https://www.suredividend.com/sure-analysis-research-database/","AeroVironment Inc.")</f>
        <v>AeroVironment Inc.</v>
      </c>
      <c r="C185" s="2" t="s">
        <v>17</v>
      </c>
      <c r="D185" s="4">
        <v>121.5</v>
      </c>
      <c r="E185" s="5">
        <v>0.0</v>
      </c>
      <c r="F185" s="5" t="s">
        <v>15</v>
      </c>
      <c r="G185" s="5" t="s">
        <v>15</v>
      </c>
      <c r="H185" s="4">
        <v>0.0</v>
      </c>
      <c r="I185" s="4">
        <v>3485.376188</v>
      </c>
      <c r="J185" s="6" t="s">
        <v>15</v>
      </c>
      <c r="K185" s="5">
        <v>0.0</v>
      </c>
      <c r="L185" s="7">
        <v>0.777518362406862</v>
      </c>
      <c r="M185" s="4">
        <v>143.99</v>
      </c>
      <c r="N185" s="2">
        <v>83.55</v>
      </c>
    </row>
    <row r="186">
      <c r="A186" s="2" t="s">
        <v>211</v>
      </c>
      <c r="B186" s="3" t="str">
        <f>HYPERLINK("https://www.suredividend.com/sure-analysis-research-database/","American Vanguard Corp.")</f>
        <v>American Vanguard Corp.</v>
      </c>
      <c r="C186" s="2" t="s">
        <v>130</v>
      </c>
      <c r="D186" s="4">
        <v>10.5</v>
      </c>
      <c r="E186" s="5">
        <v>0.010958465161779</v>
      </c>
      <c r="F186" s="5" t="s">
        <v>15</v>
      </c>
      <c r="G186" s="5" t="s">
        <v>15</v>
      </c>
      <c r="H186" s="4">
        <v>0.119556854915011</v>
      </c>
      <c r="I186" s="4">
        <v>313.667289</v>
      </c>
      <c r="J186" s="6">
        <v>70.6776226881478</v>
      </c>
      <c r="K186" s="5">
        <v>0.77133454783878</v>
      </c>
      <c r="L186" s="7">
        <v>0.807502007443345</v>
      </c>
      <c r="M186" s="4">
        <v>22.75</v>
      </c>
      <c r="N186" s="2">
        <v>8.39</v>
      </c>
    </row>
    <row r="187">
      <c r="A187" s="2" t="s">
        <v>212</v>
      </c>
      <c r="B187" s="3" t="str">
        <f>HYPERLINK("https://www.suredividend.com/sure-analysis-research-database/","AvidXchange Holdings Inc")</f>
        <v>AvidXchange Holdings Inc</v>
      </c>
      <c r="C187" s="2" t="s">
        <v>30</v>
      </c>
      <c r="D187" s="4">
        <v>11.28</v>
      </c>
      <c r="E187" s="5">
        <v>0.0</v>
      </c>
      <c r="F187" s="5" t="s">
        <v>15</v>
      </c>
      <c r="G187" s="5" t="s">
        <v>15</v>
      </c>
      <c r="H187" s="4">
        <v>0.0</v>
      </c>
      <c r="I187" s="4">
        <v>2324.00835</v>
      </c>
      <c r="J187" s="6">
        <v>0.0</v>
      </c>
      <c r="K187" s="5" t="s">
        <v>15</v>
      </c>
      <c r="L187" s="7">
        <v>1.42960256783751</v>
      </c>
      <c r="M187" s="4">
        <v>12.75</v>
      </c>
      <c r="N187" s="2">
        <v>6.88</v>
      </c>
    </row>
    <row r="188">
      <c r="A188" s="2" t="s">
        <v>213</v>
      </c>
      <c r="B188" s="3" t="str">
        <f>HYPERLINK("https://www.suredividend.com/sure-analysis-research-database/","Avid Technology, Inc.")</f>
        <v>Avid Technology, Inc.</v>
      </c>
      <c r="C188" s="2" t="s">
        <v>114</v>
      </c>
      <c r="D188" s="4">
        <v>27.04</v>
      </c>
      <c r="E188" s="5">
        <v>0.0</v>
      </c>
      <c r="F188" s="5" t="s">
        <v>15</v>
      </c>
      <c r="G188" s="5" t="s">
        <v>15</v>
      </c>
      <c r="H188" s="4">
        <v>0.0</v>
      </c>
      <c r="I188" s="4">
        <v>0.0</v>
      </c>
      <c r="J188" s="6">
        <v>0.0</v>
      </c>
      <c r="K188" s="5">
        <v>0.0</v>
      </c>
      <c r="L188" s="7"/>
      <c r="M188" s="4" t="s">
        <v>49</v>
      </c>
      <c r="N188" s="2" t="s">
        <v>49</v>
      </c>
    </row>
    <row r="189">
      <c r="A189" s="2" t="s">
        <v>214</v>
      </c>
      <c r="B189" s="3" t="str">
        <f>HYPERLINK("https://www.suredividend.com/sure-analysis-research-database/","Atea Pharmaceuticals Inc")</f>
        <v>Atea Pharmaceuticals Inc</v>
      </c>
      <c r="C189" s="2" t="s">
        <v>15</v>
      </c>
      <c r="D189" s="4">
        <v>4.09</v>
      </c>
      <c r="E189" s="5">
        <v>0.0</v>
      </c>
      <c r="F189" s="5" t="s">
        <v>15</v>
      </c>
      <c r="G189" s="5" t="s">
        <v>15</v>
      </c>
      <c r="H189" s="4">
        <v>0.0</v>
      </c>
      <c r="I189" s="4">
        <v>327.901566</v>
      </c>
      <c r="J189" s="6">
        <v>0.0</v>
      </c>
      <c r="K189" s="5" t="s">
        <v>15</v>
      </c>
      <c r="L189" s="7">
        <v>1.05736364762699</v>
      </c>
      <c r="M189" s="4">
        <v>5.19</v>
      </c>
      <c r="N189" s="2">
        <v>2.77</v>
      </c>
    </row>
    <row r="190">
      <c r="A190" s="2" t="s">
        <v>215</v>
      </c>
      <c r="B190" s="3" t="str">
        <f>HYPERLINK("https://www.suredividend.com/sure-analysis-research-database/","Avanos Medical Inc")</f>
        <v>Avanos Medical Inc</v>
      </c>
      <c r="C190" s="2" t="s">
        <v>30</v>
      </c>
      <c r="D190" s="4">
        <v>18.43</v>
      </c>
      <c r="E190" s="5">
        <v>0.0</v>
      </c>
      <c r="F190" s="5" t="s">
        <v>15</v>
      </c>
      <c r="G190" s="5" t="s">
        <v>15</v>
      </c>
      <c r="H190" s="4">
        <v>0.0</v>
      </c>
      <c r="I190" s="4">
        <v>907.619874</v>
      </c>
      <c r="J190" s="6" t="s">
        <v>15</v>
      </c>
      <c r="K190" s="5">
        <v>0.0</v>
      </c>
      <c r="L190" s="7">
        <v>1.32389710655899</v>
      </c>
      <c r="M190" s="4">
        <v>31.99</v>
      </c>
      <c r="N190" s="2">
        <v>17.24</v>
      </c>
    </row>
    <row r="191">
      <c r="A191" s="2" t="s">
        <v>216</v>
      </c>
      <c r="B191" s="3" t="str">
        <f>HYPERLINK("https://www.suredividend.com/sure-analysis-AVNT/","Avient Corp")</f>
        <v>Avient Corp</v>
      </c>
      <c r="C191" s="2" t="s">
        <v>15</v>
      </c>
      <c r="D191" s="4">
        <v>35.8</v>
      </c>
      <c r="E191" s="5">
        <v>0.0287709497206703</v>
      </c>
      <c r="F191" s="5">
        <v>0.0404040404040402</v>
      </c>
      <c r="G191" s="5">
        <v>0.0571789921223735</v>
      </c>
      <c r="H191" s="4">
        <v>0.99016145554991</v>
      </c>
      <c r="I191" s="4">
        <v>3401.233177</v>
      </c>
      <c r="J191" s="6">
        <v>5.74921091473968</v>
      </c>
      <c r="K191" s="5">
        <v>0.154471365920422</v>
      </c>
      <c r="L191" s="7">
        <v>1.59352139524673</v>
      </c>
      <c r="M191" s="4">
        <v>43.59</v>
      </c>
      <c r="N191" s="2">
        <v>27.55</v>
      </c>
    </row>
    <row r="192">
      <c r="A192" s="2" t="s">
        <v>217</v>
      </c>
      <c r="B192" s="3" t="str">
        <f>HYPERLINK("https://www.suredividend.com/sure-analysis-research-database/","Aviat Networks Inc")</f>
        <v>Aviat Networks Inc</v>
      </c>
      <c r="C192" s="2" t="s">
        <v>40</v>
      </c>
      <c r="D192" s="4">
        <v>29.91</v>
      </c>
      <c r="E192" s="5">
        <v>0.0</v>
      </c>
      <c r="F192" s="5" t="s">
        <v>15</v>
      </c>
      <c r="G192" s="5" t="s">
        <v>15</v>
      </c>
      <c r="H192" s="4">
        <v>0.0</v>
      </c>
      <c r="I192" s="4">
        <v>370.001884</v>
      </c>
      <c r="J192" s="6">
        <v>20.2419105963127</v>
      </c>
      <c r="K192" s="5">
        <v>0.0</v>
      </c>
      <c r="L192" s="7">
        <v>1.27205274680015</v>
      </c>
      <c r="M192" s="4">
        <v>39.8</v>
      </c>
      <c r="N192" s="2">
        <v>21.15</v>
      </c>
    </row>
    <row r="193">
      <c r="A193" s="2" t="s">
        <v>218</v>
      </c>
      <c r="B193" s="3" t="str">
        <f>HYPERLINK("https://www.suredividend.com/sure-analysis-research-database/","Mission Produce Inc")</f>
        <v>Mission Produce Inc</v>
      </c>
      <c r="C193" s="2" t="s">
        <v>15</v>
      </c>
      <c r="D193" s="4">
        <v>10.04</v>
      </c>
      <c r="E193" s="5">
        <v>0.0</v>
      </c>
      <c r="F193" s="5" t="s">
        <v>15</v>
      </c>
      <c r="G193" s="5" t="s">
        <v>15</v>
      </c>
      <c r="H193" s="4">
        <v>0.0</v>
      </c>
      <c r="I193" s="4">
        <v>732.759868</v>
      </c>
      <c r="J193" s="6" t="s">
        <v>15</v>
      </c>
      <c r="K193" s="5">
        <v>0.0</v>
      </c>
      <c r="L193" s="7">
        <v>0.668063565672036</v>
      </c>
      <c r="M193" s="4">
        <v>13.99</v>
      </c>
      <c r="N193" s="2">
        <v>8.19</v>
      </c>
    </row>
    <row r="194">
      <c r="A194" s="2" t="s">
        <v>219</v>
      </c>
      <c r="B194" s="3" t="str">
        <f>HYPERLINK("https://www.suredividend.com/sure-analysis-research-database/","AvePoint Inc")</f>
        <v>AvePoint Inc</v>
      </c>
      <c r="C194" s="2" t="s">
        <v>15</v>
      </c>
      <c r="D194" s="4">
        <v>7.84</v>
      </c>
      <c r="E194" s="5">
        <v>0.0</v>
      </c>
      <c r="F194" s="5" t="s">
        <v>15</v>
      </c>
      <c r="G194" s="5" t="s">
        <v>15</v>
      </c>
      <c r="H194" s="4">
        <v>0.0</v>
      </c>
      <c r="I194" s="4">
        <v>1456.437931</v>
      </c>
      <c r="J194" s="6" t="s">
        <v>15</v>
      </c>
      <c r="K194" s="5">
        <v>0.0</v>
      </c>
      <c r="L194" s="7">
        <v>1.38799967798587</v>
      </c>
      <c r="M194" s="4">
        <v>8.61</v>
      </c>
      <c r="N194" s="2">
        <v>3.89</v>
      </c>
    </row>
    <row r="195">
      <c r="A195" s="2" t="s">
        <v>220</v>
      </c>
      <c r="B195" s="3" t="str">
        <f>HYPERLINK("https://www.suredividend.com/sure-analysis-research-database/","Avantax Inc")</f>
        <v>Avantax Inc</v>
      </c>
      <c r="C195" s="2" t="s">
        <v>15</v>
      </c>
      <c r="D195" s="4">
        <v>25.99</v>
      </c>
      <c r="E195" s="5">
        <v>0.0</v>
      </c>
      <c r="F195" s="5" t="s">
        <v>15</v>
      </c>
      <c r="G195" s="5" t="s">
        <v>15</v>
      </c>
      <c r="H195" s="4">
        <v>0.0</v>
      </c>
      <c r="I195" s="4">
        <v>0.0</v>
      </c>
      <c r="J195" s="6">
        <v>0.0</v>
      </c>
      <c r="K195" s="5">
        <v>0.0</v>
      </c>
      <c r="L195" s="7"/>
      <c r="M195" s="4" t="s">
        <v>49</v>
      </c>
      <c r="N195" s="2" t="s">
        <v>49</v>
      </c>
    </row>
    <row r="196">
      <c r="A196" s="2" t="s">
        <v>221</v>
      </c>
      <c r="B196" s="3" t="str">
        <f>HYPERLINK("https://www.suredividend.com/sure-analysis-research-database/","Aerovate Therapeutics Inc")</f>
        <v>Aerovate Therapeutics Inc</v>
      </c>
      <c r="C196" s="2" t="s">
        <v>15</v>
      </c>
      <c r="D196" s="4">
        <v>18.14</v>
      </c>
      <c r="E196" s="5">
        <v>0.0</v>
      </c>
      <c r="F196" s="5" t="s">
        <v>15</v>
      </c>
      <c r="G196" s="5" t="s">
        <v>15</v>
      </c>
      <c r="H196" s="4">
        <v>0.0</v>
      </c>
      <c r="I196" s="4">
        <v>500.66851</v>
      </c>
      <c r="J196" s="6">
        <v>0.0</v>
      </c>
      <c r="K196" s="5" t="s">
        <v>15</v>
      </c>
      <c r="L196" s="7">
        <v>1.98797387835884</v>
      </c>
      <c r="M196" s="4">
        <v>28.43</v>
      </c>
      <c r="N196" s="2">
        <v>9.41</v>
      </c>
    </row>
    <row r="197">
      <c r="A197" s="2" t="s">
        <v>222</v>
      </c>
      <c r="B197" s="3" t="str">
        <f>HYPERLINK("https://www.suredividend.com/sure-analysis-research-database/","Anavex Life Sciences Corporation")</f>
        <v>Anavex Life Sciences Corporation</v>
      </c>
      <c r="C197" s="2" t="s">
        <v>30</v>
      </c>
      <c r="D197" s="4">
        <v>5.36</v>
      </c>
      <c r="E197" s="5">
        <v>0.0</v>
      </c>
      <c r="F197" s="5" t="s">
        <v>15</v>
      </c>
      <c r="G197" s="5" t="s">
        <v>15</v>
      </c>
      <c r="H197" s="4">
        <v>0.0</v>
      </c>
      <c r="I197" s="4">
        <v>554.083949</v>
      </c>
      <c r="J197" s="6">
        <v>0.0</v>
      </c>
      <c r="K197" s="5" t="s">
        <v>15</v>
      </c>
      <c r="L197" s="7">
        <v>1.63998421589996</v>
      </c>
      <c r="M197" s="4">
        <v>11.93</v>
      </c>
      <c r="N197" s="2">
        <v>4.9</v>
      </c>
    </row>
    <row r="198">
      <c r="A198" s="2" t="s">
        <v>223</v>
      </c>
      <c r="B198" s="3" t="str">
        <f>HYPERLINK("https://www.suredividend.com/sure-analysis-AWR/","American States Water Co.")</f>
        <v>American States Water Co.</v>
      </c>
      <c r="C198" s="2" t="s">
        <v>91</v>
      </c>
      <c r="D198" s="4">
        <v>74.11</v>
      </c>
      <c r="E198" s="5">
        <v>0.0232087437592767</v>
      </c>
      <c r="F198" s="5">
        <v>0.0817610062893081</v>
      </c>
      <c r="G198" s="5">
        <v>0.0935210621823616</v>
      </c>
      <c r="H198" s="4">
        <v>1.64268772952375</v>
      </c>
      <c r="I198" s="4">
        <v>2805.79837</v>
      </c>
      <c r="J198" s="6">
        <v>22.8507539003811</v>
      </c>
      <c r="K198" s="5">
        <v>0.496280280822887</v>
      </c>
      <c r="L198" s="7">
        <v>0.620459963186983</v>
      </c>
      <c r="M198" s="4">
        <v>97.32</v>
      </c>
      <c r="N198" s="2">
        <v>74.28</v>
      </c>
    </row>
    <row r="199">
      <c r="A199" s="2" t="s">
        <v>224</v>
      </c>
      <c r="B199" s="3" t="str">
        <f>HYPERLINK("https://www.suredividend.com/sure-analysis-research-database/","Axos Financial Inc.")</f>
        <v>Axos Financial Inc.</v>
      </c>
      <c r="C199" s="2" t="s">
        <v>22</v>
      </c>
      <c r="D199" s="4">
        <v>51.87</v>
      </c>
      <c r="E199" s="5">
        <v>0.0</v>
      </c>
      <c r="F199" s="5" t="s">
        <v>15</v>
      </c>
      <c r="G199" s="5" t="s">
        <v>15</v>
      </c>
      <c r="H199" s="4">
        <v>0.0</v>
      </c>
      <c r="I199" s="4">
        <v>3281.976</v>
      </c>
      <c r="J199" s="6">
        <v>9.90327788221591</v>
      </c>
      <c r="K199" s="5">
        <v>0.0</v>
      </c>
      <c r="L199" s="7">
        <v>2.26408914639838</v>
      </c>
      <c r="M199" s="4">
        <v>57.12</v>
      </c>
      <c r="N199" s="2">
        <v>32.05</v>
      </c>
    </row>
    <row r="200">
      <c r="A200" s="2" t="s">
        <v>225</v>
      </c>
      <c r="B200" s="3" t="str">
        <f>HYPERLINK("https://www.suredividend.com/sure-analysis-research-database/","BioXcel Therapeutics Inc")</f>
        <v>BioXcel Therapeutics Inc</v>
      </c>
      <c r="C200" s="2" t="s">
        <v>30</v>
      </c>
      <c r="D200" s="4">
        <v>3.71</v>
      </c>
      <c r="E200" s="5">
        <v>0.0</v>
      </c>
      <c r="F200" s="5" t="s">
        <v>15</v>
      </c>
      <c r="G200" s="5" t="s">
        <v>15</v>
      </c>
      <c r="H200" s="4">
        <v>0.0</v>
      </c>
      <c r="I200" s="4">
        <v>102.65989</v>
      </c>
      <c r="J200" s="6" t="s">
        <v>15</v>
      </c>
      <c r="K200" s="5">
        <v>0.0</v>
      </c>
      <c r="L200" s="7">
        <v>1.03282675683615</v>
      </c>
      <c r="M200" s="4">
        <v>34.13</v>
      </c>
      <c r="N200" s="2">
        <v>2.23</v>
      </c>
    </row>
    <row r="201">
      <c r="A201" s="2" t="s">
        <v>226</v>
      </c>
      <c r="B201" s="3" t="str">
        <f>HYPERLINK("https://www.suredividend.com/sure-analysis-research-database/","Peabody Energy Corp.")</f>
        <v>Peabody Energy Corp.</v>
      </c>
      <c r="C201" s="2" t="s">
        <v>125</v>
      </c>
      <c r="D201" s="4">
        <v>26.07</v>
      </c>
      <c r="E201" s="5">
        <v>0.008421046190797</v>
      </c>
      <c r="F201" s="5" t="s">
        <v>15</v>
      </c>
      <c r="G201" s="5" t="s">
        <v>15</v>
      </c>
      <c r="H201" s="4">
        <v>0.224252460060925</v>
      </c>
      <c r="I201" s="4">
        <v>3491.193</v>
      </c>
      <c r="J201" s="6">
        <v>2.91029759919973</v>
      </c>
      <c r="K201" s="5">
        <v>0.0298605139894707</v>
      </c>
      <c r="L201" s="7">
        <v>0.911637920808339</v>
      </c>
      <c r="M201" s="4">
        <v>30.91</v>
      </c>
      <c r="N201" s="2">
        <v>17.59</v>
      </c>
    </row>
    <row r="202">
      <c r="A202" s="2" t="s">
        <v>227</v>
      </c>
      <c r="B202" s="3" t="str">
        <f>HYPERLINK("https://www.suredividend.com/sure-analysis-research-database/","First Busey Corp.")</f>
        <v>First Busey Corp.</v>
      </c>
      <c r="C202" s="2" t="s">
        <v>22</v>
      </c>
      <c r="D202" s="4">
        <v>22.93</v>
      </c>
      <c r="E202" s="5">
        <v>0.037551827664254</v>
      </c>
      <c r="F202" s="5">
        <v>0.0</v>
      </c>
      <c r="G202" s="5">
        <v>0.0270660870893517</v>
      </c>
      <c r="H202" s="4">
        <v>0.936167063669855</v>
      </c>
      <c r="I202" s="4">
        <v>1377.604477</v>
      </c>
      <c r="J202" s="6">
        <v>10.4997940345876</v>
      </c>
      <c r="K202" s="5">
        <v>0.401788439343285</v>
      </c>
      <c r="L202" s="7">
        <v>1.16436180480051</v>
      </c>
      <c r="M202" s="4">
        <v>25.53</v>
      </c>
      <c r="N202" s="2">
        <v>15.37</v>
      </c>
    </row>
    <row r="203">
      <c r="A203" s="2" t="s">
        <v>228</v>
      </c>
      <c r="B203" s="3" t="str">
        <f>HYPERLINK("https://www.suredividend.com/sure-analysis-research-database/","BrightView Holdings Inc")</f>
        <v>BrightView Holdings Inc</v>
      </c>
      <c r="C203" s="2" t="s">
        <v>17</v>
      </c>
      <c r="D203" s="4">
        <v>8.67</v>
      </c>
      <c r="E203" s="5">
        <v>0.0</v>
      </c>
      <c r="F203" s="5" t="s">
        <v>15</v>
      </c>
      <c r="G203" s="5" t="s">
        <v>15</v>
      </c>
      <c r="H203" s="4">
        <v>0.0</v>
      </c>
      <c r="I203" s="4">
        <v>846.897545</v>
      </c>
      <c r="J203" s="6" t="s">
        <v>15</v>
      </c>
      <c r="K203" s="5">
        <v>0.0</v>
      </c>
      <c r="L203" s="7">
        <v>1.04359145497608</v>
      </c>
      <c r="M203" s="4">
        <v>9.16</v>
      </c>
      <c r="N203" s="2">
        <v>5.16</v>
      </c>
    </row>
    <row r="204">
      <c r="A204" s="2" t="s">
        <v>229</v>
      </c>
      <c r="B204" s="3" t="str">
        <f>HYPERLINK("https://www.suredividend.com/sure-analysis-research-database/","Bluegreen Vacations Holding Corporation")</f>
        <v>Bluegreen Vacations Holding Corporation</v>
      </c>
      <c r="C204" s="2" t="s">
        <v>15</v>
      </c>
      <c r="D204" s="4">
        <v>75.0</v>
      </c>
      <c r="E204" s="5">
        <v>0.01060022534782</v>
      </c>
      <c r="F204" s="5" t="s">
        <v>15</v>
      </c>
      <c r="G204" s="5" t="s">
        <v>15</v>
      </c>
      <c r="H204" s="4">
        <v>0.795016901086539</v>
      </c>
      <c r="I204" s="4">
        <v>1004.069925</v>
      </c>
      <c r="J204" s="6">
        <v>0.0</v>
      </c>
      <c r="K204" s="5" t="s">
        <v>15</v>
      </c>
      <c r="L204" s="7"/>
      <c r="M204" s="4">
        <v>75.6</v>
      </c>
      <c r="N204" s="2">
        <v>23.02</v>
      </c>
    </row>
    <row r="205">
      <c r="A205" s="2" t="s">
        <v>230</v>
      </c>
      <c r="B205" s="3" t="str">
        <f>HYPERLINK("https://www.suredividend.com/sure-analysis-research-database/","Bioventus Inc")</f>
        <v>Bioventus Inc</v>
      </c>
      <c r="C205" s="2" t="s">
        <v>15</v>
      </c>
      <c r="D205" s="4">
        <v>4.48</v>
      </c>
      <c r="E205" s="5">
        <v>0.0</v>
      </c>
      <c r="F205" s="5" t="s">
        <v>15</v>
      </c>
      <c r="G205" s="5" t="s">
        <v>15</v>
      </c>
      <c r="H205" s="4">
        <v>0.0</v>
      </c>
      <c r="I205" s="4">
        <v>302.865642</v>
      </c>
      <c r="J205" s="6" t="s">
        <v>15</v>
      </c>
      <c r="K205" s="5">
        <v>0.0</v>
      </c>
      <c r="L205" s="7">
        <v>1.47642115284095</v>
      </c>
      <c r="M205" s="4">
        <v>5.54</v>
      </c>
      <c r="N205" s="2">
        <v>0.7999</v>
      </c>
    </row>
    <row r="206">
      <c r="A206" s="2" t="s">
        <v>231</v>
      </c>
      <c r="B206" s="3" t="str">
        <f>HYPERLINK("https://www.suredividend.com/sure-analysis-research-database/","Babcock &amp; Wilcox Enterprises Inc")</f>
        <v>Babcock &amp; Wilcox Enterprises Inc</v>
      </c>
      <c r="C206" s="2" t="s">
        <v>17</v>
      </c>
      <c r="D206" s="4">
        <v>1.15</v>
      </c>
      <c r="E206" s="5">
        <v>0.0</v>
      </c>
      <c r="F206" s="5" t="s">
        <v>15</v>
      </c>
      <c r="G206" s="5" t="s">
        <v>15</v>
      </c>
      <c r="H206" s="4">
        <v>0.0</v>
      </c>
      <c r="I206" s="4">
        <v>126.907399</v>
      </c>
      <c r="J206" s="6" t="s">
        <v>15</v>
      </c>
      <c r="K206" s="5">
        <v>0.0</v>
      </c>
      <c r="L206" s="7">
        <v>1.6924336317047</v>
      </c>
      <c r="M206" s="4">
        <v>6.83</v>
      </c>
      <c r="N206" s="2">
        <v>0.9551</v>
      </c>
    </row>
    <row r="207">
      <c r="A207" s="2" t="s">
        <v>232</v>
      </c>
      <c r="B207" s="3" t="str">
        <f>HYPERLINK("https://www.suredividend.com/sure-analysis-research-database/","Bridgewater Bancshares Inc")</f>
        <v>Bridgewater Bancshares Inc</v>
      </c>
      <c r="C207" s="2" t="s">
        <v>22</v>
      </c>
      <c r="D207" s="4">
        <v>11.97</v>
      </c>
      <c r="E207" s="5">
        <v>0.0</v>
      </c>
      <c r="F207" s="5" t="s">
        <v>15</v>
      </c>
      <c r="G207" s="5" t="s">
        <v>15</v>
      </c>
      <c r="H207" s="4">
        <v>0.0</v>
      </c>
      <c r="I207" s="4">
        <v>376.327661</v>
      </c>
      <c r="J207" s="6">
        <v>9.23095714285714</v>
      </c>
      <c r="K207" s="5">
        <v>0.0</v>
      </c>
      <c r="L207" s="7">
        <v>1.51589872330523</v>
      </c>
      <c r="M207" s="4">
        <v>15.84</v>
      </c>
      <c r="N207" s="2">
        <v>7.9</v>
      </c>
    </row>
    <row r="208">
      <c r="A208" s="2" t="s">
        <v>233</v>
      </c>
      <c r="B208" s="3" t="str">
        <f>HYPERLINK("https://www.suredividend.com/sure-analysis-research-database/","Bankwell Financial Group Inc")</f>
        <v>Bankwell Financial Group Inc</v>
      </c>
      <c r="C208" s="2" t="s">
        <v>22</v>
      </c>
      <c r="D208" s="4">
        <v>26.14</v>
      </c>
      <c r="E208" s="5">
        <v>0.026159517953717</v>
      </c>
      <c r="F208" s="5">
        <v>0.0</v>
      </c>
      <c r="G208" s="5">
        <v>0.0899769870483453</v>
      </c>
      <c r="H208" s="4">
        <v>0.782954372354766</v>
      </c>
      <c r="I208" s="4">
        <v>234.699567</v>
      </c>
      <c r="J208" s="6">
        <v>0.0</v>
      </c>
      <c r="K208" s="5" t="s">
        <v>15</v>
      </c>
      <c r="L208" s="7">
        <v>1.08058125175232</v>
      </c>
      <c r="M208" s="4">
        <v>30.83</v>
      </c>
      <c r="N208" s="2">
        <v>20.39</v>
      </c>
    </row>
    <row r="209">
      <c r="A209" s="2" t="s">
        <v>234</v>
      </c>
      <c r="B209" s="3" t="str">
        <f>HYPERLINK("https://www.suredividend.com/sure-analysis-research-database/","Bluelinx Hldgs Inc")</f>
        <v>Bluelinx Hldgs Inc</v>
      </c>
      <c r="C209" s="2" t="s">
        <v>17</v>
      </c>
      <c r="D209" s="4">
        <v>114.59</v>
      </c>
      <c r="E209" s="5">
        <v>0.0</v>
      </c>
      <c r="F209" s="5" t="s">
        <v>15</v>
      </c>
      <c r="G209" s="5" t="s">
        <v>15</v>
      </c>
      <c r="H209" s="4">
        <v>0.0</v>
      </c>
      <c r="I209" s="4">
        <v>984.469</v>
      </c>
      <c r="J209" s="6">
        <v>9.97981672130649</v>
      </c>
      <c r="K209" s="5">
        <v>0.0</v>
      </c>
      <c r="L209" s="7">
        <v>1.7557049865432</v>
      </c>
      <c r="M209" s="4">
        <v>117.09</v>
      </c>
      <c r="N209" s="2">
        <v>61.8</v>
      </c>
    </row>
    <row r="210">
      <c r="A210" s="2" t="s">
        <v>235</v>
      </c>
      <c r="B210" s="3" t="str">
        <f>HYPERLINK("https://www.suredividend.com/sure-analysis-BXMT/","Blackstone Mortgage Trust Inc")</f>
        <v>Blackstone Mortgage Trust Inc</v>
      </c>
      <c r="C210" s="2" t="s">
        <v>20</v>
      </c>
      <c r="D210" s="4">
        <v>19.03</v>
      </c>
      <c r="E210" s="5">
        <v>0.130320546505517</v>
      </c>
      <c r="F210" s="5">
        <v>0.0</v>
      </c>
      <c r="G210" s="5">
        <v>0.0</v>
      </c>
      <c r="H210" s="4">
        <v>2.37781458742647</v>
      </c>
      <c r="I210" s="4">
        <v>3683.721811</v>
      </c>
      <c r="J210" s="6">
        <v>18.2913924227994</v>
      </c>
      <c r="K210" s="5">
        <v>1.98151215618873</v>
      </c>
      <c r="L210" s="7">
        <v>1.56861883464803</v>
      </c>
      <c r="M210" s="4">
        <v>22.66</v>
      </c>
      <c r="N210" s="2">
        <v>15.01</v>
      </c>
    </row>
    <row r="211">
      <c r="A211" s="2" t="s">
        <v>236</v>
      </c>
      <c r="B211" s="3" t="str">
        <f>HYPERLINK("https://www.suredividend.com/sure-analysis-research-database/","Byline Bancorp Inc")</f>
        <v>Byline Bancorp Inc</v>
      </c>
      <c r="C211" s="2" t="s">
        <v>22</v>
      </c>
      <c r="D211" s="4">
        <v>20.85</v>
      </c>
      <c r="E211" s="5">
        <v>0.015761641081372</v>
      </c>
      <c r="F211" s="5" t="s">
        <v>15</v>
      </c>
      <c r="G211" s="5" t="s">
        <v>15</v>
      </c>
      <c r="H211" s="4">
        <v>0.357631636136346</v>
      </c>
      <c r="I211" s="4">
        <v>991.932218</v>
      </c>
      <c r="J211" s="6">
        <v>9.82325078700311</v>
      </c>
      <c r="K211" s="5">
        <v>0.13755062928321</v>
      </c>
      <c r="L211" s="7">
        <v>1.31550855131302</v>
      </c>
      <c r="M211" s="4">
        <v>25.56</v>
      </c>
      <c r="N211" s="2">
        <v>16.18</v>
      </c>
    </row>
    <row r="212">
      <c r="A212" s="2" t="s">
        <v>237</v>
      </c>
      <c r="B212" s="3" t="str">
        <f>HYPERLINK("https://www.suredividend.com/sure-analysis-research-database/","Beyond Meat Inc")</f>
        <v>Beyond Meat Inc</v>
      </c>
      <c r="C212" s="2" t="s">
        <v>89</v>
      </c>
      <c r="D212" s="4">
        <v>6.13</v>
      </c>
      <c r="E212" s="5">
        <v>0.0</v>
      </c>
      <c r="F212" s="5" t="s">
        <v>15</v>
      </c>
      <c r="G212" s="5" t="s">
        <v>15</v>
      </c>
      <c r="H212" s="4">
        <v>0.0</v>
      </c>
      <c r="I212" s="4">
        <v>457.595024</v>
      </c>
      <c r="J212" s="6" t="s">
        <v>15</v>
      </c>
      <c r="K212" s="5">
        <v>0.0</v>
      </c>
      <c r="L212" s="7">
        <v>2.29734747424136</v>
      </c>
      <c r="M212" s="4">
        <v>22.87</v>
      </c>
      <c r="N212" s="2">
        <v>5.58</v>
      </c>
    </row>
    <row r="213">
      <c r="A213" s="2" t="s">
        <v>238</v>
      </c>
      <c r="B213" s="3" t="str">
        <f>HYPERLINK("https://www.suredividend.com/sure-analysis-research-database/","Beazer Homes USA Inc.")</f>
        <v>Beazer Homes USA Inc.</v>
      </c>
      <c r="C213" s="2" t="s">
        <v>25</v>
      </c>
      <c r="D213" s="4">
        <v>29.24</v>
      </c>
      <c r="E213" s="5">
        <v>0.0</v>
      </c>
      <c r="F213" s="5" t="s">
        <v>15</v>
      </c>
      <c r="G213" s="5" t="s">
        <v>15</v>
      </c>
      <c r="H213" s="4">
        <v>0.0</v>
      </c>
      <c r="I213" s="4">
        <v>1027.657472</v>
      </c>
      <c r="J213" s="6">
        <v>6.47910593666265</v>
      </c>
      <c r="K213" s="5">
        <v>0.0</v>
      </c>
      <c r="L213" s="7">
        <v>1.93502871651385</v>
      </c>
      <c r="M213" s="4">
        <v>35.93</v>
      </c>
      <c r="N213" s="2">
        <v>13.56</v>
      </c>
    </row>
    <row r="214">
      <c r="A214" s="2" t="s">
        <v>239</v>
      </c>
      <c r="B214" s="3" t="str">
        <f>HYPERLINK("https://www.suredividend.com/sure-analysis-research-database/","Camden National Corp.")</f>
        <v>Camden National Corp.</v>
      </c>
      <c r="C214" s="2" t="s">
        <v>22</v>
      </c>
      <c r="D214" s="4">
        <v>33.45</v>
      </c>
      <c r="E214" s="5">
        <v>0.042984723850802</v>
      </c>
      <c r="F214" s="5">
        <v>0.0</v>
      </c>
      <c r="G214" s="5">
        <v>0.0696103757250687</v>
      </c>
      <c r="H214" s="4">
        <v>1.61622561679015</v>
      </c>
      <c r="I214" s="4">
        <v>547.385951</v>
      </c>
      <c r="J214" s="6">
        <v>10.9121454298985</v>
      </c>
      <c r="K214" s="5">
        <v>0.471202803728909</v>
      </c>
      <c r="L214" s="7">
        <v>1.05618442427835</v>
      </c>
      <c r="M214" s="4">
        <v>38.8</v>
      </c>
      <c r="N214" s="2">
        <v>25.61</v>
      </c>
    </row>
    <row r="215">
      <c r="A215" s="2" t="s">
        <v>240</v>
      </c>
      <c r="B215" s="3" t="str">
        <f>HYPERLINK("https://www.suredividend.com/sure-analysis-research-database/","Cadence Bank")</f>
        <v>Cadence Bank</v>
      </c>
      <c r="C215" s="2" t="s">
        <v>22</v>
      </c>
      <c r="D215" s="4">
        <v>25.8</v>
      </c>
      <c r="E215" s="5">
        <v>0.03090263717808</v>
      </c>
      <c r="F215" s="5">
        <v>0.0681818181818183</v>
      </c>
      <c r="G215" s="5">
        <v>0.0607327130385333</v>
      </c>
      <c r="H215" s="4">
        <v>0.926770088970636</v>
      </c>
      <c r="I215" s="4">
        <v>5478.126859</v>
      </c>
      <c r="J215" s="6">
        <v>14.7385881061702</v>
      </c>
      <c r="K215" s="5">
        <v>0.458797073747839</v>
      </c>
      <c r="L215" s="7">
        <v>1.90823712983417</v>
      </c>
      <c r="M215" s="4">
        <v>31.45</v>
      </c>
      <c r="N215" s="2">
        <v>16.45</v>
      </c>
    </row>
    <row r="216">
      <c r="A216" s="2" t="s">
        <v>241</v>
      </c>
      <c r="B216" s="3" t="str">
        <f>HYPERLINK("https://www.suredividend.com/sure-analysis-CAKE/","Cheesecake Factory Inc.")</f>
        <v>Cheesecake Factory Inc.</v>
      </c>
      <c r="C216" s="2" t="s">
        <v>25</v>
      </c>
      <c r="D216" s="4">
        <v>34.19</v>
      </c>
      <c r="E216" s="5">
        <v>0.0315881836794384</v>
      </c>
      <c r="F216" s="5" t="s">
        <v>15</v>
      </c>
      <c r="G216" s="5" t="s">
        <v>15</v>
      </c>
      <c r="H216" s="4">
        <v>1.05353620185326</v>
      </c>
      <c r="I216" s="4">
        <v>1769.443337</v>
      </c>
      <c r="J216" s="6">
        <v>20.7262725079651</v>
      </c>
      <c r="K216" s="5">
        <v>0.608980463498999</v>
      </c>
      <c r="L216" s="7">
        <v>0.814460496059994</v>
      </c>
      <c r="M216" s="4">
        <v>39.0</v>
      </c>
      <c r="N216" s="2">
        <v>28.09</v>
      </c>
    </row>
    <row r="217">
      <c r="A217" s="2" t="s">
        <v>242</v>
      </c>
      <c r="B217" s="3" t="str">
        <f>HYPERLINK("https://www.suredividend.com/sure-analysis-research-database/","Caleres Inc")</f>
        <v>Caleres Inc</v>
      </c>
      <c r="C217" s="2" t="s">
        <v>25</v>
      </c>
      <c r="D217" s="4">
        <v>31.81</v>
      </c>
      <c r="E217" s="5">
        <v>0.008805746841253</v>
      </c>
      <c r="F217" s="5">
        <v>0.0</v>
      </c>
      <c r="G217" s="5">
        <v>0.0</v>
      </c>
      <c r="H217" s="4">
        <v>0.278966059930916</v>
      </c>
      <c r="I217" s="4">
        <v>1124.709696</v>
      </c>
      <c r="J217" s="6">
        <v>7.52158212009549</v>
      </c>
      <c r="K217" s="5">
        <v>0.0639830412685587</v>
      </c>
      <c r="L217" s="7">
        <v>1.12629439004238</v>
      </c>
      <c r="M217" s="4">
        <v>32.06</v>
      </c>
      <c r="N217" s="2">
        <v>16.72</v>
      </c>
    </row>
    <row r="218">
      <c r="A218" s="2" t="s">
        <v>243</v>
      </c>
      <c r="B218" s="3" t="str">
        <f>HYPERLINK("https://www.suredividend.com/sure-analysis-research-database/","Cal-Maine Foods, Inc.")</f>
        <v>Cal-Maine Foods, Inc.</v>
      </c>
      <c r="C218" s="2" t="s">
        <v>89</v>
      </c>
      <c r="D218" s="4">
        <v>55.88</v>
      </c>
      <c r="E218" s="5">
        <v>0.052474359403284</v>
      </c>
      <c r="F218" s="5" t="s">
        <v>15</v>
      </c>
      <c r="G218" s="5" t="s">
        <v>15</v>
      </c>
      <c r="H218" s="4">
        <v>2.87654992864114</v>
      </c>
      <c r="I218" s="4">
        <v>2422.011316</v>
      </c>
      <c r="J218" s="6">
        <v>5.35742463465189</v>
      </c>
      <c r="K218" s="5">
        <v>0.310978370663907</v>
      </c>
      <c r="L218" s="7">
        <v>0.519918066231659</v>
      </c>
      <c r="M218" s="4">
        <v>57.71</v>
      </c>
      <c r="N218" s="2">
        <v>41.71</v>
      </c>
    </row>
    <row r="219">
      <c r="A219" s="2" t="s">
        <v>244</v>
      </c>
      <c r="B219" s="3" t="str">
        <f>HYPERLINK("https://www.suredividend.com/sure-analysis-research-database/","Calix Inc")</f>
        <v>Calix Inc</v>
      </c>
      <c r="C219" s="2" t="s">
        <v>40</v>
      </c>
      <c r="D219" s="4">
        <v>34.22</v>
      </c>
      <c r="E219" s="5">
        <v>0.0</v>
      </c>
      <c r="F219" s="5" t="s">
        <v>15</v>
      </c>
      <c r="G219" s="5" t="s">
        <v>15</v>
      </c>
      <c r="H219" s="4">
        <v>0.0</v>
      </c>
      <c r="I219" s="4">
        <v>2922.665</v>
      </c>
      <c r="J219" s="6">
        <v>61.0784518609851</v>
      </c>
      <c r="K219" s="5">
        <v>0.0</v>
      </c>
      <c r="L219" s="7">
        <v>1.43126984089193</v>
      </c>
      <c r="M219" s="4">
        <v>56.47</v>
      </c>
      <c r="N219" s="2">
        <v>31.95</v>
      </c>
    </row>
    <row r="220">
      <c r="A220" s="2" t="s">
        <v>245</v>
      </c>
      <c r="B220" s="3" t="str">
        <f>HYPERLINK("https://www.suredividend.com/sure-analysis-research-database/","Cara Therapeutics Inc")</f>
        <v>Cara Therapeutics Inc</v>
      </c>
      <c r="C220" s="2" t="s">
        <v>30</v>
      </c>
      <c r="D220" s="4">
        <v>0.5812</v>
      </c>
      <c r="E220" s="5">
        <v>0.0</v>
      </c>
      <c r="F220" s="5" t="s">
        <v>15</v>
      </c>
      <c r="G220" s="5" t="s">
        <v>15</v>
      </c>
      <c r="H220" s="4">
        <v>0.0</v>
      </c>
      <c r="I220" s="4">
        <v>33.233229</v>
      </c>
      <c r="J220" s="6" t="s">
        <v>15</v>
      </c>
      <c r="K220" s="5">
        <v>0.0</v>
      </c>
      <c r="L220" s="7">
        <v>1.65764305719958</v>
      </c>
      <c r="M220" s="4">
        <v>12.49</v>
      </c>
      <c r="N220" s="2">
        <v>0.5</v>
      </c>
    </row>
    <row r="221">
      <c r="A221" s="2" t="s">
        <v>246</v>
      </c>
      <c r="B221" s="3" t="str">
        <f>HYPERLINK("https://www.suredividend.com/sure-analysis-research-database/","Carter Bankshares Inc")</f>
        <v>Carter Bankshares Inc</v>
      </c>
      <c r="C221" s="2" t="s">
        <v>22</v>
      </c>
      <c r="D221" s="4">
        <v>13.87</v>
      </c>
      <c r="E221" s="5">
        <v>0.0</v>
      </c>
      <c r="F221" s="5" t="s">
        <v>15</v>
      </c>
      <c r="G221" s="5" t="s">
        <v>15</v>
      </c>
      <c r="H221" s="4">
        <v>0.0</v>
      </c>
      <c r="I221" s="4">
        <v>350.534348</v>
      </c>
      <c r="J221" s="6">
        <v>8.57450523005797</v>
      </c>
      <c r="K221" s="5">
        <v>0.0</v>
      </c>
      <c r="L221" s="7">
        <v>1.18742984525513</v>
      </c>
      <c r="M221" s="4">
        <v>17.7</v>
      </c>
      <c r="N221" s="2">
        <v>10.43</v>
      </c>
    </row>
    <row r="222">
      <c r="A222" s="2" t="s">
        <v>247</v>
      </c>
      <c r="B222" s="3" t="str">
        <f>HYPERLINK("https://www.suredividend.com/sure-analysis-research-database/","CarGurus Inc")</f>
        <v>CarGurus Inc</v>
      </c>
      <c r="C222" s="2" t="s">
        <v>114</v>
      </c>
      <c r="D222" s="4">
        <v>23.83</v>
      </c>
      <c r="E222" s="5">
        <v>0.0</v>
      </c>
      <c r="F222" s="5" t="s">
        <v>15</v>
      </c>
      <c r="G222" s="5" t="s">
        <v>15</v>
      </c>
      <c r="H222" s="4">
        <v>0.0</v>
      </c>
      <c r="I222" s="4">
        <v>2297.005946</v>
      </c>
      <c r="J222" s="6">
        <v>10.7289599242388</v>
      </c>
      <c r="K222" s="5">
        <v>0.0</v>
      </c>
      <c r="L222" s="7">
        <v>1.36936295788628</v>
      </c>
      <c r="M222" s="4">
        <v>24.64</v>
      </c>
      <c r="N222" s="2">
        <v>15.34</v>
      </c>
    </row>
    <row r="223">
      <c r="A223" s="2" t="s">
        <v>248</v>
      </c>
      <c r="B223" s="3" t="str">
        <f>HYPERLINK("https://www.suredividend.com/sure-analysis-research-database/","Cars.com")</f>
        <v>Cars.com</v>
      </c>
      <c r="C223" s="2" t="s">
        <v>25</v>
      </c>
      <c r="D223" s="4">
        <v>18.34</v>
      </c>
      <c r="E223" s="5">
        <v>0.0</v>
      </c>
      <c r="F223" s="5" t="s">
        <v>15</v>
      </c>
      <c r="G223" s="5" t="s">
        <v>15</v>
      </c>
      <c r="H223" s="4">
        <v>0.0</v>
      </c>
      <c r="I223" s="4">
        <v>1226.568692</v>
      </c>
      <c r="J223" s="6">
        <v>10.1910026065571</v>
      </c>
      <c r="K223" s="5">
        <v>0.0</v>
      </c>
      <c r="L223" s="7">
        <v>1.37884925767698</v>
      </c>
      <c r="M223" s="4">
        <v>22.84</v>
      </c>
      <c r="N223" s="2">
        <v>14.82</v>
      </c>
    </row>
    <row r="224">
      <c r="A224" s="2" t="s">
        <v>249</v>
      </c>
      <c r="B224" s="3" t="str">
        <f>HYPERLINK("https://www.suredividend.com/sure-analysis-research-database/","Casa Systems Inc")</f>
        <v>Casa Systems Inc</v>
      </c>
      <c r="C224" s="2" t="s">
        <v>40</v>
      </c>
      <c r="D224" s="4">
        <v>0.309</v>
      </c>
      <c r="E224" s="5">
        <v>0.0</v>
      </c>
      <c r="F224" s="5" t="s">
        <v>15</v>
      </c>
      <c r="G224" s="5" t="s">
        <v>15</v>
      </c>
      <c r="H224" s="4">
        <v>0.0</v>
      </c>
      <c r="I224" s="4">
        <v>37.364092</v>
      </c>
      <c r="J224" s="6" t="s">
        <v>15</v>
      </c>
      <c r="K224" s="5">
        <v>0.0</v>
      </c>
      <c r="L224" s="7">
        <v>1.38258544012182</v>
      </c>
      <c r="M224" s="4">
        <v>3.96999999999999</v>
      </c>
      <c r="N224" s="2">
        <v>0.3557</v>
      </c>
    </row>
    <row r="225">
      <c r="A225" s="2" t="s">
        <v>250</v>
      </c>
      <c r="B225" s="3" t="str">
        <f>HYPERLINK("https://www.suredividend.com/sure-analysis-research-database/","Pathward Financial Inc")</f>
        <v>Pathward Financial Inc</v>
      </c>
      <c r="C225" s="2" t="s">
        <v>22</v>
      </c>
      <c r="D225" s="4">
        <v>49.25</v>
      </c>
      <c r="E225" s="5">
        <v>0.003693712040796</v>
      </c>
      <c r="F225" s="5">
        <v>0.0</v>
      </c>
      <c r="G225" s="5">
        <v>0.0</v>
      </c>
      <c r="H225" s="4">
        <v>0.199460450202996</v>
      </c>
      <c r="I225" s="4">
        <v>1403.36442</v>
      </c>
      <c r="J225" s="6">
        <v>8.70778731959146</v>
      </c>
      <c r="K225" s="5">
        <v>0.0332989065447405</v>
      </c>
      <c r="L225" s="7">
        <v>1.34988969508092</v>
      </c>
      <c r="M225" s="4">
        <v>60.25</v>
      </c>
      <c r="N225" s="2">
        <v>39.55</v>
      </c>
    </row>
    <row r="226">
      <c r="A226" s="2" t="s">
        <v>251</v>
      </c>
      <c r="B226" s="3" t="str">
        <f>HYPERLINK("https://www.suredividend.com/sure-analysis-CASS/","Cass Information Systems Inc")</f>
        <v>Cass Information Systems Inc</v>
      </c>
      <c r="C226" s="2" t="s">
        <v>17</v>
      </c>
      <c r="D226" s="4">
        <v>42.3</v>
      </c>
      <c r="E226" s="5">
        <v>0.0283687943262411</v>
      </c>
      <c r="F226" s="5">
        <v>0.0344827586206899</v>
      </c>
      <c r="G226" s="5">
        <v>0.0290336610711878</v>
      </c>
      <c r="H226" s="4">
        <v>1.14481550548244</v>
      </c>
      <c r="I226" s="4">
        <v>607.083279</v>
      </c>
      <c r="J226" s="6">
        <v>19.6251140654296</v>
      </c>
      <c r="K226" s="5">
        <v>0.511078350661804</v>
      </c>
      <c r="L226" s="7">
        <v>0.851615279279912</v>
      </c>
      <c r="M226" s="4">
        <v>48.94</v>
      </c>
      <c r="N226" s="2">
        <v>33.52</v>
      </c>
    </row>
    <row r="227">
      <c r="A227" s="2" t="s">
        <v>252</v>
      </c>
      <c r="B227" s="3" t="str">
        <f>HYPERLINK("https://www.suredividend.com/sure-analysis-CATC/","Cambridge Bancorp")</f>
        <v>Cambridge Bancorp</v>
      </c>
      <c r="C227" s="2" t="s">
        <v>22</v>
      </c>
      <c r="D227" s="4">
        <v>66.29</v>
      </c>
      <c r="E227" s="5">
        <v>0.0404284205762558</v>
      </c>
      <c r="F227" s="5" t="s">
        <v>15</v>
      </c>
      <c r="G227" s="5" t="s">
        <v>15</v>
      </c>
      <c r="H227" s="4">
        <v>2.58471706684973</v>
      </c>
      <c r="I227" s="4">
        <v>567.294069</v>
      </c>
      <c r="J227" s="6">
        <v>15.1707244290527</v>
      </c>
      <c r="K227" s="5">
        <v>0.541869406048162</v>
      </c>
      <c r="L227" s="7">
        <v>1.314256552408</v>
      </c>
      <c r="M227" s="4">
        <v>78.93</v>
      </c>
      <c r="N227" s="2">
        <v>41.4</v>
      </c>
    </row>
    <row r="228">
      <c r="A228" s="2" t="s">
        <v>253</v>
      </c>
      <c r="B228" s="3" t="str">
        <f>HYPERLINK("https://www.suredividend.com/sure-analysis-research-database/","Cato Corp.")</f>
        <v>Cato Corp.</v>
      </c>
      <c r="C228" s="2" t="s">
        <v>25</v>
      </c>
      <c r="D228" s="4">
        <v>6.78</v>
      </c>
      <c r="E228" s="5">
        <v>0.092554034689085</v>
      </c>
      <c r="F228" s="5" t="s">
        <v>15</v>
      </c>
      <c r="G228" s="5" t="s">
        <v>15</v>
      </c>
      <c r="H228" s="4">
        <v>0.657133646292508</v>
      </c>
      <c r="I228" s="4">
        <v>133.632735</v>
      </c>
      <c r="J228" s="6" t="s">
        <v>15</v>
      </c>
      <c r="K228" s="5" t="s">
        <v>15</v>
      </c>
      <c r="L228" s="7">
        <v>0.636435343215742</v>
      </c>
      <c r="M228" s="4">
        <v>9.58</v>
      </c>
      <c r="N228" s="2">
        <v>6.38</v>
      </c>
    </row>
    <row r="229">
      <c r="A229" s="2" t="s">
        <v>254</v>
      </c>
      <c r="B229" s="3" t="str">
        <f>HYPERLINK("https://www.suredividend.com/sure-analysis-research-database/","Cathay General Bancorp")</f>
        <v>Cathay General Bancorp</v>
      </c>
      <c r="C229" s="2" t="s">
        <v>22</v>
      </c>
      <c r="D229" s="4">
        <v>39.15</v>
      </c>
      <c r="E229" s="5">
        <v>0.030252394767854</v>
      </c>
      <c r="F229" s="5">
        <v>0.0</v>
      </c>
      <c r="G229" s="5">
        <v>0.0186463764447299</v>
      </c>
      <c r="H229" s="4">
        <v>1.3211220795122</v>
      </c>
      <c r="I229" s="4">
        <v>3172.575847</v>
      </c>
      <c r="J229" s="6">
        <v>8.59313228695094</v>
      </c>
      <c r="K229" s="5">
        <v>0.262127396728611</v>
      </c>
      <c r="L229" s="7">
        <v>1.4835431191049</v>
      </c>
      <c r="M229" s="4">
        <v>45.72</v>
      </c>
      <c r="N229" s="2">
        <v>25.65</v>
      </c>
    </row>
    <row r="230">
      <c r="A230" s="2" t="s">
        <v>255</v>
      </c>
      <c r="B230" s="3" t="str">
        <f>HYPERLINK("https://www.suredividend.com/sure-analysis-research-database/","Colony Bankcorp, Inc.")</f>
        <v>Colony Bankcorp, Inc.</v>
      </c>
      <c r="C230" s="2" t="s">
        <v>22</v>
      </c>
      <c r="D230" s="4">
        <v>11.83</v>
      </c>
      <c r="E230" s="5">
        <v>0.033172141408121</v>
      </c>
      <c r="F230" s="5">
        <v>0.0227272727272727</v>
      </c>
      <c r="G230" s="5">
        <v>0.0844717711976985</v>
      </c>
      <c r="H230" s="4">
        <v>0.426262017094365</v>
      </c>
      <c r="I230" s="4">
        <v>225.748582</v>
      </c>
      <c r="J230" s="6">
        <v>0.0</v>
      </c>
      <c r="K230" s="5" t="s">
        <v>15</v>
      </c>
      <c r="L230" s="7">
        <v>0.838665455140144</v>
      </c>
      <c r="M230" s="4">
        <v>13.58</v>
      </c>
      <c r="N230" s="2">
        <v>8.04</v>
      </c>
    </row>
    <row r="231">
      <c r="A231" s="2" t="s">
        <v>256</v>
      </c>
      <c r="B231" s="3" t="str">
        <f>HYPERLINK("https://www.suredividend.com/sure-analysis-research-database/","CBL&amp; Associates Properties, Inc.")</f>
        <v>CBL&amp; Associates Properties, Inc.</v>
      </c>
      <c r="C231" s="2" t="s">
        <v>20</v>
      </c>
      <c r="D231" s="4">
        <v>23.24</v>
      </c>
      <c r="E231" s="5">
        <v>0.06136877750201</v>
      </c>
      <c r="F231" s="5" t="s">
        <v>15</v>
      </c>
      <c r="G231" s="5" t="s">
        <v>15</v>
      </c>
      <c r="H231" s="4">
        <v>1.46303165564793</v>
      </c>
      <c r="I231" s="4">
        <v>762.90949</v>
      </c>
      <c r="J231" s="6" t="s">
        <v>15</v>
      </c>
      <c r="K231" s="5" t="s">
        <v>15</v>
      </c>
      <c r="L231" s="7">
        <v>0.705469657521715</v>
      </c>
      <c r="M231" s="4">
        <v>25.64</v>
      </c>
      <c r="N231" s="2">
        <v>19.58</v>
      </c>
    </row>
    <row r="232">
      <c r="A232" s="2" t="s">
        <v>257</v>
      </c>
      <c r="B232" s="3" t="str">
        <f>HYPERLINK("https://www.suredividend.com/sure-analysis-research-database/","Capital Bancorp Inc")</f>
        <v>Capital Bancorp Inc</v>
      </c>
      <c r="C232" s="2" t="s">
        <v>22</v>
      </c>
      <c r="D232" s="4">
        <v>20.95</v>
      </c>
      <c r="E232" s="5">
        <v>0.012074809333789</v>
      </c>
      <c r="F232" s="5" t="s">
        <v>15</v>
      </c>
      <c r="G232" s="5" t="s">
        <v>15</v>
      </c>
      <c r="H232" s="4">
        <v>0.277237622303796</v>
      </c>
      <c r="I232" s="4">
        <v>319.01586</v>
      </c>
      <c r="J232" s="6">
        <v>0.0</v>
      </c>
      <c r="K232" s="5" t="s">
        <v>15</v>
      </c>
      <c r="L232" s="7">
        <v>0.773011869627112</v>
      </c>
      <c r="M232" s="4">
        <v>25.0</v>
      </c>
      <c r="N232" s="2">
        <v>15.0</v>
      </c>
    </row>
    <row r="233">
      <c r="A233" s="2" t="s">
        <v>258</v>
      </c>
      <c r="B233" s="3" t="str">
        <f>HYPERLINK("https://www.suredividend.com/sure-analysis-CBRL/","Cracker Barrel Old Country Store Inc")</f>
        <v>Cracker Barrel Old Country Store Inc</v>
      </c>
      <c r="C233" s="2" t="s">
        <v>25</v>
      </c>
      <c r="D233" s="4">
        <v>78.63</v>
      </c>
      <c r="E233" s="5">
        <v>0.0661325193946331</v>
      </c>
      <c r="F233" s="5" t="s">
        <v>15</v>
      </c>
      <c r="G233" s="5" t="s">
        <v>15</v>
      </c>
      <c r="H233" s="4">
        <v>5.00653359376835</v>
      </c>
      <c r="I233" s="4">
        <v>1748.630528</v>
      </c>
      <c r="J233" s="6">
        <v>20.0124807196401</v>
      </c>
      <c r="K233" s="5">
        <v>1.27392712309627</v>
      </c>
      <c r="L233" s="7">
        <v>0.952352504063202</v>
      </c>
      <c r="M233" s="4">
        <v>110.48</v>
      </c>
      <c r="N233" s="2">
        <v>59.37</v>
      </c>
    </row>
    <row r="234">
      <c r="A234" s="2" t="s">
        <v>259</v>
      </c>
      <c r="B234" s="3" t="str">
        <f>HYPERLINK("https://www.suredividend.com/sure-analysis-research-database/","Cabot Corp.")</f>
        <v>Cabot Corp.</v>
      </c>
      <c r="C234" s="2" t="s">
        <v>130</v>
      </c>
      <c r="D234" s="4">
        <v>71.14</v>
      </c>
      <c r="E234" s="5">
        <v>0.020877753838444</v>
      </c>
      <c r="F234" s="5">
        <v>0.0810810810810811</v>
      </c>
      <c r="G234" s="5">
        <v>0.0392241015672063</v>
      </c>
      <c r="H234" s="4">
        <v>1.55748043634796</v>
      </c>
      <c r="I234" s="4">
        <v>4135.019588</v>
      </c>
      <c r="J234" s="6">
        <v>9.46228738718535</v>
      </c>
      <c r="K234" s="5">
        <v>0.201485179346438</v>
      </c>
      <c r="L234" s="7">
        <v>1.34203363791805</v>
      </c>
      <c r="M234" s="4">
        <v>86.67</v>
      </c>
      <c r="N234" s="2">
        <v>63.04</v>
      </c>
    </row>
    <row r="235">
      <c r="A235" s="2" t="s">
        <v>260</v>
      </c>
      <c r="B235" s="3" t="str">
        <f>HYPERLINK("https://www.suredividend.com/sure-analysis-CBU/","Community Bank System, Inc.")</f>
        <v>Community Bank System, Inc.</v>
      </c>
      <c r="C235" s="2" t="s">
        <v>22</v>
      </c>
      <c r="D235" s="4">
        <v>44.28</v>
      </c>
      <c r="E235" s="5">
        <v>0.040650406504065</v>
      </c>
      <c r="F235" s="5">
        <v>0.0227272727272727</v>
      </c>
      <c r="G235" s="5">
        <v>0.0343935014368343</v>
      </c>
      <c r="H235" s="4">
        <v>1.75562077185052</v>
      </c>
      <c r="I235" s="4">
        <v>2630.840643</v>
      </c>
      <c r="J235" s="6">
        <v>17.5116194949212</v>
      </c>
      <c r="K235" s="5">
        <v>0.629254756935672</v>
      </c>
      <c r="L235" s="7">
        <v>1.454309387116</v>
      </c>
      <c r="M235" s="4">
        <v>60.67</v>
      </c>
      <c r="N235" s="2">
        <v>35.07</v>
      </c>
    </row>
    <row r="236">
      <c r="A236" s="2" t="s">
        <v>261</v>
      </c>
      <c r="B236" s="3" t="str">
        <f>HYPERLINK("https://www.suredividend.com/sure-analysis-research-database/","Cbiz Inc")</f>
        <v>Cbiz Inc</v>
      </c>
      <c r="C236" s="2" t="s">
        <v>17</v>
      </c>
      <c r="D236" s="4">
        <v>63.95</v>
      </c>
      <c r="E236" s="5">
        <v>0.0</v>
      </c>
      <c r="F236" s="5" t="s">
        <v>15</v>
      </c>
      <c r="G236" s="5" t="s">
        <v>15</v>
      </c>
      <c r="H236" s="4">
        <v>0.0</v>
      </c>
      <c r="I236" s="4">
        <v>3265.138414</v>
      </c>
      <c r="J236" s="6">
        <v>26.7180964619048</v>
      </c>
      <c r="K236" s="5">
        <v>0.0</v>
      </c>
      <c r="L236" s="7">
        <v>0.893508511589141</v>
      </c>
      <c r="M236" s="4">
        <v>65.69</v>
      </c>
      <c r="N236" s="2">
        <v>45.4</v>
      </c>
    </row>
    <row r="237">
      <c r="A237" s="2" t="s">
        <v>262</v>
      </c>
      <c r="B237" s="3" t="str">
        <f>HYPERLINK("https://www.suredividend.com/sure-analysis-research-database/","Coastal Financial Corp")</f>
        <v>Coastal Financial Corp</v>
      </c>
      <c r="C237" s="2" t="s">
        <v>22</v>
      </c>
      <c r="D237" s="4">
        <v>38.04</v>
      </c>
      <c r="E237" s="5">
        <v>0.0</v>
      </c>
      <c r="F237" s="5" t="s">
        <v>15</v>
      </c>
      <c r="G237" s="5" t="s">
        <v>15</v>
      </c>
      <c r="H237" s="4">
        <v>0.0</v>
      </c>
      <c r="I237" s="4">
        <v>568.413646</v>
      </c>
      <c r="J237" s="6">
        <v>11.6753342049912</v>
      </c>
      <c r="K237" s="5">
        <v>0.0</v>
      </c>
      <c r="L237" s="7">
        <v>1.74606163176159</v>
      </c>
      <c r="M237" s="4">
        <v>48.5</v>
      </c>
      <c r="N237" s="2">
        <v>29.91</v>
      </c>
    </row>
    <row r="238">
      <c r="A238" s="2" t="s">
        <v>263</v>
      </c>
      <c r="B238" s="3" t="str">
        <f>HYPERLINK("https://www.suredividend.com/sure-analysis-research-database/","Capital City Bank Group, Inc.")</f>
        <v>Capital City Bank Group, Inc.</v>
      </c>
      <c r="C238" s="2" t="s">
        <v>22</v>
      </c>
      <c r="D238" s="4">
        <v>27.91</v>
      </c>
      <c r="E238" s="5">
        <v>0.024789144997187</v>
      </c>
      <c r="F238" s="5">
        <v>0.176470588235294</v>
      </c>
      <c r="G238" s="5">
        <v>0.127009202097925</v>
      </c>
      <c r="H238" s="4">
        <v>0.744913807165491</v>
      </c>
      <c r="I238" s="4">
        <v>509.589583</v>
      </c>
      <c r="J238" s="6">
        <v>9.70942730736986</v>
      </c>
      <c r="K238" s="5">
        <v>0.241855132196588</v>
      </c>
      <c r="L238" s="7">
        <v>0.893410811382914</v>
      </c>
      <c r="M238" s="4">
        <v>35.4</v>
      </c>
      <c r="N238" s="2">
        <v>25.73</v>
      </c>
    </row>
    <row r="239">
      <c r="A239" s="2" t="s">
        <v>264</v>
      </c>
      <c r="B239" s="3" t="str">
        <f>HYPERLINK("https://www.suredividend.com/sure-analysis-research-database/","C4 Therapeutics Inc")</f>
        <v>C4 Therapeutics Inc</v>
      </c>
      <c r="C239" s="2" t="s">
        <v>15</v>
      </c>
      <c r="D239" s="4">
        <v>5.3</v>
      </c>
      <c r="E239" s="5">
        <v>0.0</v>
      </c>
      <c r="F239" s="5" t="s">
        <v>15</v>
      </c>
      <c r="G239" s="5" t="s">
        <v>15</v>
      </c>
      <c r="H239" s="4">
        <v>0.0</v>
      </c>
      <c r="I239" s="4">
        <v>311.949021</v>
      </c>
      <c r="J239" s="6" t="s">
        <v>15</v>
      </c>
      <c r="K239" s="5">
        <v>0.0</v>
      </c>
      <c r="L239" s="7">
        <v>3.02603271776024</v>
      </c>
      <c r="M239" s="4">
        <v>8.42</v>
      </c>
      <c r="N239" s="2">
        <v>1.06</v>
      </c>
    </row>
    <row r="240">
      <c r="A240" s="2" t="s">
        <v>265</v>
      </c>
      <c r="B240" s="3" t="str">
        <f>HYPERLINK("https://www.suredividend.com/sure-analysis-research-database/","Chase Corp.")</f>
        <v>Chase Corp.</v>
      </c>
      <c r="C240" s="2" t="s">
        <v>130</v>
      </c>
      <c r="D240" s="4">
        <v>127.49</v>
      </c>
      <c r="E240" s="5">
        <v>0.007843752451172</v>
      </c>
      <c r="F240" s="5" t="s">
        <v>15</v>
      </c>
      <c r="G240" s="5" t="s">
        <v>15</v>
      </c>
      <c r="H240" s="4">
        <v>1.0</v>
      </c>
      <c r="I240" s="4">
        <v>1214.05527</v>
      </c>
      <c r="J240" s="6">
        <v>0.0</v>
      </c>
      <c r="K240" s="5" t="s">
        <v>15</v>
      </c>
      <c r="L240" s="7"/>
      <c r="M240" s="4">
        <v>135.27</v>
      </c>
      <c r="N240" s="2">
        <v>81.18</v>
      </c>
    </row>
    <row r="241">
      <c r="A241" s="2" t="s">
        <v>266</v>
      </c>
      <c r="B241" s="3" t="str">
        <f>HYPERLINK("https://www.suredividend.com/sure-analysis-research-database/","CNB Financial Corp (PA)")</f>
        <v>CNB Financial Corp (PA)</v>
      </c>
      <c r="C241" s="2" t="s">
        <v>22</v>
      </c>
      <c r="D241" s="4">
        <v>20.24</v>
      </c>
      <c r="E241" s="5">
        <v>0.030227336063276</v>
      </c>
      <c r="F241" s="5">
        <v>0.0</v>
      </c>
      <c r="G241" s="5">
        <v>0.00581434544441439</v>
      </c>
      <c r="H241" s="4">
        <v>0.681324154866252</v>
      </c>
      <c r="I241" s="4">
        <v>471.036547</v>
      </c>
      <c r="J241" s="6">
        <v>8.50753241533765</v>
      </c>
      <c r="K241" s="5">
        <v>0.259058614017586</v>
      </c>
      <c r="L241" s="7">
        <v>1.33568205888724</v>
      </c>
      <c r="M241" s="4">
        <v>23.52</v>
      </c>
      <c r="N241" s="2">
        <v>15.58</v>
      </c>
    </row>
    <row r="242">
      <c r="A242" s="2" t="s">
        <v>267</v>
      </c>
      <c r="B242" s="3" t="str">
        <f>HYPERLINK("https://www.suredividend.com/sure-analysis-research-database/","Clear Channel Outdoor Holdings Inc.")</f>
        <v>Clear Channel Outdoor Holdings Inc.</v>
      </c>
      <c r="C242" s="2" t="s">
        <v>114</v>
      </c>
      <c r="D242" s="4">
        <v>1.65</v>
      </c>
      <c r="E242" s="5">
        <v>0.0</v>
      </c>
      <c r="F242" s="5" t="s">
        <v>15</v>
      </c>
      <c r="G242" s="5" t="s">
        <v>15</v>
      </c>
      <c r="H242" s="4">
        <v>0.0</v>
      </c>
      <c r="I242" s="4">
        <v>879.077869</v>
      </c>
      <c r="J242" s="6" t="s">
        <v>15</v>
      </c>
      <c r="K242" s="5">
        <v>0.0</v>
      </c>
      <c r="L242" s="7">
        <v>1.58831729318062</v>
      </c>
      <c r="M242" s="4">
        <v>2.14</v>
      </c>
      <c r="N242" s="2">
        <v>0.99</v>
      </c>
    </row>
    <row r="243">
      <c r="A243" s="2" t="s">
        <v>268</v>
      </c>
      <c r="B243" s="3" t="str">
        <f>HYPERLINK("https://www.suredividend.com/sure-analysis-CCOI/","Cogent Communications Holdings Inc")</f>
        <v>Cogent Communications Holdings Inc</v>
      </c>
      <c r="C243" s="2" t="s">
        <v>114</v>
      </c>
      <c r="D243" s="4">
        <v>74.0</v>
      </c>
      <c r="E243" s="5">
        <v>0.0516216216216216</v>
      </c>
      <c r="F243" s="5">
        <v>0.0437158469945355</v>
      </c>
      <c r="G243" s="5">
        <v>0.104879906748703</v>
      </c>
      <c r="H243" s="4">
        <v>3.61780920874393</v>
      </c>
      <c r="I243" s="4">
        <v>3746.088</v>
      </c>
      <c r="J243" s="6">
        <v>3.48752304168916</v>
      </c>
      <c r="K243" s="5">
        <v>0.160221842725595</v>
      </c>
      <c r="L243" s="7">
        <v>0.658225007261685</v>
      </c>
      <c r="M243" s="4">
        <v>79.5</v>
      </c>
      <c r="N243" s="2">
        <v>54.2</v>
      </c>
    </row>
    <row r="244">
      <c r="A244" s="2" t="s">
        <v>269</v>
      </c>
      <c r="B244" s="3" t="str">
        <f>HYPERLINK("https://www.suredividend.com/sure-analysis-research-database/","Cross Country Healthcares, Inc.")</f>
        <v>Cross Country Healthcares, Inc.</v>
      </c>
      <c r="C244" s="2" t="s">
        <v>17</v>
      </c>
      <c r="D244" s="4">
        <v>20.14</v>
      </c>
      <c r="E244" s="5">
        <v>0.0</v>
      </c>
      <c r="F244" s="5" t="s">
        <v>15</v>
      </c>
      <c r="G244" s="5" t="s">
        <v>15</v>
      </c>
      <c r="H244" s="4">
        <v>0.0</v>
      </c>
      <c r="I244" s="4">
        <v>773.318656</v>
      </c>
      <c r="J244" s="6">
        <v>7.55312017502734</v>
      </c>
      <c r="K244" s="5">
        <v>0.0</v>
      </c>
      <c r="L244" s="7">
        <v>0.370282134664015</v>
      </c>
      <c r="M244" s="4">
        <v>31.82</v>
      </c>
      <c r="N244" s="2">
        <v>15.65</v>
      </c>
    </row>
    <row r="245">
      <c r="A245" s="2" t="s">
        <v>270</v>
      </c>
      <c r="B245" s="3" t="str">
        <f>HYPERLINK("https://www.suredividend.com/sure-analysis-research-database/","Century Communities Inc")</f>
        <v>Century Communities Inc</v>
      </c>
      <c r="C245" s="2" t="s">
        <v>25</v>
      </c>
      <c r="D245" s="4">
        <v>89.88</v>
      </c>
      <c r="E245" s="5">
        <v>0.010358508924724</v>
      </c>
      <c r="F245" s="5" t="s">
        <v>15</v>
      </c>
      <c r="G245" s="5" t="s">
        <v>15</v>
      </c>
      <c r="H245" s="4">
        <v>0.915485018767154</v>
      </c>
      <c r="I245" s="4">
        <v>2808.240474</v>
      </c>
      <c r="J245" s="6">
        <v>11.3512418347177</v>
      </c>
      <c r="K245" s="5">
        <v>0.119203778485306</v>
      </c>
      <c r="L245" s="7">
        <v>1.36060522776686</v>
      </c>
      <c r="M245" s="4">
        <v>92.14</v>
      </c>
      <c r="N245" s="2">
        <v>55.66</v>
      </c>
    </row>
    <row r="246">
      <c r="A246" s="2" t="s">
        <v>271</v>
      </c>
      <c r="B246" s="3" t="str">
        <f>HYPERLINK("https://www.suredividend.com/sure-analysis-research-database/","Consensus Cloud Solutions Inc")</f>
        <v>Consensus Cloud Solutions Inc</v>
      </c>
      <c r="C246" s="2" t="s">
        <v>15</v>
      </c>
      <c r="D246" s="4">
        <v>19.75</v>
      </c>
      <c r="E246" s="5">
        <v>0.0</v>
      </c>
      <c r="F246" s="5" t="s">
        <v>15</v>
      </c>
      <c r="G246" s="5" t="s">
        <v>15</v>
      </c>
      <c r="H246" s="4">
        <v>0.0</v>
      </c>
      <c r="I246" s="4">
        <v>392.457264</v>
      </c>
      <c r="J246" s="6">
        <v>5.10433836669397</v>
      </c>
      <c r="K246" s="5">
        <v>0.0</v>
      </c>
      <c r="L246" s="7">
        <v>1.06584480512904</v>
      </c>
      <c r="M246" s="4">
        <v>62.08</v>
      </c>
      <c r="N246" s="2">
        <v>17.57</v>
      </c>
    </row>
    <row r="247">
      <c r="A247" s="2" t="s">
        <v>272</v>
      </c>
      <c r="B247" s="3" t="str">
        <f>HYPERLINK("https://www.suredividend.com/sure-analysis-research-database/","Coeur Mining Inc")</f>
        <v>Coeur Mining Inc</v>
      </c>
      <c r="C247" s="2" t="s">
        <v>130</v>
      </c>
      <c r="D247" s="4">
        <v>2.66</v>
      </c>
      <c r="E247" s="5">
        <v>0.0</v>
      </c>
      <c r="F247" s="5" t="s">
        <v>15</v>
      </c>
      <c r="G247" s="5" t="s">
        <v>15</v>
      </c>
      <c r="H247" s="4">
        <v>0.0</v>
      </c>
      <c r="I247" s="4">
        <v>1128.698547</v>
      </c>
      <c r="J247" s="6" t="s">
        <v>15</v>
      </c>
      <c r="K247" s="5">
        <v>0.0</v>
      </c>
      <c r="L247" s="7">
        <v>1.18147800122863</v>
      </c>
      <c r="M247" s="4">
        <v>4.55</v>
      </c>
      <c r="N247" s="2">
        <v>2.0</v>
      </c>
    </row>
    <row r="248">
      <c r="A248" s="2" t="s">
        <v>273</v>
      </c>
      <c r="B248" s="3" t="str">
        <f>HYPERLINK("https://www.suredividend.com/sure-analysis-research-database/","Cardlytics Inc")</f>
        <v>Cardlytics Inc</v>
      </c>
      <c r="C248" s="2" t="s">
        <v>114</v>
      </c>
      <c r="D248" s="4">
        <v>6.93</v>
      </c>
      <c r="E248" s="5">
        <v>0.0</v>
      </c>
      <c r="F248" s="5" t="s">
        <v>15</v>
      </c>
      <c r="G248" s="5" t="s">
        <v>15</v>
      </c>
      <c r="H248" s="4">
        <v>0.0</v>
      </c>
      <c r="I248" s="4">
        <v>282.23731</v>
      </c>
      <c r="J248" s="6" t="s">
        <v>15</v>
      </c>
      <c r="K248" s="5">
        <v>0.0</v>
      </c>
      <c r="L248" s="7">
        <v>3.47972143837749</v>
      </c>
      <c r="M248" s="4">
        <v>19.57</v>
      </c>
      <c r="N248" s="2">
        <v>2.57</v>
      </c>
    </row>
    <row r="249">
      <c r="A249" s="2" t="s">
        <v>274</v>
      </c>
      <c r="B249" s="3" t="str">
        <f>HYPERLINK("https://www.suredividend.com/sure-analysis-research-database/","Avid Bioservices Inc")</f>
        <v>Avid Bioservices Inc</v>
      </c>
      <c r="C249" s="2" t="s">
        <v>30</v>
      </c>
      <c r="D249" s="4">
        <v>6.27</v>
      </c>
      <c r="E249" s="5">
        <v>0.0</v>
      </c>
      <c r="F249" s="5" t="s">
        <v>15</v>
      </c>
      <c r="G249" s="5" t="s">
        <v>15</v>
      </c>
      <c r="H249" s="4">
        <v>0.0</v>
      </c>
      <c r="I249" s="4">
        <v>464.176007</v>
      </c>
      <c r="J249" s="6" t="s">
        <v>15</v>
      </c>
      <c r="K249" s="5">
        <v>0.0</v>
      </c>
      <c r="L249" s="7">
        <v>1.81602556212321</v>
      </c>
      <c r="M249" s="4">
        <v>21.05</v>
      </c>
      <c r="N249" s="2">
        <v>4.07</v>
      </c>
    </row>
    <row r="250">
      <c r="A250" s="2" t="s">
        <v>275</v>
      </c>
      <c r="B250" s="3" t="str">
        <f>HYPERLINK("https://www.suredividend.com/sure-analysis-research-database/","Caredx Inc")</f>
        <v>Caredx Inc</v>
      </c>
      <c r="C250" s="2" t="s">
        <v>30</v>
      </c>
      <c r="D250" s="4">
        <v>8.56</v>
      </c>
      <c r="E250" s="5">
        <v>0.0</v>
      </c>
      <c r="F250" s="5" t="s">
        <v>15</v>
      </c>
      <c r="G250" s="5" t="s">
        <v>15</v>
      </c>
      <c r="H250" s="4">
        <v>0.0</v>
      </c>
      <c r="I250" s="4">
        <v>534.491975</v>
      </c>
      <c r="J250" s="6" t="s">
        <v>15</v>
      </c>
      <c r="K250" s="5">
        <v>0.0</v>
      </c>
      <c r="L250" s="7">
        <v>1.77995740991651</v>
      </c>
      <c r="M250" s="4">
        <v>18.04</v>
      </c>
      <c r="N250" s="2">
        <v>4.8</v>
      </c>
    </row>
    <row r="251">
      <c r="A251" s="2" t="s">
        <v>276</v>
      </c>
      <c r="B251" s="3" t="str">
        <f>HYPERLINK("https://www.suredividend.com/sure-analysis-research-database/","Cadre Holdings Inc")</f>
        <v>Cadre Holdings Inc</v>
      </c>
      <c r="C251" s="2" t="s">
        <v>15</v>
      </c>
      <c r="D251" s="4">
        <v>34.43</v>
      </c>
      <c r="E251" s="5">
        <v>0.009470271863211</v>
      </c>
      <c r="F251" s="5" t="s">
        <v>15</v>
      </c>
      <c r="G251" s="5" t="s">
        <v>15</v>
      </c>
      <c r="H251" s="4">
        <v>0.318485242759818</v>
      </c>
      <c r="I251" s="4">
        <v>1264.018223</v>
      </c>
      <c r="J251" s="6">
        <v>35.4603103442181</v>
      </c>
      <c r="K251" s="5">
        <v>0.335106526472872</v>
      </c>
      <c r="L251" s="7">
        <v>0.603208851671067</v>
      </c>
      <c r="M251" s="4">
        <v>34.71</v>
      </c>
      <c r="N251" s="2">
        <v>16.41</v>
      </c>
    </row>
    <row r="252">
      <c r="A252" s="2" t="s">
        <v>277</v>
      </c>
      <c r="B252" s="3" t="str">
        <f>HYPERLINK("https://www.suredividend.com/sure-analysis-research-database/","Codexis Inc.")</f>
        <v>Codexis Inc.</v>
      </c>
      <c r="C252" s="2" t="s">
        <v>30</v>
      </c>
      <c r="D252" s="4">
        <v>2.59</v>
      </c>
      <c r="E252" s="5">
        <v>0.0</v>
      </c>
      <c r="F252" s="5" t="s">
        <v>15</v>
      </c>
      <c r="G252" s="5" t="s">
        <v>15</v>
      </c>
      <c r="H252" s="4">
        <v>0.0</v>
      </c>
      <c r="I252" s="4">
        <v>198.93</v>
      </c>
      <c r="J252" s="6">
        <v>0.0</v>
      </c>
      <c r="K252" s="5" t="s">
        <v>15</v>
      </c>
      <c r="L252" s="7">
        <v>2.79710258182585</v>
      </c>
      <c r="M252" s="4">
        <v>6.98</v>
      </c>
      <c r="N252" s="2">
        <v>1.45</v>
      </c>
    </row>
    <row r="253">
      <c r="A253" s="2" t="s">
        <v>278</v>
      </c>
      <c r="B253" s="3" t="str">
        <f>HYPERLINK("https://www.suredividend.com/sure-analysis-research-database/","Consol Energy Inc")</f>
        <v>Consol Energy Inc</v>
      </c>
      <c r="C253" s="2" t="s">
        <v>125</v>
      </c>
      <c r="D253" s="4">
        <v>91.58</v>
      </c>
      <c r="E253" s="5">
        <v>0.023275225270774</v>
      </c>
      <c r="F253" s="5" t="s">
        <v>15</v>
      </c>
      <c r="G253" s="5" t="s">
        <v>15</v>
      </c>
      <c r="H253" s="4">
        <v>2.18042310336619</v>
      </c>
      <c r="I253" s="4">
        <v>2905.003872</v>
      </c>
      <c r="J253" s="6">
        <v>4.19894119200626</v>
      </c>
      <c r="K253" s="5">
        <v>0.108912242925384</v>
      </c>
      <c r="L253" s="7">
        <v>0.946374532521907</v>
      </c>
      <c r="M253" s="4">
        <v>114.3</v>
      </c>
      <c r="N253" s="2">
        <v>48.47</v>
      </c>
    </row>
    <row r="254">
      <c r="A254" s="2" t="s">
        <v>279</v>
      </c>
      <c r="B254" s="3" t="str">
        <f>HYPERLINK("https://www.suredividend.com/sure-analysis-research-database/","Celsius Holdings Inc")</f>
        <v>Celsius Holdings Inc</v>
      </c>
      <c r="C254" s="2" t="s">
        <v>89</v>
      </c>
      <c r="D254" s="4">
        <v>53.21</v>
      </c>
      <c r="E254" s="5">
        <v>0.0</v>
      </c>
      <c r="F254" s="5" t="s">
        <v>15</v>
      </c>
      <c r="G254" s="5" t="s">
        <v>15</v>
      </c>
      <c r="H254" s="4">
        <v>0.0</v>
      </c>
      <c r="I254" s="4">
        <v>3958.08</v>
      </c>
      <c r="J254" s="6">
        <v>34.4930718954248</v>
      </c>
      <c r="K254" s="5">
        <v>0.0</v>
      </c>
      <c r="L254" s="7">
        <v>1.27529671000989</v>
      </c>
      <c r="M254" s="4">
        <v>68.95</v>
      </c>
      <c r="N254" s="2">
        <v>26.75</v>
      </c>
    </row>
    <row r="255">
      <c r="A255" s="2" t="s">
        <v>280</v>
      </c>
      <c r="B255" s="3" t="str">
        <f>HYPERLINK("https://www.suredividend.com/sure-analysis-research-database/","PhenomeX Inc")</f>
        <v>PhenomeX Inc</v>
      </c>
      <c r="C255" s="2" t="s">
        <v>15</v>
      </c>
      <c r="D255" s="4">
        <v>0.9981</v>
      </c>
      <c r="E255" s="5">
        <v>0.0</v>
      </c>
      <c r="F255" s="5" t="s">
        <v>15</v>
      </c>
      <c r="G255" s="5" t="s">
        <v>15</v>
      </c>
      <c r="H255" s="4">
        <v>0.0</v>
      </c>
      <c r="I255" s="4">
        <v>0.0</v>
      </c>
      <c r="J255" s="6">
        <v>0.0</v>
      </c>
      <c r="K255" s="5" t="s">
        <v>15</v>
      </c>
      <c r="L255" s="7"/>
      <c r="M255" s="4" t="s">
        <v>49</v>
      </c>
      <c r="N255" s="2" t="s">
        <v>49</v>
      </c>
    </row>
    <row r="256">
      <c r="A256" s="2" t="s">
        <v>281</v>
      </c>
      <c r="B256" s="3" t="str">
        <f>HYPERLINK("https://www.suredividend.com/sure-analysis-research-database/","Celularity Inc")</f>
        <v>Celularity Inc</v>
      </c>
      <c r="C256" s="2" t="s">
        <v>15</v>
      </c>
      <c r="D256" s="4">
        <v>0.4754</v>
      </c>
      <c r="E256" s="5">
        <v>0.0</v>
      </c>
      <c r="F256" s="5" t="s">
        <v>15</v>
      </c>
      <c r="G256" s="5" t="s">
        <v>15</v>
      </c>
      <c r="H256" s="4">
        <v>0.0</v>
      </c>
      <c r="I256" s="4">
        <v>62.010125</v>
      </c>
      <c r="J256" s="6" t="s">
        <v>15</v>
      </c>
      <c r="K256" s="5">
        <v>0.0</v>
      </c>
      <c r="L256" s="7">
        <v>1.79566006128241</v>
      </c>
      <c r="M256" s="4">
        <v>1.02</v>
      </c>
      <c r="N256" s="2">
        <v>0.159</v>
      </c>
    </row>
    <row r="257">
      <c r="A257" s="2" t="s">
        <v>282</v>
      </c>
      <c r="B257" s="3" t="str">
        <f>HYPERLINK("https://www.suredividend.com/sure-analysis-research-database/","Cenntro Electric Group Limited")</f>
        <v>Cenntro Electric Group Limited</v>
      </c>
      <c r="C257" s="2" t="s">
        <v>15</v>
      </c>
      <c r="D257" s="4">
        <v>1.14</v>
      </c>
      <c r="E257" s="5">
        <v>0.0</v>
      </c>
      <c r="F257" s="5" t="s">
        <v>15</v>
      </c>
      <c r="G257" s="5" t="s">
        <v>15</v>
      </c>
      <c r="H257" s="4">
        <v>0.0</v>
      </c>
      <c r="I257" s="4">
        <v>383.605855</v>
      </c>
      <c r="J257" s="6" t="s">
        <v>15</v>
      </c>
      <c r="K257" s="5">
        <v>0.0</v>
      </c>
      <c r="L257" s="7">
        <v>2.18491494683203</v>
      </c>
      <c r="M257" s="4">
        <v>8.71</v>
      </c>
      <c r="N257" s="2">
        <v>1.0</v>
      </c>
    </row>
    <row r="258">
      <c r="A258" s="2" t="s">
        <v>283</v>
      </c>
      <c r="B258" s="3" t="str">
        <f t="shared" ref="B258:B259" si="1">HYPERLINK("https://www.suredividend.com/sure-analysis-research-database/","Central Garden &amp; Pet Co.")</f>
        <v>Central Garden &amp; Pet Co.</v>
      </c>
      <c r="C258" s="2" t="s">
        <v>89</v>
      </c>
      <c r="D258" s="4">
        <v>46.36</v>
      </c>
      <c r="E258" s="5">
        <v>0.0</v>
      </c>
      <c r="F258" s="5" t="s">
        <v>15</v>
      </c>
      <c r="G258" s="5" t="s">
        <v>15</v>
      </c>
      <c r="H258" s="4">
        <v>0.0</v>
      </c>
      <c r="I258" s="4">
        <v>2309.882115</v>
      </c>
      <c r="J258" s="6">
        <v>18.3844871166718</v>
      </c>
      <c r="K258" s="5">
        <v>0.0</v>
      </c>
      <c r="L258" s="7">
        <v>0.661643920650328</v>
      </c>
      <c r="M258" s="4">
        <v>51.71</v>
      </c>
      <c r="N258" s="2">
        <v>35.6</v>
      </c>
    </row>
    <row r="259">
      <c r="A259" s="2" t="s">
        <v>284</v>
      </c>
      <c r="B259" s="3" t="str">
        <f t="shared" si="1"/>
        <v>Central Garden &amp; Pet Co.</v>
      </c>
      <c r="C259" s="2" t="s">
        <v>89</v>
      </c>
      <c r="D259" s="4">
        <v>40.7</v>
      </c>
      <c r="E259" s="5">
        <v>0.0</v>
      </c>
      <c r="F259" s="5" t="s">
        <v>15</v>
      </c>
      <c r="G259" s="5" t="s">
        <v>15</v>
      </c>
      <c r="H259" s="4">
        <v>0.0</v>
      </c>
      <c r="I259" s="4">
        <v>2309.882115</v>
      </c>
      <c r="J259" s="6">
        <v>18.3844871166718</v>
      </c>
      <c r="K259" s="5">
        <v>0.0</v>
      </c>
      <c r="L259" s="7">
        <v>0.680776805796436</v>
      </c>
      <c r="M259" s="4">
        <v>45.93</v>
      </c>
      <c r="N259" s="2">
        <v>33.77</v>
      </c>
    </row>
    <row r="260">
      <c r="A260" s="2" t="s">
        <v>285</v>
      </c>
      <c r="B260" s="3" t="str">
        <f>HYPERLINK("https://www.suredividend.com/sure-analysis-research-database/","Century Aluminum Co.")</f>
        <v>Century Aluminum Co.</v>
      </c>
      <c r="C260" s="2" t="s">
        <v>130</v>
      </c>
      <c r="D260" s="4">
        <v>10.34</v>
      </c>
      <c r="E260" s="5">
        <v>0.0</v>
      </c>
      <c r="F260" s="5" t="s">
        <v>15</v>
      </c>
      <c r="G260" s="5" t="s">
        <v>15</v>
      </c>
      <c r="H260" s="4">
        <v>0.0</v>
      </c>
      <c r="I260" s="4">
        <v>1106.083816</v>
      </c>
      <c r="J260" s="6" t="s">
        <v>15</v>
      </c>
      <c r="K260" s="5">
        <v>0.0</v>
      </c>
      <c r="L260" s="7">
        <v>2.42819133612383</v>
      </c>
      <c r="M260" s="4">
        <v>13.17</v>
      </c>
      <c r="N260" s="2">
        <v>5.7</v>
      </c>
    </row>
    <row r="261">
      <c r="A261" s="2" t="s">
        <v>286</v>
      </c>
      <c r="B261" s="3" t="str">
        <f>HYPERLINK("https://www.suredividend.com/sure-analysis-research-database/","Cerevel Therapeutics Holdings Inc")</f>
        <v>Cerevel Therapeutics Holdings Inc</v>
      </c>
      <c r="C261" s="2" t="s">
        <v>15</v>
      </c>
      <c r="D261" s="4">
        <v>41.7</v>
      </c>
      <c r="E261" s="5">
        <v>0.0</v>
      </c>
      <c r="F261" s="5" t="s">
        <v>15</v>
      </c>
      <c r="G261" s="5" t="s">
        <v>15</v>
      </c>
      <c r="H261" s="4">
        <v>0.0</v>
      </c>
      <c r="I261" s="4">
        <v>7588.452446</v>
      </c>
      <c r="J261" s="6">
        <v>0.0</v>
      </c>
      <c r="K261" s="5" t="s">
        <v>15</v>
      </c>
      <c r="L261" s="7">
        <v>1.24600475056526</v>
      </c>
      <c r="M261" s="4">
        <v>42.87</v>
      </c>
      <c r="N261" s="2">
        <v>19.59</v>
      </c>
    </row>
    <row r="262">
      <c r="A262" s="2" t="s">
        <v>287</v>
      </c>
      <c r="B262" s="3" t="str">
        <f>HYPERLINK("https://www.suredividend.com/sure-analysis-research-database/","Cerus Corp.")</f>
        <v>Cerus Corp.</v>
      </c>
      <c r="C262" s="2" t="s">
        <v>30</v>
      </c>
      <c r="D262" s="4">
        <v>1.88</v>
      </c>
      <c r="E262" s="5">
        <v>0.0</v>
      </c>
      <c r="F262" s="5" t="s">
        <v>15</v>
      </c>
      <c r="G262" s="5" t="s">
        <v>15</v>
      </c>
      <c r="H262" s="4">
        <v>0.0</v>
      </c>
      <c r="I262" s="4">
        <v>375.07779</v>
      </c>
      <c r="J262" s="6" t="s">
        <v>15</v>
      </c>
      <c r="K262" s="5">
        <v>0.0</v>
      </c>
      <c r="L262" s="7">
        <v>2.44339855960211</v>
      </c>
      <c r="M262" s="4">
        <v>3.46</v>
      </c>
      <c r="N262" s="2">
        <v>1.21</v>
      </c>
    </row>
    <row r="263">
      <c r="A263" s="2" t="s">
        <v>288</v>
      </c>
      <c r="B263" s="3" t="str">
        <f>HYPERLINK("https://www.suredividend.com/sure-analysis-research-database/","Ceva Inc.")</f>
        <v>Ceva Inc.</v>
      </c>
      <c r="C263" s="2" t="s">
        <v>40</v>
      </c>
      <c r="D263" s="4">
        <v>19.59</v>
      </c>
      <c r="E263" s="5">
        <v>0.0</v>
      </c>
      <c r="F263" s="5" t="s">
        <v>15</v>
      </c>
      <c r="G263" s="5" t="s">
        <v>15</v>
      </c>
      <c r="H263" s="4">
        <v>0.0</v>
      </c>
      <c r="I263" s="4">
        <v>478.997407</v>
      </c>
      <c r="J263" s="6" t="s">
        <v>15</v>
      </c>
      <c r="K263" s="5">
        <v>0.0</v>
      </c>
      <c r="L263" s="7">
        <v>1.69974506454354</v>
      </c>
      <c r="M263" s="4">
        <v>36.29</v>
      </c>
      <c r="N263" s="2">
        <v>16.38</v>
      </c>
    </row>
    <row r="264">
      <c r="A264" s="2" t="s">
        <v>289</v>
      </c>
      <c r="B264" s="3" t="str">
        <f>HYPERLINK("https://www.suredividend.com/sure-analysis-research-database/","Crossfirst Bankshares Inc")</f>
        <v>Crossfirst Bankshares Inc</v>
      </c>
      <c r="C264" s="2" t="s">
        <v>22</v>
      </c>
      <c r="D264" s="4">
        <v>13.54</v>
      </c>
      <c r="E264" s="5">
        <v>0.0</v>
      </c>
      <c r="F264" s="5" t="s">
        <v>15</v>
      </c>
      <c r="G264" s="5" t="s">
        <v>15</v>
      </c>
      <c r="H264" s="4">
        <v>0.0</v>
      </c>
      <c r="I264" s="4">
        <v>738.467966</v>
      </c>
      <c r="J264" s="6">
        <v>0.0</v>
      </c>
      <c r="K264" s="5" t="s">
        <v>15</v>
      </c>
      <c r="L264" s="7">
        <v>1.35247706610377</v>
      </c>
      <c r="M264" s="4">
        <v>15.07</v>
      </c>
      <c r="N264" s="2">
        <v>9.29</v>
      </c>
    </row>
    <row r="265">
      <c r="A265" s="2" t="s">
        <v>290</v>
      </c>
      <c r="B265" s="3" t="str">
        <f>HYPERLINK("https://www.suredividend.com/sure-analysis-research-database/","Capitol Federal Financial")</f>
        <v>Capitol Federal Financial</v>
      </c>
      <c r="C265" s="2" t="s">
        <v>22</v>
      </c>
      <c r="D265" s="4">
        <v>6.03</v>
      </c>
      <c r="E265" s="5">
        <v>0.049714441588875</v>
      </c>
      <c r="F265" s="5">
        <v>0.0</v>
      </c>
      <c r="G265" s="5">
        <v>0.0</v>
      </c>
      <c r="H265" s="4">
        <v>0.326126736823023</v>
      </c>
      <c r="I265" s="4">
        <v>885.496844</v>
      </c>
      <c r="J265" s="6" t="s">
        <v>15</v>
      </c>
      <c r="K265" s="5" t="s">
        <v>15</v>
      </c>
      <c r="L265" s="7">
        <v>1.20445256604976</v>
      </c>
      <c r="M265" s="4">
        <v>8.16</v>
      </c>
      <c r="N265" s="2">
        <v>4.08</v>
      </c>
    </row>
    <row r="266">
      <c r="A266" s="2" t="s">
        <v>291</v>
      </c>
      <c r="B266" s="3" t="str">
        <f>HYPERLINK("https://www.suredividend.com/sure-analysis-research-database/","Cullinan Oncology Inc")</f>
        <v>Cullinan Oncology Inc</v>
      </c>
      <c r="C266" s="2" t="s">
        <v>15</v>
      </c>
      <c r="D266" s="4">
        <v>18.0</v>
      </c>
      <c r="E266" s="5">
        <v>0.0</v>
      </c>
      <c r="F266" s="5" t="s">
        <v>15</v>
      </c>
      <c r="G266" s="5" t="s">
        <v>15</v>
      </c>
      <c r="H266" s="4">
        <v>0.0</v>
      </c>
      <c r="I266" s="4">
        <v>628.44766</v>
      </c>
      <c r="J266" s="6">
        <v>0.0</v>
      </c>
      <c r="K266" s="5" t="s">
        <v>15</v>
      </c>
      <c r="L266" s="7">
        <v>1.14299700247163</v>
      </c>
      <c r="M266" s="4">
        <v>14.86</v>
      </c>
      <c r="N266" s="2">
        <v>7.64</v>
      </c>
    </row>
    <row r="267">
      <c r="A267" s="2" t="s">
        <v>292</v>
      </c>
      <c r="B267" s="3" t="str">
        <f>HYPERLINK("https://www.suredividend.com/sure-analysis-CHCO/","City Holding Co.")</f>
        <v>City Holding Co.</v>
      </c>
      <c r="C267" s="2" t="s">
        <v>22</v>
      </c>
      <c r="D267" s="4">
        <v>100.43</v>
      </c>
      <c r="E267" s="5">
        <v>0.0284775465498357</v>
      </c>
      <c r="F267" s="5">
        <v>0.0999999999999998</v>
      </c>
      <c r="G267" s="5">
        <v>0.0617103093610877</v>
      </c>
      <c r="H267" s="4">
        <v>2.67430178111642</v>
      </c>
      <c r="I267" s="4">
        <v>1588.487601</v>
      </c>
      <c r="J267" s="6">
        <v>13.635203741663</v>
      </c>
      <c r="K267" s="5">
        <v>0.341982324950949</v>
      </c>
      <c r="L267" s="7">
        <v>0.892990237744055</v>
      </c>
      <c r="M267" s="4">
        <v>114.34</v>
      </c>
      <c r="N267" s="2">
        <v>79.03</v>
      </c>
    </row>
    <row r="268">
      <c r="A268" s="2" t="s">
        <v>293</v>
      </c>
      <c r="B268" s="3" t="str">
        <f>HYPERLINK("https://www.suredividend.com/sure-analysis-CHCT/","Community Healthcare Trust Inc")</f>
        <v>Community Healthcare Trust Inc</v>
      </c>
      <c r="C268" s="2" t="s">
        <v>20</v>
      </c>
      <c r="D268" s="4">
        <v>24.98</v>
      </c>
      <c r="E268" s="5">
        <v>0.0728582866293034</v>
      </c>
      <c r="F268" s="5">
        <v>0.0224719101123596</v>
      </c>
      <c r="G268" s="5">
        <v>0.0222962241145001</v>
      </c>
      <c r="H268" s="4">
        <v>1.76554902094278</v>
      </c>
      <c r="I268" s="4">
        <v>714.055841</v>
      </c>
      <c r="J268" s="6">
        <v>126.85305395985</v>
      </c>
      <c r="K268" s="5">
        <v>7.73007452251657</v>
      </c>
      <c r="L268" s="7">
        <v>0.74672507220144</v>
      </c>
      <c r="M268" s="4">
        <v>41.6</v>
      </c>
      <c r="N268" s="2">
        <v>25.18</v>
      </c>
    </row>
    <row r="269">
      <c r="A269" s="2" t="s">
        <v>294</v>
      </c>
      <c r="B269" s="3" t="str">
        <f>HYPERLINK("https://www.suredividend.com/sure-analysis-research-database/","Chefs` Warehouse Inc")</f>
        <v>Chefs` Warehouse Inc</v>
      </c>
      <c r="C269" s="2" t="s">
        <v>89</v>
      </c>
      <c r="D269" s="4">
        <v>32.42</v>
      </c>
      <c r="E269" s="5">
        <v>0.0</v>
      </c>
      <c r="F269" s="5" t="s">
        <v>15</v>
      </c>
      <c r="G269" s="5" t="s">
        <v>15</v>
      </c>
      <c r="H269" s="4">
        <v>0.0</v>
      </c>
      <c r="I269" s="4">
        <v>1260.164325</v>
      </c>
      <c r="J269" s="6">
        <v>63.7638175039214</v>
      </c>
      <c r="K269" s="5">
        <v>0.0</v>
      </c>
      <c r="L269" s="7">
        <v>1.46793411542563</v>
      </c>
      <c r="M269" s="4">
        <v>39.49</v>
      </c>
      <c r="N269" s="2">
        <v>17.29</v>
      </c>
    </row>
    <row r="270">
      <c r="A270" s="2" t="s">
        <v>295</v>
      </c>
      <c r="B270" s="3" t="str">
        <f>HYPERLINK("https://www.suredividend.com/sure-analysis-research-database/","Chegg Inc")</f>
        <v>Chegg Inc</v>
      </c>
      <c r="C270" s="2" t="s">
        <v>89</v>
      </c>
      <c r="D270" s="4">
        <v>9.3</v>
      </c>
      <c r="E270" s="5">
        <v>0.0</v>
      </c>
      <c r="F270" s="5" t="s">
        <v>15</v>
      </c>
      <c r="G270" s="5" t="s">
        <v>15</v>
      </c>
      <c r="H270" s="4">
        <v>0.0</v>
      </c>
      <c r="I270" s="4">
        <v>1176.6804</v>
      </c>
      <c r="J270" s="6">
        <v>113.436845656994</v>
      </c>
      <c r="K270" s="5">
        <v>0.0</v>
      </c>
      <c r="L270" s="7">
        <v>1.19014970477456</v>
      </c>
      <c r="M270" s="4">
        <v>22.02</v>
      </c>
      <c r="N270" s="2">
        <v>7.32</v>
      </c>
    </row>
    <row r="271">
      <c r="A271" s="2" t="s">
        <v>296</v>
      </c>
      <c r="B271" s="3" t="str">
        <f>HYPERLINK("https://www.suredividend.com/sure-analysis-research-database/","Chord Energy Corp")</f>
        <v>Chord Energy Corp</v>
      </c>
      <c r="C271" s="2" t="s">
        <v>15</v>
      </c>
      <c r="D271" s="4">
        <v>151.14</v>
      </c>
      <c r="E271" s="5">
        <v>0.031488528231097</v>
      </c>
      <c r="F271" s="5" t="s">
        <v>15</v>
      </c>
      <c r="G271" s="5" t="s">
        <v>15</v>
      </c>
      <c r="H271" s="4">
        <v>4.89394705767724</v>
      </c>
      <c r="I271" s="4">
        <v>6415.493435</v>
      </c>
      <c r="J271" s="6">
        <v>5.83741429731672</v>
      </c>
      <c r="K271" s="5">
        <v>0.195679610462904</v>
      </c>
      <c r="L271" s="7">
        <v>0.941202812925354</v>
      </c>
      <c r="M271" s="4">
        <v>172.51</v>
      </c>
      <c r="N271" s="2">
        <v>111.7</v>
      </c>
    </row>
    <row r="272">
      <c r="A272" s="2" t="s">
        <v>297</v>
      </c>
      <c r="B272" s="3" t="str">
        <f>HYPERLINK("https://www.suredividend.com/sure-analysis-research-database/","Coherus Biosciences Inc")</f>
        <v>Coherus Biosciences Inc</v>
      </c>
      <c r="C272" s="2" t="s">
        <v>30</v>
      </c>
      <c r="D272" s="4">
        <v>2.02</v>
      </c>
      <c r="E272" s="5">
        <v>0.0</v>
      </c>
      <c r="F272" s="5" t="s">
        <v>15</v>
      </c>
      <c r="G272" s="5" t="s">
        <v>15</v>
      </c>
      <c r="H272" s="4">
        <v>0.0</v>
      </c>
      <c r="I272" s="4">
        <v>256.13755</v>
      </c>
      <c r="J272" s="6" t="s">
        <v>15</v>
      </c>
      <c r="K272" s="5">
        <v>0.0</v>
      </c>
      <c r="L272" s="7">
        <v>2.11706581852231</v>
      </c>
      <c r="M272" s="4">
        <v>9.13</v>
      </c>
      <c r="N272" s="2">
        <v>1.43</v>
      </c>
    </row>
    <row r="273">
      <c r="A273" s="2" t="s">
        <v>298</v>
      </c>
      <c r="B273" s="3" t="str">
        <f>HYPERLINK("https://www.suredividend.com/sure-analysis-research-database/","Chico`s Fas, Inc.")</f>
        <v>Chico`s Fas, Inc.</v>
      </c>
      <c r="C273" s="2" t="s">
        <v>25</v>
      </c>
      <c r="D273" s="4">
        <v>7.59</v>
      </c>
      <c r="E273" s="5">
        <v>0.0</v>
      </c>
      <c r="F273" s="5" t="s">
        <v>15</v>
      </c>
      <c r="G273" s="5" t="s">
        <v>15</v>
      </c>
      <c r="H273" s="4">
        <v>0.0</v>
      </c>
      <c r="I273" s="4">
        <v>937.041393</v>
      </c>
      <c r="J273" s="6">
        <v>8.39169100561511</v>
      </c>
      <c r="K273" s="5">
        <v>0.0</v>
      </c>
      <c r="L273" s="7">
        <v>1.15831921724146</v>
      </c>
      <c r="M273" s="4">
        <v>7.6</v>
      </c>
      <c r="N273" s="2">
        <v>4.33</v>
      </c>
    </row>
    <row r="274">
      <c r="A274" s="2" t="s">
        <v>299</v>
      </c>
      <c r="B274" s="3" t="str">
        <f>HYPERLINK("https://www.suredividend.com/sure-analysis-research-database/","Chuy`s Holdings Inc")</f>
        <v>Chuy`s Holdings Inc</v>
      </c>
      <c r="C274" s="2" t="s">
        <v>25</v>
      </c>
      <c r="D274" s="4">
        <v>33.84</v>
      </c>
      <c r="E274" s="5">
        <v>0.0</v>
      </c>
      <c r="F274" s="5" t="s">
        <v>15</v>
      </c>
      <c r="G274" s="5" t="s">
        <v>15</v>
      </c>
      <c r="H274" s="4">
        <v>0.0</v>
      </c>
      <c r="I274" s="4">
        <v>608.381069</v>
      </c>
      <c r="J274" s="6">
        <v>21.3414624176518</v>
      </c>
      <c r="K274" s="5">
        <v>0.0</v>
      </c>
      <c r="L274" s="7">
        <v>0.740367917191893</v>
      </c>
      <c r="M274" s="4">
        <v>43.17</v>
      </c>
      <c r="N274" s="2">
        <v>31.6</v>
      </c>
    </row>
    <row r="275">
      <c r="A275" s="2" t="s">
        <v>300</v>
      </c>
      <c r="B275" s="3" t="str">
        <f>HYPERLINK("https://www.suredividend.com/sure-analysis-research-database/","ChampionX Corp.")</f>
        <v>ChampionX Corp.</v>
      </c>
      <c r="C275" s="2" t="s">
        <v>15</v>
      </c>
      <c r="D275" s="4">
        <v>26.57</v>
      </c>
      <c r="E275" s="5">
        <v>0.011922519171458</v>
      </c>
      <c r="F275" s="5" t="s">
        <v>15</v>
      </c>
      <c r="G275" s="5" t="s">
        <v>15</v>
      </c>
      <c r="H275" s="4">
        <v>0.338361094085995</v>
      </c>
      <c r="I275" s="4">
        <v>5528.424</v>
      </c>
      <c r="J275" s="6">
        <v>18.1321036284384</v>
      </c>
      <c r="K275" s="5">
        <v>0.224080194758937</v>
      </c>
      <c r="L275" s="7">
        <v>1.06996893763988</v>
      </c>
      <c r="M275" s="4">
        <v>38.16</v>
      </c>
      <c r="N275" s="2">
        <v>23.33</v>
      </c>
    </row>
    <row r="276">
      <c r="A276" s="2" t="s">
        <v>301</v>
      </c>
      <c r="B276" s="3" t="str">
        <f>HYPERLINK("https://www.suredividend.com/sure-analysis-research-database/","Cipher Mining Inc")</f>
        <v>Cipher Mining Inc</v>
      </c>
      <c r="C276" s="2" t="s">
        <v>15</v>
      </c>
      <c r="D276" s="4">
        <v>2.45</v>
      </c>
      <c r="E276" s="5">
        <v>0.0</v>
      </c>
      <c r="F276" s="5" t="s">
        <v>15</v>
      </c>
      <c r="G276" s="5" t="s">
        <v>15</v>
      </c>
      <c r="H276" s="4">
        <v>0.0</v>
      </c>
      <c r="I276" s="4">
        <v>791.992824</v>
      </c>
      <c r="J276" s="6" t="s">
        <v>15</v>
      </c>
      <c r="K276" s="5">
        <v>0.0</v>
      </c>
      <c r="L276" s="7">
        <v>2.56189015421608</v>
      </c>
      <c r="M276" s="4">
        <v>5.6</v>
      </c>
      <c r="N276" s="2">
        <v>1.18</v>
      </c>
    </row>
    <row r="277">
      <c r="A277" s="2" t="s">
        <v>302</v>
      </c>
      <c r="B277" s="3" t="str">
        <f>HYPERLINK("https://www.suredividend.com/sure-analysis-CIM/","Chimera Investment Corp")</f>
        <v>Chimera Investment Corp</v>
      </c>
      <c r="C277" s="2" t="s">
        <v>20</v>
      </c>
      <c r="D277" s="4">
        <v>4.66</v>
      </c>
      <c r="E277" s="5">
        <v>0.094420600858369</v>
      </c>
      <c r="F277" s="5">
        <v>-0.521739130434782</v>
      </c>
      <c r="G277" s="5">
        <v>-0.261272041211307</v>
      </c>
      <c r="H277" s="4">
        <v>0.667969827394906</v>
      </c>
      <c r="I277" s="4">
        <v>1165.557908</v>
      </c>
      <c r="J277" s="6">
        <v>9.79748588626907</v>
      </c>
      <c r="K277" s="5">
        <v>1.30183166516255</v>
      </c>
      <c r="L277" s="7">
        <v>1.5669716747912</v>
      </c>
      <c r="M277" s="4">
        <v>6.88</v>
      </c>
      <c r="N277" s="2">
        <v>4.11</v>
      </c>
    </row>
    <row r="278">
      <c r="A278" s="2" t="s">
        <v>303</v>
      </c>
      <c r="B278" s="3" t="str">
        <f>HYPERLINK("https://www.suredividend.com/sure-analysis-CIO/","City Office REIT Inc")</f>
        <v>City Office REIT Inc</v>
      </c>
      <c r="C278" s="2" t="s">
        <v>20</v>
      </c>
      <c r="D278" s="4">
        <v>4.65</v>
      </c>
      <c r="E278" s="5">
        <v>0.086021505376344</v>
      </c>
      <c r="F278" s="5">
        <v>-0.5</v>
      </c>
      <c r="G278" s="5">
        <v>-0.157079865957239</v>
      </c>
      <c r="H278" s="4">
        <v>0.482826470091046</v>
      </c>
      <c r="I278" s="4">
        <v>224.853479</v>
      </c>
      <c r="J278" s="6" t="s">
        <v>15</v>
      </c>
      <c r="K278" s="5" t="s">
        <v>15</v>
      </c>
      <c r="L278" s="7">
        <v>1.54698548673774</v>
      </c>
      <c r="M278" s="4">
        <v>9.37</v>
      </c>
      <c r="N278" s="2">
        <v>3.4</v>
      </c>
    </row>
    <row r="279">
      <c r="A279" s="2" t="s">
        <v>304</v>
      </c>
      <c r="B279" s="3" t="str">
        <f>HYPERLINK("https://www.suredividend.com/sure-analysis-research-database/","Circor International Inc")</f>
        <v>Circor International Inc</v>
      </c>
      <c r="C279" s="2" t="s">
        <v>17</v>
      </c>
      <c r="D279" s="4">
        <v>56.0</v>
      </c>
      <c r="E279" s="5">
        <v>0.0</v>
      </c>
      <c r="F279" s="5" t="s">
        <v>15</v>
      </c>
      <c r="G279" s="5" t="s">
        <v>15</v>
      </c>
      <c r="H279" s="4">
        <v>0.0</v>
      </c>
      <c r="I279" s="4">
        <v>1141.939008</v>
      </c>
      <c r="J279" s="6">
        <v>40.8842865633167</v>
      </c>
      <c r="K279" s="5">
        <v>0.0</v>
      </c>
      <c r="L279" s="7">
        <v>1.38193488920343</v>
      </c>
      <c r="M279" s="4">
        <v>56.48</v>
      </c>
      <c r="N279" s="2">
        <v>17.15</v>
      </c>
    </row>
    <row r="280">
      <c r="A280" s="2" t="s">
        <v>305</v>
      </c>
      <c r="B280" s="3" t="str">
        <f>HYPERLINK("https://www.suredividend.com/sure-analysis-research-database/","CISO Global Inc")</f>
        <v>CISO Global Inc</v>
      </c>
      <c r="C280" s="2" t="s">
        <v>15</v>
      </c>
      <c r="D280" s="4">
        <v>0.0939</v>
      </c>
      <c r="E280" s="5">
        <v>0.0</v>
      </c>
      <c r="F280" s="5" t="s">
        <v>15</v>
      </c>
      <c r="G280" s="5" t="s">
        <v>15</v>
      </c>
      <c r="H280" s="4">
        <v>0.0</v>
      </c>
      <c r="I280" s="4">
        <v>18.30593</v>
      </c>
      <c r="J280" s="6" t="s">
        <v>15</v>
      </c>
      <c r="K280" s="5">
        <v>0.0</v>
      </c>
      <c r="L280" s="7">
        <v>1.46147054287016</v>
      </c>
      <c r="M280" s="4">
        <v>1.55</v>
      </c>
      <c r="N280" s="2">
        <v>0.0811</v>
      </c>
    </row>
    <row r="281">
      <c r="A281" s="2" t="s">
        <v>306</v>
      </c>
      <c r="B281" s="3" t="str">
        <f>HYPERLINK("https://www.suredividend.com/sure-analysis-research-database/","Civista Bancshares Inc")</f>
        <v>Civista Bancshares Inc</v>
      </c>
      <c r="C281" s="2" t="s">
        <v>22</v>
      </c>
      <c r="D281" s="4">
        <v>15.96</v>
      </c>
      <c r="E281" s="5">
        <v>0.033210983684534</v>
      </c>
      <c r="F281" s="5" t="s">
        <v>15</v>
      </c>
      <c r="G281" s="5" t="s">
        <v>15</v>
      </c>
      <c r="H281" s="4">
        <v>0.592816058768932</v>
      </c>
      <c r="I281" s="4">
        <v>280.173546</v>
      </c>
      <c r="J281" s="6">
        <v>6.40469874157046</v>
      </c>
      <c r="K281" s="5">
        <v>0.209475639140965</v>
      </c>
      <c r="L281" s="7">
        <v>1.13281709320616</v>
      </c>
      <c r="M281" s="4">
        <v>21.14</v>
      </c>
      <c r="N281" s="2">
        <v>13.22</v>
      </c>
    </row>
    <row r="282">
      <c r="A282" s="2" t="s">
        <v>307</v>
      </c>
      <c r="B282" s="3" t="str">
        <f>HYPERLINK("https://www.suredividend.com/sure-analysis-research-database/","Civitas Resources Inc")</f>
        <v>Civitas Resources Inc</v>
      </c>
      <c r="C282" s="2" t="s">
        <v>15</v>
      </c>
      <c r="D282" s="4">
        <v>60.98</v>
      </c>
      <c r="E282" s="5">
        <v>0.088507033653083</v>
      </c>
      <c r="F282" s="5" t="s">
        <v>15</v>
      </c>
      <c r="G282" s="5" t="s">
        <v>15</v>
      </c>
      <c r="H282" s="4">
        <v>5.8529701354784</v>
      </c>
      <c r="I282" s="4">
        <v>6201.264502</v>
      </c>
      <c r="J282" s="6">
        <v>8.12440979304011</v>
      </c>
      <c r="K282" s="5">
        <v>0.650330015053156</v>
      </c>
      <c r="L282" s="7">
        <v>1.06852551009363</v>
      </c>
      <c r="M282" s="4">
        <v>84.67</v>
      </c>
      <c r="N282" s="2">
        <v>55.84</v>
      </c>
    </row>
    <row r="283">
      <c r="A283" s="2" t="s">
        <v>308</v>
      </c>
      <c r="B283" s="3" t="str">
        <f>HYPERLINK("https://www.suredividend.com/sure-analysis-research-database/","Compx International, Inc.")</f>
        <v>Compx International, Inc.</v>
      </c>
      <c r="C283" s="2" t="s">
        <v>17</v>
      </c>
      <c r="D283" s="4">
        <v>24.5</v>
      </c>
      <c r="E283" s="5">
        <v>0.039272935650827</v>
      </c>
      <c r="F283" s="5">
        <v>0.0</v>
      </c>
      <c r="G283" s="5">
        <v>0.289936684211689</v>
      </c>
      <c r="H283" s="4">
        <v>0.968077863792894</v>
      </c>
      <c r="I283" s="4">
        <v>303.53411</v>
      </c>
      <c r="J283" s="6">
        <v>14.6932960620582</v>
      </c>
      <c r="K283" s="5">
        <v>0.576236823686246</v>
      </c>
      <c r="L283" s="7">
        <v>0.526019759193994</v>
      </c>
      <c r="M283" s="4">
        <v>30.65</v>
      </c>
      <c r="N283" s="2">
        <v>15.16</v>
      </c>
    </row>
    <row r="284">
      <c r="A284" s="2" t="s">
        <v>309</v>
      </c>
      <c r="B284" s="3" t="str">
        <f>HYPERLINK("https://www.suredividend.com/sure-analysis-research-database/","Clarus Corp")</f>
        <v>Clarus Corp</v>
      </c>
      <c r="C284" s="2" t="s">
        <v>25</v>
      </c>
      <c r="D284" s="4">
        <v>5.82</v>
      </c>
      <c r="E284" s="5">
        <v>0.015368561471692</v>
      </c>
      <c r="F284" s="5">
        <v>0.0</v>
      </c>
      <c r="G284" s="5">
        <v>0.0</v>
      </c>
      <c r="H284" s="4">
        <v>0.09881985026298</v>
      </c>
      <c r="I284" s="4">
        <v>245.3007</v>
      </c>
      <c r="J284" s="6" t="s">
        <v>15</v>
      </c>
      <c r="K284" s="5" t="s">
        <v>15</v>
      </c>
      <c r="L284" s="7">
        <v>1.24767216334653</v>
      </c>
      <c r="M284" s="4">
        <v>10.46</v>
      </c>
      <c r="N284" s="2">
        <v>4.72</v>
      </c>
    </row>
    <row r="285">
      <c r="A285" s="2" t="s">
        <v>310</v>
      </c>
      <c r="B285" s="3" t="str">
        <f>HYPERLINK("https://www.suredividend.com/sure-analysis-research-database/","Columbia Financial, Inc")</f>
        <v>Columbia Financial, Inc</v>
      </c>
      <c r="C285" s="2" t="s">
        <v>22</v>
      </c>
      <c r="D285" s="4">
        <v>17.04</v>
      </c>
      <c r="E285" s="5">
        <v>0.0</v>
      </c>
      <c r="F285" s="5" t="s">
        <v>15</v>
      </c>
      <c r="G285" s="5" t="s">
        <v>15</v>
      </c>
      <c r="H285" s="4">
        <v>0.0</v>
      </c>
      <c r="I285" s="4">
        <v>1454.196104</v>
      </c>
      <c r="J285" s="6">
        <v>28.287350298008</v>
      </c>
      <c r="K285" s="5">
        <v>0.0</v>
      </c>
      <c r="L285" s="7">
        <v>1.26120873272063</v>
      </c>
      <c r="M285" s="4">
        <v>21.49</v>
      </c>
      <c r="N285" s="2">
        <v>14.11</v>
      </c>
    </row>
    <row r="286">
      <c r="A286" s="2" t="s">
        <v>311</v>
      </c>
      <c r="B286" s="3" t="str">
        <f>HYPERLINK("https://www.suredividend.com/sure-analysis-research-database/","Chatham Lodging Trust")</f>
        <v>Chatham Lodging Trust</v>
      </c>
      <c r="C286" s="2" t="s">
        <v>20</v>
      </c>
      <c r="D286" s="4">
        <v>10.44</v>
      </c>
      <c r="E286" s="5">
        <v>0.019015628382292</v>
      </c>
      <c r="F286" s="5" t="s">
        <v>15</v>
      </c>
      <c r="G286" s="5" t="s">
        <v>15</v>
      </c>
      <c r="H286" s="4">
        <v>0.208601443353746</v>
      </c>
      <c r="I286" s="4">
        <v>535.982605</v>
      </c>
      <c r="J286" s="6">
        <v>342.2621996871</v>
      </c>
      <c r="K286" s="5">
        <v>6.53923019917699</v>
      </c>
      <c r="L286" s="7">
        <v>1.25282097024103</v>
      </c>
      <c r="M286" s="4">
        <v>13.98</v>
      </c>
      <c r="N286" s="2">
        <v>8.83</v>
      </c>
    </row>
    <row r="287">
      <c r="A287" s="2" t="s">
        <v>312</v>
      </c>
      <c r="B287" s="3" t="str">
        <f>HYPERLINK("https://www.suredividend.com/sure-analysis-research-database/","Celldex Therapeutics Inc.")</f>
        <v>Celldex Therapeutics Inc.</v>
      </c>
      <c r="C287" s="2" t="s">
        <v>30</v>
      </c>
      <c r="D287" s="4">
        <v>37.06</v>
      </c>
      <c r="E287" s="5">
        <v>0.0</v>
      </c>
      <c r="F287" s="5" t="s">
        <v>15</v>
      </c>
      <c r="G287" s="5" t="s">
        <v>15</v>
      </c>
      <c r="H287" s="4">
        <v>0.0</v>
      </c>
      <c r="I287" s="4">
        <v>1719.471487</v>
      </c>
      <c r="J287" s="6" t="s">
        <v>15</v>
      </c>
      <c r="K287" s="5">
        <v>0.0</v>
      </c>
      <c r="L287" s="7">
        <v>1.05404111596447</v>
      </c>
      <c r="M287" s="4">
        <v>47.91</v>
      </c>
      <c r="N287" s="2">
        <v>22.11</v>
      </c>
    </row>
    <row r="288">
      <c r="A288" s="2" t="s">
        <v>313</v>
      </c>
      <c r="B288" s="3" t="str">
        <f>HYPERLINK("https://www.suredividend.com/sure-analysis-research-database/","Clearfield Inc")</f>
        <v>Clearfield Inc</v>
      </c>
      <c r="C288" s="2" t="s">
        <v>40</v>
      </c>
      <c r="D288" s="4">
        <v>28.64</v>
      </c>
      <c r="E288" s="5">
        <v>0.0</v>
      </c>
      <c r="F288" s="5" t="s">
        <v>15</v>
      </c>
      <c r="G288" s="5" t="s">
        <v>15</v>
      </c>
      <c r="H288" s="4">
        <v>0.0</v>
      </c>
      <c r="I288" s="4">
        <v>405.167996</v>
      </c>
      <c r="J288" s="6">
        <v>12.4540619066793</v>
      </c>
      <c r="K288" s="5">
        <v>0.0</v>
      </c>
      <c r="L288" s="7">
        <v>1.55900281895564</v>
      </c>
      <c r="M288" s="4">
        <v>72.74</v>
      </c>
      <c r="N288" s="2">
        <v>22.91</v>
      </c>
    </row>
    <row r="289">
      <c r="A289" s="2" t="s">
        <v>314</v>
      </c>
      <c r="B289" s="3" t="str">
        <f>HYPERLINK("https://www.suredividend.com/sure-analysis-research-database/","Clean Energy Fuels Corp")</f>
        <v>Clean Energy Fuels Corp</v>
      </c>
      <c r="C289" s="2" t="s">
        <v>125</v>
      </c>
      <c r="D289" s="4">
        <v>2.79</v>
      </c>
      <c r="E289" s="5">
        <v>0.0</v>
      </c>
      <c r="F289" s="5" t="s">
        <v>15</v>
      </c>
      <c r="G289" s="5" t="s">
        <v>15</v>
      </c>
      <c r="H289" s="4">
        <v>0.0</v>
      </c>
      <c r="I289" s="4">
        <v>702.514106</v>
      </c>
      <c r="J289" s="6" t="s">
        <v>15</v>
      </c>
      <c r="K289" s="5">
        <v>0.0</v>
      </c>
      <c r="L289" s="7">
        <v>1.82280169064669</v>
      </c>
      <c r="M289" s="4">
        <v>6.1</v>
      </c>
      <c r="N289" s="2">
        <v>2.94</v>
      </c>
    </row>
    <row r="290">
      <c r="A290" s="2" t="s">
        <v>315</v>
      </c>
      <c r="B290" s="3" t="str">
        <f>HYPERLINK("https://www.suredividend.com/sure-analysis-research-database/","Clover Health Investments Corp")</f>
        <v>Clover Health Investments Corp</v>
      </c>
      <c r="C290" s="2" t="s">
        <v>15</v>
      </c>
      <c r="D290" s="4">
        <v>0.9427</v>
      </c>
      <c r="E290" s="5">
        <v>0.0</v>
      </c>
      <c r="F290" s="5" t="s">
        <v>15</v>
      </c>
      <c r="G290" s="5" t="s">
        <v>15</v>
      </c>
      <c r="H290" s="4">
        <v>0.0</v>
      </c>
      <c r="I290" s="4">
        <v>395.578555</v>
      </c>
      <c r="J290" s="6">
        <v>0.0</v>
      </c>
      <c r="K290" s="5" t="s">
        <v>15</v>
      </c>
      <c r="L290" s="7">
        <v>1.5258289084686</v>
      </c>
      <c r="M290" s="4">
        <v>1.63</v>
      </c>
      <c r="N290" s="2">
        <v>0.7078</v>
      </c>
    </row>
    <row r="291">
      <c r="A291" s="2" t="s">
        <v>316</v>
      </c>
      <c r="B291" s="3" t="str">
        <f>HYPERLINK("https://www.suredividend.com/sure-analysis-CLPR/","Clipper Realty Inc")</f>
        <v>Clipper Realty Inc</v>
      </c>
      <c r="C291" s="2" t="s">
        <v>20</v>
      </c>
      <c r="D291" s="4">
        <v>4.95</v>
      </c>
      <c r="E291" s="5">
        <v>0.0767676767676767</v>
      </c>
      <c r="F291" s="5">
        <v>0.0</v>
      </c>
      <c r="G291" s="5">
        <v>0.0</v>
      </c>
      <c r="H291" s="4">
        <v>0.370034167123564</v>
      </c>
      <c r="I291" s="4">
        <v>82.083095</v>
      </c>
      <c r="J291" s="6">
        <v>0.0</v>
      </c>
      <c r="K291" s="5" t="s">
        <v>15</v>
      </c>
      <c r="L291" s="7">
        <v>0.754507000381559</v>
      </c>
      <c r="M291" s="4">
        <v>6.76</v>
      </c>
      <c r="N291" s="2">
        <v>4.39</v>
      </c>
    </row>
    <row r="292">
      <c r="A292" s="2" t="s">
        <v>317</v>
      </c>
      <c r="B292" s="3" t="str">
        <f>HYPERLINK("https://www.suredividend.com/sure-analysis-research-database/","Cleanspark Inc")</f>
        <v>Cleanspark Inc</v>
      </c>
      <c r="C292" s="2" t="s">
        <v>40</v>
      </c>
      <c r="D292" s="4">
        <v>7.76</v>
      </c>
      <c r="E292" s="5">
        <v>0.0</v>
      </c>
      <c r="F292" s="5" t="s">
        <v>15</v>
      </c>
      <c r="G292" s="5" t="s">
        <v>15</v>
      </c>
      <c r="H292" s="4">
        <v>0.0</v>
      </c>
      <c r="I292" s="4">
        <v>1676.720843</v>
      </c>
      <c r="J292" s="6">
        <v>0.0</v>
      </c>
      <c r="K292" s="5" t="s">
        <v>15</v>
      </c>
      <c r="L292" s="7">
        <v>2.95672382182801</v>
      </c>
      <c r="M292" s="4">
        <v>13.56</v>
      </c>
      <c r="N292" s="2">
        <v>2.04</v>
      </c>
    </row>
    <row r="293">
      <c r="A293" s="2" t="s">
        <v>318</v>
      </c>
      <c r="B293" s="3" t="str">
        <f>HYPERLINK("https://www.suredividend.com/sure-analysis-research-database/","Clearwater Paper Corp")</f>
        <v>Clearwater Paper Corp</v>
      </c>
      <c r="C293" s="2" t="s">
        <v>130</v>
      </c>
      <c r="D293" s="4">
        <v>32.35</v>
      </c>
      <c r="E293" s="5">
        <v>0.0</v>
      </c>
      <c r="F293" s="5" t="s">
        <v>15</v>
      </c>
      <c r="G293" s="5" t="s">
        <v>15</v>
      </c>
      <c r="H293" s="4">
        <v>0.0</v>
      </c>
      <c r="I293" s="4">
        <v>551.062422</v>
      </c>
      <c r="J293" s="6">
        <v>6.54468434216152</v>
      </c>
      <c r="K293" s="5">
        <v>0.0</v>
      </c>
      <c r="L293" s="7">
        <v>0.634420329274883</v>
      </c>
      <c r="M293" s="4">
        <v>40.08</v>
      </c>
      <c r="N293" s="2">
        <v>29.22</v>
      </c>
    </row>
    <row r="294">
      <c r="A294" s="2" t="s">
        <v>319</v>
      </c>
      <c r="B294" s="3" t="str">
        <f>HYPERLINK("https://www.suredividend.com/sure-analysis-research-database/","CareMax Inc")</f>
        <v>CareMax Inc</v>
      </c>
      <c r="C294" s="2" t="s">
        <v>15</v>
      </c>
      <c r="D294" s="4">
        <v>7.67</v>
      </c>
      <c r="E294" s="5">
        <v>0.0</v>
      </c>
      <c r="F294" s="5" t="s">
        <v>15</v>
      </c>
      <c r="G294" s="5" t="s">
        <v>15</v>
      </c>
      <c r="H294" s="4">
        <v>0.0</v>
      </c>
      <c r="I294" s="4">
        <v>43.925186</v>
      </c>
      <c r="J294" s="6" t="s">
        <v>15</v>
      </c>
      <c r="K294" s="5">
        <v>0.0</v>
      </c>
      <c r="L294" s="7">
        <v>2.07543278224856</v>
      </c>
      <c r="M294" s="4">
        <v>4.89</v>
      </c>
      <c r="N294" s="2">
        <v>0.301</v>
      </c>
    </row>
    <row r="295">
      <c r="A295" s="2" t="s">
        <v>320</v>
      </c>
      <c r="B295" s="3" t="str">
        <f>HYPERLINK("https://www.suredividend.com/sure-analysis-research-database/","Cambium Networks Corp")</f>
        <v>Cambium Networks Corp</v>
      </c>
      <c r="C295" s="2" t="s">
        <v>40</v>
      </c>
      <c r="D295" s="4">
        <v>4.3</v>
      </c>
      <c r="E295" s="5">
        <v>0.0</v>
      </c>
      <c r="F295" s="5" t="s">
        <v>15</v>
      </c>
      <c r="G295" s="5" t="s">
        <v>15</v>
      </c>
      <c r="H295" s="4">
        <v>0.0</v>
      </c>
      <c r="I295" s="4">
        <v>124.21642</v>
      </c>
      <c r="J295" s="6" t="s">
        <v>15</v>
      </c>
      <c r="K295" s="5">
        <v>0.0</v>
      </c>
      <c r="L295" s="7">
        <v>1.65591928004539</v>
      </c>
      <c r="M295" s="4">
        <v>22.87</v>
      </c>
      <c r="N295" s="2">
        <v>3.53</v>
      </c>
    </row>
    <row r="296">
      <c r="A296" s="2" t="s">
        <v>321</v>
      </c>
      <c r="B296" s="3" t="str">
        <f>HYPERLINK("https://www.suredividend.com/sure-analysis-research-database/","Commercial Metals Co.")</f>
        <v>Commercial Metals Co.</v>
      </c>
      <c r="C296" s="2" t="s">
        <v>130</v>
      </c>
      <c r="D296" s="4">
        <v>50.25</v>
      </c>
      <c r="E296" s="5">
        <v>0.012178733721913</v>
      </c>
      <c r="F296" s="5">
        <v>0.0</v>
      </c>
      <c r="G296" s="5">
        <v>0.0592238410488121</v>
      </c>
      <c r="H296" s="4">
        <v>0.636704198981618</v>
      </c>
      <c r="I296" s="4">
        <v>6084.755648</v>
      </c>
      <c r="J296" s="6">
        <v>7.85881164809191</v>
      </c>
      <c r="K296" s="5">
        <v>0.097355382107281</v>
      </c>
      <c r="L296" s="7">
        <v>1.41484873211989</v>
      </c>
      <c r="M296" s="4">
        <v>57.64</v>
      </c>
      <c r="N296" s="2">
        <v>39.56</v>
      </c>
    </row>
    <row r="297">
      <c r="A297" s="2" t="s">
        <v>322</v>
      </c>
      <c r="B297" s="3" t="str">
        <f>HYPERLINK("https://www.suredividend.com/sure-analysis-research-database/","Columbus Mckinnon Corp.")</f>
        <v>Columbus Mckinnon Corp.</v>
      </c>
      <c r="C297" s="2" t="s">
        <v>17</v>
      </c>
      <c r="D297" s="4">
        <v>40.24</v>
      </c>
      <c r="E297" s="5">
        <v>0.007203362893716</v>
      </c>
      <c r="F297" s="5" t="s">
        <v>15</v>
      </c>
      <c r="G297" s="5" t="s">
        <v>15</v>
      </c>
      <c r="H297" s="4">
        <v>0.278482009471094</v>
      </c>
      <c r="I297" s="4">
        <v>1111.013554</v>
      </c>
      <c r="J297" s="6">
        <v>21.7794549172743</v>
      </c>
      <c r="K297" s="5">
        <v>0.158228414472212</v>
      </c>
      <c r="L297" s="7">
        <v>1.4107765927091</v>
      </c>
      <c r="M297" s="4">
        <v>42.54</v>
      </c>
      <c r="N297" s="2">
        <v>30.16</v>
      </c>
    </row>
    <row r="298">
      <c r="A298" s="2" t="s">
        <v>323</v>
      </c>
      <c r="B298" s="3" t="str">
        <f>HYPERLINK("https://www.suredividend.com/sure-analysis-research-database/","Cumulus Media Inc.")</f>
        <v>Cumulus Media Inc.</v>
      </c>
      <c r="C298" s="2" t="s">
        <v>114</v>
      </c>
      <c r="D298" s="4">
        <v>4.31</v>
      </c>
      <c r="E298" s="5">
        <v>0.0</v>
      </c>
      <c r="F298" s="5" t="s">
        <v>15</v>
      </c>
      <c r="G298" s="5" t="s">
        <v>15</v>
      </c>
      <c r="H298" s="4">
        <v>0.0</v>
      </c>
      <c r="I298" s="4">
        <v>79.074134</v>
      </c>
      <c r="J298" s="6">
        <v>0.0</v>
      </c>
      <c r="K298" s="5" t="s">
        <v>15</v>
      </c>
      <c r="L298" s="7">
        <v>1.04244051439354</v>
      </c>
      <c r="M298" s="4">
        <v>6.94</v>
      </c>
      <c r="N298" s="2">
        <v>2.57</v>
      </c>
    </row>
    <row r="299">
      <c r="A299" s="2" t="s">
        <v>324</v>
      </c>
      <c r="B299" s="3" t="str">
        <f>HYPERLINK("https://www.suredividend.com/sure-analysis-CMP/","Compass Minerals International Inc")</f>
        <v>Compass Minerals International Inc</v>
      </c>
      <c r="C299" s="2" t="s">
        <v>130</v>
      </c>
      <c r="D299" s="4">
        <v>22.28</v>
      </c>
      <c r="E299" s="5">
        <v>0.0269299820466786</v>
      </c>
      <c r="F299" s="5">
        <v>0.0</v>
      </c>
      <c r="G299" s="5">
        <v>-0.269278724189037</v>
      </c>
      <c r="H299" s="4">
        <v>0.595075089187888</v>
      </c>
      <c r="I299" s="4">
        <v>977.914273</v>
      </c>
      <c r="J299" s="6">
        <v>64.3364653243421</v>
      </c>
      <c r="K299" s="5">
        <v>1.59665975097367</v>
      </c>
      <c r="L299" s="7">
        <v>1.39565554963503</v>
      </c>
      <c r="M299" s="4">
        <v>46.76</v>
      </c>
      <c r="N299" s="2">
        <v>18.88</v>
      </c>
    </row>
    <row r="300">
      <c r="A300" s="2" t="s">
        <v>325</v>
      </c>
      <c r="B300" s="3" t="str">
        <f>HYPERLINK("https://www.suredividend.com/sure-analysis-research-database/","CompoSecure Inc")</f>
        <v>CompoSecure Inc</v>
      </c>
      <c r="C300" s="2" t="s">
        <v>15</v>
      </c>
      <c r="D300" s="4">
        <v>5.08</v>
      </c>
      <c r="E300" s="5">
        <v>0.0</v>
      </c>
      <c r="F300" s="5" t="s">
        <v>15</v>
      </c>
      <c r="G300" s="5" t="s">
        <v>15</v>
      </c>
      <c r="H300" s="4">
        <v>0.0</v>
      </c>
      <c r="I300" s="4">
        <v>105.688232</v>
      </c>
      <c r="J300" s="6">
        <v>5.81791433116811</v>
      </c>
      <c r="K300" s="5">
        <v>0.0</v>
      </c>
      <c r="L300" s="7">
        <v>0.476079441209875</v>
      </c>
      <c r="M300" s="4">
        <v>7.9</v>
      </c>
      <c r="N300" s="2">
        <v>4.64</v>
      </c>
    </row>
    <row r="301">
      <c r="A301" s="2" t="s">
        <v>326</v>
      </c>
      <c r="B301" s="3" t="str">
        <f>HYPERLINK("https://www.suredividend.com/sure-analysis-research-database/","Cimpress plc")</f>
        <v>Cimpress plc</v>
      </c>
      <c r="C301" s="2" t="s">
        <v>114</v>
      </c>
      <c r="D301" s="4">
        <v>90.06</v>
      </c>
      <c r="E301" s="5">
        <v>0.0</v>
      </c>
      <c r="F301" s="5" t="s">
        <v>15</v>
      </c>
      <c r="G301" s="5" t="s">
        <v>15</v>
      </c>
      <c r="H301" s="4">
        <v>0.0</v>
      </c>
      <c r="I301" s="4">
        <v>2105.133229</v>
      </c>
      <c r="J301" s="6" t="s">
        <v>15</v>
      </c>
      <c r="K301" s="5">
        <v>0.0</v>
      </c>
      <c r="L301" s="7">
        <v>2.06322856034248</v>
      </c>
      <c r="M301" s="4">
        <v>83.36</v>
      </c>
      <c r="N301" s="2">
        <v>30.17</v>
      </c>
    </row>
    <row r="302">
      <c r="A302" s="2" t="s">
        <v>327</v>
      </c>
      <c r="B302" s="3" t="str">
        <f>HYPERLINK("https://www.suredividend.com/sure-analysis-research-database/","Costamare Inc")</f>
        <v>Costamare Inc</v>
      </c>
      <c r="C302" s="2" t="s">
        <v>17</v>
      </c>
      <c r="D302" s="4">
        <v>10.28</v>
      </c>
      <c r="E302" s="5">
        <v>0.041999870967659</v>
      </c>
      <c r="F302" s="5">
        <v>0.0</v>
      </c>
      <c r="G302" s="5">
        <v>0.0283467221002136</v>
      </c>
      <c r="H302" s="4">
        <v>0.45233861032169</v>
      </c>
      <c r="I302" s="4">
        <v>1267.008379</v>
      </c>
      <c r="J302" s="6">
        <v>2.84870140714126</v>
      </c>
      <c r="K302" s="5">
        <v>0.12325302733561</v>
      </c>
      <c r="L302" s="7">
        <v>0.947886387823604</v>
      </c>
      <c r="M302" s="4">
        <v>11.58</v>
      </c>
      <c r="N302" s="2">
        <v>7.45</v>
      </c>
    </row>
    <row r="303">
      <c r="A303" s="2" t="s">
        <v>328</v>
      </c>
      <c r="B303" s="3" t="str">
        <f>HYPERLINK("https://www.suredividend.com/sure-analysis-research-database/","Chimerix Inc")</f>
        <v>Chimerix Inc</v>
      </c>
      <c r="C303" s="2" t="s">
        <v>30</v>
      </c>
      <c r="D303" s="4">
        <v>0.9055</v>
      </c>
      <c r="E303" s="5">
        <v>0.0</v>
      </c>
      <c r="F303" s="5" t="s">
        <v>15</v>
      </c>
      <c r="G303" s="5" t="s">
        <v>15</v>
      </c>
      <c r="H303" s="4">
        <v>0.0</v>
      </c>
      <c r="I303" s="4">
        <v>81.166646</v>
      </c>
      <c r="J303" s="6" t="s">
        <v>15</v>
      </c>
      <c r="K303" s="5">
        <v>0.0</v>
      </c>
      <c r="L303" s="7">
        <v>1.22244285905562</v>
      </c>
      <c r="M303" s="4">
        <v>1.9</v>
      </c>
      <c r="N303" s="2">
        <v>0.88</v>
      </c>
    </row>
    <row r="304">
      <c r="A304" s="2" t="s">
        <v>329</v>
      </c>
      <c r="B304" s="3" t="str">
        <f>HYPERLINK("https://www.suredividend.com/sure-analysis-research-database/","Claros Mortgage Trust Inc")</f>
        <v>Claros Mortgage Trust Inc</v>
      </c>
      <c r="C304" s="2" t="s">
        <v>15</v>
      </c>
      <c r="D304" s="4">
        <v>11.05</v>
      </c>
      <c r="E304" s="5">
        <v>0.093523881161405</v>
      </c>
      <c r="F304" s="5" t="s">
        <v>15</v>
      </c>
      <c r="G304" s="5" t="s">
        <v>15</v>
      </c>
      <c r="H304" s="4">
        <v>1.19523520124276</v>
      </c>
      <c r="I304" s="4">
        <v>1772.952658</v>
      </c>
      <c r="J304" s="6" t="s">
        <v>15</v>
      </c>
      <c r="K304" s="5" t="s">
        <v>15</v>
      </c>
      <c r="L304" s="7">
        <v>1.54174135043634</v>
      </c>
      <c r="M304" s="4">
        <v>15.3</v>
      </c>
      <c r="N304" s="2">
        <v>9.38</v>
      </c>
    </row>
    <row r="305">
      <c r="A305" s="2" t="s">
        <v>330</v>
      </c>
      <c r="B305" s="3" t="str">
        <f>HYPERLINK("https://www.suredividend.com/sure-analysis-research-database/","Comtech Telecommunications Corp.")</f>
        <v>Comtech Telecommunications Corp.</v>
      </c>
      <c r="C305" s="2" t="s">
        <v>40</v>
      </c>
      <c r="D305" s="4">
        <v>6.14</v>
      </c>
      <c r="E305" s="5">
        <v>0.0</v>
      </c>
      <c r="F305" s="5" t="s">
        <v>15</v>
      </c>
      <c r="G305" s="5" t="s">
        <v>15</v>
      </c>
      <c r="H305" s="4">
        <v>0.0</v>
      </c>
      <c r="I305" s="4">
        <v>196.789545</v>
      </c>
      <c r="J305" s="6" t="s">
        <v>15</v>
      </c>
      <c r="K305" s="5">
        <v>0.0</v>
      </c>
      <c r="L305" s="7">
        <v>0.921922529458939</v>
      </c>
      <c r="M305" s="4">
        <v>16.87</v>
      </c>
      <c r="N305" s="2">
        <v>6.52</v>
      </c>
    </row>
    <row r="306">
      <c r="A306" s="2" t="s">
        <v>331</v>
      </c>
      <c r="B306" s="3" t="str">
        <f>HYPERLINK("https://www.suredividend.com/sure-analysis-research-database/","Conduent Inc")</f>
        <v>Conduent Inc</v>
      </c>
      <c r="C306" s="2" t="s">
        <v>40</v>
      </c>
      <c r="D306" s="4">
        <v>3.48</v>
      </c>
      <c r="E306" s="5">
        <v>0.0</v>
      </c>
      <c r="F306" s="5" t="s">
        <v>15</v>
      </c>
      <c r="G306" s="5" t="s">
        <v>15</v>
      </c>
      <c r="H306" s="4">
        <v>0.0</v>
      </c>
      <c r="I306" s="4">
        <v>821.34523</v>
      </c>
      <c r="J306" s="6" t="s">
        <v>15</v>
      </c>
      <c r="K306" s="5">
        <v>0.0</v>
      </c>
      <c r="L306" s="7">
        <v>1.34654101441236</v>
      </c>
      <c r="M306" s="4">
        <v>4.95</v>
      </c>
      <c r="N306" s="2">
        <v>2.4</v>
      </c>
    </row>
    <row r="307">
      <c r="A307" s="2" t="s">
        <v>332</v>
      </c>
      <c r="B307" s="3" t="str">
        <f>HYPERLINK("https://www.suredividend.com/sure-analysis-research-database/","Cinemark Holdings Inc")</f>
        <v>Cinemark Holdings Inc</v>
      </c>
      <c r="C307" s="2" t="s">
        <v>114</v>
      </c>
      <c r="D307" s="4">
        <v>13.94</v>
      </c>
      <c r="E307" s="5">
        <v>0.0</v>
      </c>
      <c r="F307" s="5" t="s">
        <v>15</v>
      </c>
      <c r="G307" s="5" t="s">
        <v>15</v>
      </c>
      <c r="H307" s="4">
        <v>0.0</v>
      </c>
      <c r="I307" s="4">
        <v>1754.876485</v>
      </c>
      <c r="J307" s="6">
        <v>15.6127801126334</v>
      </c>
      <c r="K307" s="5">
        <v>0.0</v>
      </c>
      <c r="L307" s="7">
        <v>0.791235255042573</v>
      </c>
      <c r="M307" s="4">
        <v>19.85</v>
      </c>
      <c r="N307" s="2">
        <v>11.2</v>
      </c>
    </row>
    <row r="308">
      <c r="A308" s="2" t="s">
        <v>333</v>
      </c>
      <c r="B308" s="3" t="str">
        <f>HYPERLINK("https://www.suredividend.com/sure-analysis-research-database/","Conmed Corp.")</f>
        <v>Conmed Corp.</v>
      </c>
      <c r="C308" s="2" t="s">
        <v>30</v>
      </c>
      <c r="D308" s="4">
        <v>82.48</v>
      </c>
      <c r="E308" s="5">
        <v>0.008401739878948</v>
      </c>
      <c r="F308" s="5">
        <v>0.0</v>
      </c>
      <c r="G308" s="5">
        <v>0.0</v>
      </c>
      <c r="H308" s="4">
        <v>0.797913236303785</v>
      </c>
      <c r="I308" s="4">
        <v>2920.536339</v>
      </c>
      <c r="J308" s="6">
        <v>50.3783954155454</v>
      </c>
      <c r="K308" s="5">
        <v>0.409186275027582</v>
      </c>
      <c r="L308" s="7">
        <v>1.44843741778359</v>
      </c>
      <c r="M308" s="4">
        <v>137.97</v>
      </c>
      <c r="N308" s="2">
        <v>87.37</v>
      </c>
    </row>
    <row r="309">
      <c r="A309" s="2" t="s">
        <v>334</v>
      </c>
      <c r="B309" s="3" t="str">
        <f>HYPERLINK("https://www.suredividend.com/sure-analysis-research-database/","Cannae Holdings Inc")</f>
        <v>Cannae Holdings Inc</v>
      </c>
      <c r="C309" s="2" t="s">
        <v>25</v>
      </c>
      <c r="D309" s="4">
        <v>20.4</v>
      </c>
      <c r="E309" s="5">
        <v>0.0</v>
      </c>
      <c r="F309" s="5" t="s">
        <v>15</v>
      </c>
      <c r="G309" s="5" t="s">
        <v>15</v>
      </c>
      <c r="H309" s="4">
        <v>0.0</v>
      </c>
      <c r="I309" s="4">
        <v>1475.051778</v>
      </c>
      <c r="J309" s="6" t="s">
        <v>15</v>
      </c>
      <c r="K309" s="5">
        <v>0.0</v>
      </c>
      <c r="L309" s="7">
        <v>1.42507376852437</v>
      </c>
      <c r="M309" s="4">
        <v>25.51</v>
      </c>
      <c r="N309" s="2">
        <v>15.93</v>
      </c>
    </row>
    <row r="310">
      <c r="A310" s="2" t="s">
        <v>335</v>
      </c>
      <c r="B310" s="3" t="str">
        <f>HYPERLINK("https://www.suredividend.com/sure-analysis-research-database/","CNO Financial Group Inc")</f>
        <v>CNO Financial Group Inc</v>
      </c>
      <c r="C310" s="2" t="s">
        <v>22</v>
      </c>
      <c r="D310" s="4">
        <v>26.56</v>
      </c>
      <c r="E310" s="5">
        <v>0.021104374772762</v>
      </c>
      <c r="F310" s="5">
        <v>0.0714285714285714</v>
      </c>
      <c r="G310" s="5">
        <v>0.0844717711976985</v>
      </c>
      <c r="H310" s="4">
        <v>0.584802224953255</v>
      </c>
      <c r="I310" s="4">
        <v>3108.248601</v>
      </c>
      <c r="J310" s="6">
        <v>10.9599739092383</v>
      </c>
      <c r="K310" s="5">
        <v>0.237724481688315</v>
      </c>
      <c r="L310" s="7">
        <v>1.21977051001649</v>
      </c>
      <c r="M310" s="4">
        <v>28.39</v>
      </c>
      <c r="N310" s="2">
        <v>19.59</v>
      </c>
    </row>
    <row r="311">
      <c r="A311" s="2" t="s">
        <v>336</v>
      </c>
      <c r="B311" s="3" t="str">
        <f>HYPERLINK("https://www.suredividend.com/sure-analysis-research-database/","ConnectOne Bancorp Inc.")</f>
        <v>ConnectOne Bancorp Inc.</v>
      </c>
      <c r="C311" s="2" t="s">
        <v>22</v>
      </c>
      <c r="D311" s="4">
        <v>21.16</v>
      </c>
      <c r="E311" s="5">
        <v>0.026919233417244</v>
      </c>
      <c r="F311" s="5">
        <v>0.0967741935483872</v>
      </c>
      <c r="G311" s="5">
        <v>0.135641572496077</v>
      </c>
      <c r="H311" s="4">
        <v>0.648484333021428</v>
      </c>
      <c r="I311" s="4">
        <v>930.027453</v>
      </c>
      <c r="J311" s="6">
        <v>9.89180443841735</v>
      </c>
      <c r="K311" s="5">
        <v>0.269080636108476</v>
      </c>
      <c r="L311" s="7">
        <v>1.60169424318067</v>
      </c>
      <c r="M311" s="4">
        <v>24.44</v>
      </c>
      <c r="N311" s="2">
        <v>12.49</v>
      </c>
    </row>
    <row r="312">
      <c r="A312" s="2" t="s">
        <v>337</v>
      </c>
      <c r="B312" s="3" t="str">
        <f>HYPERLINK("https://www.suredividend.com/sure-analysis-CNS/","Cohen &amp; Steers Inc.")</f>
        <v>Cohen &amp; Steers Inc.</v>
      </c>
      <c r="C312" s="2" t="s">
        <v>22</v>
      </c>
      <c r="D312" s="4">
        <v>67.83</v>
      </c>
      <c r="E312" s="5">
        <v>0.0336134453781512</v>
      </c>
      <c r="F312" s="5">
        <v>0.0363636363636363</v>
      </c>
      <c r="G312" s="5">
        <v>0.0962622793529541</v>
      </c>
      <c r="H312" s="4">
        <v>2.24610831875213</v>
      </c>
      <c r="I312" s="4">
        <v>3540.438147</v>
      </c>
      <c r="J312" s="6">
        <v>26.8764757261064</v>
      </c>
      <c r="K312" s="5">
        <v>0.844401623591028</v>
      </c>
      <c r="L312" s="7">
        <v>1.43459292991308</v>
      </c>
      <c r="M312" s="4">
        <v>78.58</v>
      </c>
      <c r="N312" s="2">
        <v>49.51</v>
      </c>
    </row>
    <row r="313">
      <c r="A313" s="2" t="s">
        <v>338</v>
      </c>
      <c r="B313" s="3" t="str">
        <f>HYPERLINK("https://www.suredividend.com/sure-analysis-research-database/","Consolidated Communications Holdings Inc")</f>
        <v>Consolidated Communications Holdings Inc</v>
      </c>
      <c r="C313" s="2" t="s">
        <v>114</v>
      </c>
      <c r="D313" s="4">
        <v>4.33</v>
      </c>
      <c r="E313" s="5">
        <v>0.0</v>
      </c>
      <c r="F313" s="5" t="s">
        <v>15</v>
      </c>
      <c r="G313" s="5" t="s">
        <v>15</v>
      </c>
      <c r="H313" s="4">
        <v>0.0</v>
      </c>
      <c r="I313" s="4">
        <v>507.887615</v>
      </c>
      <c r="J313" s="6" t="s">
        <v>15</v>
      </c>
      <c r="K313" s="5">
        <v>0.0</v>
      </c>
      <c r="L313" s="7">
        <v>1.59103736351009</v>
      </c>
      <c r="M313" s="4">
        <v>4.79</v>
      </c>
      <c r="N313" s="2">
        <v>2.1</v>
      </c>
    </row>
    <row r="314">
      <c r="A314" s="2" t="s">
        <v>339</v>
      </c>
      <c r="B314" s="3" t="str">
        <f>HYPERLINK("https://www.suredividend.com/sure-analysis-research-database/","Century Casinos Inc.")</f>
        <v>Century Casinos Inc.</v>
      </c>
      <c r="C314" s="2" t="s">
        <v>25</v>
      </c>
      <c r="D314" s="4">
        <v>3.23</v>
      </c>
      <c r="E314" s="5">
        <v>0.0</v>
      </c>
      <c r="F314" s="5" t="s">
        <v>15</v>
      </c>
      <c r="G314" s="5" t="s">
        <v>15</v>
      </c>
      <c r="H314" s="4">
        <v>0.0</v>
      </c>
      <c r="I314" s="4">
        <v>113.755991</v>
      </c>
      <c r="J314" s="6" t="s">
        <v>15</v>
      </c>
      <c r="K314" s="5">
        <v>0.0</v>
      </c>
      <c r="L314" s="7">
        <v>1.8282067261886</v>
      </c>
      <c r="M314" s="4">
        <v>10.41</v>
      </c>
      <c r="N314" s="2">
        <v>3.34</v>
      </c>
    </row>
    <row r="315">
      <c r="A315" s="2" t="s">
        <v>340</v>
      </c>
      <c r="B315" s="3" t="str">
        <f>HYPERLINK("https://www.suredividend.com/sure-analysis-research-database/","CNX Resources Corp")</f>
        <v>CNX Resources Corp</v>
      </c>
      <c r="C315" s="2" t="s">
        <v>125</v>
      </c>
      <c r="D315" s="4">
        <v>19.77</v>
      </c>
      <c r="E315" s="5">
        <v>0.0</v>
      </c>
      <c r="F315" s="5" t="s">
        <v>15</v>
      </c>
      <c r="G315" s="5" t="s">
        <v>15</v>
      </c>
      <c r="H315" s="4">
        <v>0.0</v>
      </c>
      <c r="I315" s="4">
        <v>3254.903318</v>
      </c>
      <c r="J315" s="6">
        <v>1.36685409202917</v>
      </c>
      <c r="K315" s="5">
        <v>0.0</v>
      </c>
      <c r="L315" s="7">
        <v>0.873818675040638</v>
      </c>
      <c r="M315" s="4">
        <v>23.68</v>
      </c>
      <c r="N315" s="2">
        <v>14.36</v>
      </c>
    </row>
    <row r="316">
      <c r="A316" s="2" t="s">
        <v>341</v>
      </c>
      <c r="B316" s="3" t="str">
        <f>HYPERLINK("https://www.suredividend.com/sure-analysis-research-database/","PC Connection, Inc.")</f>
        <v>PC Connection, Inc.</v>
      </c>
      <c r="C316" s="2" t="s">
        <v>40</v>
      </c>
      <c r="D316" s="4">
        <v>65.2</v>
      </c>
      <c r="E316" s="5">
        <v>0.004867217879991</v>
      </c>
      <c r="F316" s="5" t="s">
        <v>15</v>
      </c>
      <c r="G316" s="5" t="s">
        <v>15</v>
      </c>
      <c r="H316" s="4">
        <v>0.318559410245432</v>
      </c>
      <c r="I316" s="4">
        <v>1719.47046</v>
      </c>
      <c r="J316" s="6">
        <v>21.9555449767608</v>
      </c>
      <c r="K316" s="5">
        <v>0.107621422380213</v>
      </c>
      <c r="L316" s="7">
        <v>0.719352089008104</v>
      </c>
      <c r="M316" s="4">
        <v>70.45</v>
      </c>
      <c r="N316" s="2">
        <v>37.4</v>
      </c>
    </row>
    <row r="317">
      <c r="A317" s="2" t="s">
        <v>342</v>
      </c>
      <c r="B317" s="3" t="str">
        <f>HYPERLINK("https://www.suredividend.com/sure-analysis-research-database/","Vita Coco Company Inc (The)")</f>
        <v>Vita Coco Company Inc (The)</v>
      </c>
      <c r="C317" s="2" t="s">
        <v>15</v>
      </c>
      <c r="D317" s="4">
        <v>19.61</v>
      </c>
      <c r="E317" s="5">
        <v>0.0</v>
      </c>
      <c r="F317" s="5" t="s">
        <v>15</v>
      </c>
      <c r="G317" s="5" t="s">
        <v>15</v>
      </c>
      <c r="H317" s="4">
        <v>0.0</v>
      </c>
      <c r="I317" s="4">
        <v>1172.409895</v>
      </c>
      <c r="J317" s="6">
        <v>31.6474084975435</v>
      </c>
      <c r="K317" s="5">
        <v>0.0</v>
      </c>
      <c r="L317" s="7">
        <v>0.741171304287199</v>
      </c>
      <c r="M317" s="4">
        <v>33.29</v>
      </c>
      <c r="N317" s="2">
        <v>13.0</v>
      </c>
    </row>
    <row r="318">
      <c r="A318" s="2" t="s">
        <v>343</v>
      </c>
      <c r="B318" s="3" t="str">
        <f>HYPERLINK("https://www.suredividend.com/sure-analysis-CODI/","Compass Diversified Holdings")</f>
        <v>Compass Diversified Holdings</v>
      </c>
      <c r="C318" s="2" t="s">
        <v>17</v>
      </c>
      <c r="D318" s="4">
        <v>21.76</v>
      </c>
      <c r="E318" s="5">
        <v>0.0459558823529411</v>
      </c>
      <c r="F318" s="5">
        <v>0.0</v>
      </c>
      <c r="G318" s="5">
        <v>-0.0703328152251437</v>
      </c>
      <c r="H318" s="4">
        <v>0.982019316029116</v>
      </c>
      <c r="I318" s="4">
        <v>1651.149364</v>
      </c>
      <c r="J318" s="6">
        <v>41.6588712933013</v>
      </c>
      <c r="K318" s="5">
        <v>1.77966530632315</v>
      </c>
      <c r="L318" s="7">
        <v>0.991091831853541</v>
      </c>
      <c r="M318" s="4">
        <v>23.27</v>
      </c>
      <c r="N318" s="2">
        <v>16.68</v>
      </c>
    </row>
    <row r="319">
      <c r="A319" s="2" t="s">
        <v>344</v>
      </c>
      <c r="B319" s="3" t="str">
        <f>HYPERLINK("https://www.suredividend.com/sure-analysis-research-database/","Cogent Biosciences Inc")</f>
        <v>Cogent Biosciences Inc</v>
      </c>
      <c r="C319" s="2" t="s">
        <v>15</v>
      </c>
      <c r="D319" s="4">
        <v>5.7</v>
      </c>
      <c r="E319" s="5">
        <v>0.0</v>
      </c>
      <c r="F319" s="5" t="s">
        <v>15</v>
      </c>
      <c r="G319" s="5" t="s">
        <v>15</v>
      </c>
      <c r="H319" s="4">
        <v>0.0</v>
      </c>
      <c r="I319" s="4">
        <v>391.00409</v>
      </c>
      <c r="J319" s="6">
        <v>0.0</v>
      </c>
      <c r="K319" s="5" t="s">
        <v>15</v>
      </c>
      <c r="L319" s="7">
        <v>1.20815222744252</v>
      </c>
      <c r="M319" s="4">
        <v>15.68</v>
      </c>
      <c r="N319" s="2">
        <v>3.67</v>
      </c>
    </row>
    <row r="320">
      <c r="A320" s="2" t="s">
        <v>345</v>
      </c>
      <c r="B320" s="3" t="str">
        <f>HYPERLINK("https://www.suredividend.com/sure-analysis-research-database/","Cohu, Inc.")</f>
        <v>Cohu, Inc.</v>
      </c>
      <c r="C320" s="2" t="s">
        <v>40</v>
      </c>
      <c r="D320" s="4">
        <v>32.03</v>
      </c>
      <c r="E320" s="5">
        <v>0.0</v>
      </c>
      <c r="F320" s="5" t="s">
        <v>15</v>
      </c>
      <c r="G320" s="5" t="s">
        <v>15</v>
      </c>
      <c r="H320" s="4">
        <v>0.0</v>
      </c>
      <c r="I320" s="4">
        <v>1568.45</v>
      </c>
      <c r="J320" s="6">
        <v>30.2719447232301</v>
      </c>
      <c r="K320" s="5">
        <v>0.0</v>
      </c>
      <c r="L320" s="7">
        <v>1.41187135043275</v>
      </c>
      <c r="M320" s="4">
        <v>43.99</v>
      </c>
      <c r="N320" s="2">
        <v>29.07</v>
      </c>
    </row>
    <row r="321">
      <c r="A321" s="2" t="s">
        <v>346</v>
      </c>
      <c r="B321" s="3" t="str">
        <f>HYPERLINK("https://www.suredividend.com/sure-analysis-research-database/","Coca-Cola Consolidated Inc")</f>
        <v>Coca-Cola Consolidated Inc</v>
      </c>
      <c r="C321" s="2" t="s">
        <v>89</v>
      </c>
      <c r="D321" s="4">
        <v>898.53</v>
      </c>
      <c r="E321" s="5">
        <v>0.00229347065627</v>
      </c>
      <c r="F321" s="5">
        <v>0.0</v>
      </c>
      <c r="G321" s="5">
        <v>0.148698354997035</v>
      </c>
      <c r="H321" s="4">
        <v>1.96960966489826</v>
      </c>
      <c r="I321" s="4">
        <v>7187.207498</v>
      </c>
      <c r="J321" s="6">
        <v>15.9367239158595</v>
      </c>
      <c r="K321" s="5">
        <v>0.0410591966833075</v>
      </c>
      <c r="L321" s="7">
        <v>0.648619392325034</v>
      </c>
      <c r="M321" s="4">
        <v>943.66</v>
      </c>
      <c r="N321" s="2">
        <v>479.28</v>
      </c>
    </row>
    <row r="322">
      <c r="A322" s="2" t="s">
        <v>347</v>
      </c>
      <c r="B322" s="3" t="str">
        <f>HYPERLINK("https://www.suredividend.com/sure-analysis-research-database/","Collegium Pharmaceutical Inc")</f>
        <v>Collegium Pharmaceutical Inc</v>
      </c>
      <c r="C322" s="2" t="s">
        <v>30</v>
      </c>
      <c r="D322" s="4">
        <v>33.09</v>
      </c>
      <c r="E322" s="5">
        <v>0.0</v>
      </c>
      <c r="F322" s="5" t="s">
        <v>15</v>
      </c>
      <c r="G322" s="5" t="s">
        <v>15</v>
      </c>
      <c r="H322" s="4">
        <v>0.0</v>
      </c>
      <c r="I322" s="4">
        <v>1105.182486</v>
      </c>
      <c r="J322" s="6">
        <v>122.580133758873</v>
      </c>
      <c r="K322" s="5">
        <v>0.0</v>
      </c>
      <c r="L322" s="7">
        <v>0.770033022902911</v>
      </c>
      <c r="M322" s="4">
        <v>34.96</v>
      </c>
      <c r="N322" s="2">
        <v>20.83</v>
      </c>
    </row>
    <row r="323">
      <c r="A323" s="2" t="s">
        <v>348</v>
      </c>
      <c r="B323" s="3" t="str">
        <f>HYPERLINK("https://www.suredividend.com/sure-analysis-research-database/","CommScope Holding Company Inc")</f>
        <v>CommScope Holding Company Inc</v>
      </c>
      <c r="C323" s="2" t="s">
        <v>40</v>
      </c>
      <c r="D323" s="4">
        <v>2.09</v>
      </c>
      <c r="E323" s="5">
        <v>0.0</v>
      </c>
      <c r="F323" s="5" t="s">
        <v>15</v>
      </c>
      <c r="G323" s="5" t="s">
        <v>15</v>
      </c>
      <c r="H323" s="4">
        <v>0.0</v>
      </c>
      <c r="I323" s="4">
        <v>528.025593</v>
      </c>
      <c r="J323" s="6" t="s">
        <v>15</v>
      </c>
      <c r="K323" s="5">
        <v>0.0</v>
      </c>
      <c r="L323" s="7">
        <v>2.22907892730052</v>
      </c>
      <c r="M323" s="4">
        <v>8.92</v>
      </c>
      <c r="N323" s="2">
        <v>1.34</v>
      </c>
    </row>
    <row r="324">
      <c r="A324" s="2" t="s">
        <v>349</v>
      </c>
      <c r="B324" s="3" t="str">
        <f>HYPERLINK("https://www.suredividend.com/sure-analysis-research-database/","Compass Inc")</f>
        <v>Compass Inc</v>
      </c>
      <c r="C324" s="2" t="s">
        <v>15</v>
      </c>
      <c r="D324" s="4">
        <v>3.57</v>
      </c>
      <c r="E324" s="5">
        <v>0.0</v>
      </c>
      <c r="F324" s="5" t="s">
        <v>15</v>
      </c>
      <c r="G324" s="5" t="s">
        <v>15</v>
      </c>
      <c r="H324" s="4">
        <v>0.0</v>
      </c>
      <c r="I324" s="4">
        <v>1830.73676</v>
      </c>
      <c r="J324" s="6" t="s">
        <v>15</v>
      </c>
      <c r="K324" s="5">
        <v>0.0</v>
      </c>
      <c r="L324" s="7">
        <v>3.27704954701768</v>
      </c>
      <c r="M324" s="4">
        <v>5.16</v>
      </c>
      <c r="N324" s="2">
        <v>1.82</v>
      </c>
    </row>
    <row r="325">
      <c r="A325" s="2" t="s">
        <v>350</v>
      </c>
      <c r="B325" s="3" t="str">
        <f>HYPERLINK("https://www.suredividend.com/sure-analysis-research-database/","Conns Inc")</f>
        <v>Conns Inc</v>
      </c>
      <c r="C325" s="2" t="s">
        <v>25</v>
      </c>
      <c r="D325" s="4">
        <v>4.91</v>
      </c>
      <c r="E325" s="5">
        <v>0.0</v>
      </c>
      <c r="F325" s="5" t="s">
        <v>15</v>
      </c>
      <c r="G325" s="5" t="s">
        <v>15</v>
      </c>
      <c r="H325" s="4">
        <v>0.0</v>
      </c>
      <c r="I325" s="4">
        <v>116.613037</v>
      </c>
      <c r="J325" s="6" t="s">
        <v>15</v>
      </c>
      <c r="K325" s="5">
        <v>0.0</v>
      </c>
      <c r="L325" s="7">
        <v>2.26200679272558</v>
      </c>
      <c r="M325" s="4">
        <v>11.69</v>
      </c>
      <c r="N325" s="2">
        <v>2.55</v>
      </c>
    </row>
    <row r="326">
      <c r="A326" s="2" t="s">
        <v>351</v>
      </c>
      <c r="B326" s="3" t="str">
        <f>HYPERLINK("https://www.suredividend.com/sure-analysis-research-database/","Traeger Inc")</f>
        <v>Traeger Inc</v>
      </c>
      <c r="C326" s="2" t="s">
        <v>15</v>
      </c>
      <c r="D326" s="4">
        <v>2.06</v>
      </c>
      <c r="E326" s="5">
        <v>0.0</v>
      </c>
      <c r="F326" s="5" t="s">
        <v>15</v>
      </c>
      <c r="G326" s="5" t="s">
        <v>15</v>
      </c>
      <c r="H326" s="4">
        <v>0.0</v>
      </c>
      <c r="I326" s="4">
        <v>296.909913</v>
      </c>
      <c r="J326" s="6" t="s">
        <v>15</v>
      </c>
      <c r="K326" s="5">
        <v>0.0</v>
      </c>
      <c r="L326" s="7">
        <v>1.812810822449</v>
      </c>
      <c r="M326" s="4">
        <v>6.7</v>
      </c>
      <c r="N326" s="2">
        <v>2.05</v>
      </c>
    </row>
    <row r="327">
      <c r="A327" s="2" t="s">
        <v>352</v>
      </c>
      <c r="B327" s="3" t="str">
        <f>HYPERLINK("https://www.suredividend.com/sure-analysis-research-database/","Mr. Cooper Group Inc")</f>
        <v>Mr. Cooper Group Inc</v>
      </c>
      <c r="C327" s="2" t="s">
        <v>22</v>
      </c>
      <c r="D327" s="4">
        <v>66.46</v>
      </c>
      <c r="E327" s="5">
        <v>0.0</v>
      </c>
      <c r="F327" s="5" t="s">
        <v>15</v>
      </c>
      <c r="G327" s="5" t="s">
        <v>15</v>
      </c>
      <c r="H327" s="4">
        <v>0.0</v>
      </c>
      <c r="I327" s="4">
        <v>4477.844721</v>
      </c>
      <c r="J327" s="6">
        <v>9.84141696828571</v>
      </c>
      <c r="K327" s="5">
        <v>0.0</v>
      </c>
      <c r="L327" s="7">
        <v>1.12035774678359</v>
      </c>
      <c r="M327" s="4">
        <v>68.49</v>
      </c>
      <c r="N327" s="2">
        <v>37.54</v>
      </c>
    </row>
    <row r="328">
      <c r="A328" s="2" t="s">
        <v>353</v>
      </c>
      <c r="B328" s="3" t="str">
        <f>HYPERLINK("https://www.suredividend.com/sure-analysis-research-database/","Corcept Therapeutics Inc")</f>
        <v>Corcept Therapeutics Inc</v>
      </c>
      <c r="C328" s="2" t="s">
        <v>30</v>
      </c>
      <c r="D328" s="4">
        <v>21.47</v>
      </c>
      <c r="E328" s="5">
        <v>0.0</v>
      </c>
      <c r="F328" s="5" t="s">
        <v>15</v>
      </c>
      <c r="G328" s="5" t="s">
        <v>15</v>
      </c>
      <c r="H328" s="4">
        <v>0.0</v>
      </c>
      <c r="I328" s="4">
        <v>2301.7764</v>
      </c>
      <c r="J328" s="6">
        <v>25.1874072615061</v>
      </c>
      <c r="K328" s="5">
        <v>0.0</v>
      </c>
      <c r="L328" s="7">
        <v>0.672610510492179</v>
      </c>
      <c r="M328" s="4">
        <v>34.28</v>
      </c>
      <c r="N328" s="2">
        <v>17.86</v>
      </c>
    </row>
    <row r="329">
      <c r="A329" s="2" t="s">
        <v>354</v>
      </c>
      <c r="B329" s="3" t="str">
        <f>HYPERLINK("https://www.suredividend.com/sure-analysis-research-database/","Coursera Inc")</f>
        <v>Coursera Inc</v>
      </c>
      <c r="C329" s="2" t="s">
        <v>15</v>
      </c>
      <c r="D329" s="4">
        <v>17.62</v>
      </c>
      <c r="E329" s="5">
        <v>0.0</v>
      </c>
      <c r="F329" s="5" t="s">
        <v>15</v>
      </c>
      <c r="G329" s="5" t="s">
        <v>15</v>
      </c>
      <c r="H329" s="4">
        <v>0.0</v>
      </c>
      <c r="I329" s="4">
        <v>3151.634738</v>
      </c>
      <c r="J329" s="6" t="s">
        <v>15</v>
      </c>
      <c r="K329" s="5">
        <v>0.0</v>
      </c>
      <c r="L329" s="7">
        <v>1.55635590050607</v>
      </c>
      <c r="M329" s="4">
        <v>21.26</v>
      </c>
      <c r="N329" s="2">
        <v>9.91</v>
      </c>
    </row>
    <row r="330">
      <c r="A330" s="2" t="s">
        <v>355</v>
      </c>
      <c r="B330" s="3" t="str">
        <f>HYPERLINK("https://www.suredividend.com/sure-analysis-research-database/","Callon Petroleum Co.")</f>
        <v>Callon Petroleum Co.</v>
      </c>
      <c r="C330" s="2" t="s">
        <v>125</v>
      </c>
      <c r="D330" s="4">
        <v>30.9</v>
      </c>
      <c r="E330" s="5">
        <v>0.0</v>
      </c>
      <c r="F330" s="5" t="s">
        <v>15</v>
      </c>
      <c r="G330" s="5" t="s">
        <v>15</v>
      </c>
      <c r="H330" s="4">
        <v>0.0</v>
      </c>
      <c r="I330" s="4">
        <v>2220.948999</v>
      </c>
      <c r="J330" s="6">
        <v>4.40059402242551</v>
      </c>
      <c r="K330" s="5">
        <v>0.0</v>
      </c>
      <c r="L330" s="7">
        <v>1.16459586657764</v>
      </c>
      <c r="M330" s="4">
        <v>42.72</v>
      </c>
      <c r="N330" s="2">
        <v>28.62</v>
      </c>
    </row>
    <row r="331">
      <c r="A331" s="2" t="s">
        <v>356</v>
      </c>
      <c r="B331" s="3" t="str">
        <f>HYPERLINK("https://www.suredividend.com/sure-analysis-research-database/","Central Pacific Financial Corp.")</f>
        <v>Central Pacific Financial Corp.</v>
      </c>
      <c r="C331" s="2" t="s">
        <v>22</v>
      </c>
      <c r="D331" s="4">
        <v>18.95</v>
      </c>
      <c r="E331" s="5">
        <v>0.050708214791529</v>
      </c>
      <c r="F331" s="5">
        <v>0.0</v>
      </c>
      <c r="G331" s="5">
        <v>0.0436402271504359</v>
      </c>
      <c r="H331" s="4">
        <v>1.00503681716811</v>
      </c>
      <c r="I331" s="4">
        <v>535.99561</v>
      </c>
      <c r="J331" s="6">
        <v>8.37702565610152</v>
      </c>
      <c r="K331" s="5">
        <v>0.425863058122082</v>
      </c>
      <c r="L331" s="7">
        <v>1.27343856498805</v>
      </c>
      <c r="M331" s="4">
        <v>22.81</v>
      </c>
      <c r="N331" s="2">
        <v>12.42</v>
      </c>
    </row>
    <row r="332">
      <c r="A332" s="2" t="s">
        <v>357</v>
      </c>
      <c r="B332" s="3" t="str">
        <f>HYPERLINK("https://www.suredividend.com/sure-analysis-CPK/","Chesapeake Utilities Corp")</f>
        <v>Chesapeake Utilities Corp</v>
      </c>
      <c r="C332" s="2" t="s">
        <v>91</v>
      </c>
      <c r="D332" s="4">
        <v>99.98</v>
      </c>
      <c r="E332" s="5">
        <v>0.0236047209441888</v>
      </c>
      <c r="F332" s="5">
        <v>0.102803738317756</v>
      </c>
      <c r="G332" s="5">
        <v>0.0978172675622524</v>
      </c>
      <c r="H332" s="4">
        <v>2.28711318999052</v>
      </c>
      <c r="I332" s="4">
        <v>1834.488062</v>
      </c>
      <c r="J332" s="6">
        <v>20.8384040516164</v>
      </c>
      <c r="K332" s="5">
        <v>0.463917482756697</v>
      </c>
      <c r="L332" s="7">
        <v>0.60404500974946</v>
      </c>
      <c r="M332" s="4">
        <v>130.86</v>
      </c>
      <c r="N332" s="2">
        <v>83.33</v>
      </c>
    </row>
    <row r="333">
      <c r="A333" s="2" t="s">
        <v>358</v>
      </c>
      <c r="B333" s="3" t="str">
        <f>HYPERLINK("https://www.suredividend.com/sure-analysis-research-database/","Catalyst Pharmaceuticals Inc")</f>
        <v>Catalyst Pharmaceuticals Inc</v>
      </c>
      <c r="C333" s="2" t="s">
        <v>30</v>
      </c>
      <c r="D333" s="4">
        <v>13.39</v>
      </c>
      <c r="E333" s="5">
        <v>0.0</v>
      </c>
      <c r="F333" s="5" t="s">
        <v>15</v>
      </c>
      <c r="G333" s="5" t="s">
        <v>15</v>
      </c>
      <c r="H333" s="4">
        <v>0.0</v>
      </c>
      <c r="I333" s="4">
        <v>1698.811591</v>
      </c>
      <c r="J333" s="6">
        <v>27.3838449828328</v>
      </c>
      <c r="K333" s="5">
        <v>0.0</v>
      </c>
      <c r="L333" s="7">
        <v>1.20603496891088</v>
      </c>
      <c r="M333" s="4">
        <v>18.22</v>
      </c>
      <c r="N333" s="2">
        <v>11.09</v>
      </c>
    </row>
    <row r="334">
      <c r="A334" s="2" t="s">
        <v>359</v>
      </c>
      <c r="B334" s="3" t="str">
        <f>HYPERLINK("https://www.suredividend.com/sure-analysis-research-database/","Computer Programs &amp; Systems Inc")</f>
        <v>Computer Programs &amp; Systems Inc</v>
      </c>
      <c r="C334" s="2" t="s">
        <v>30</v>
      </c>
      <c r="D334" s="4">
        <v>9.63</v>
      </c>
      <c r="E334" s="5">
        <v>0.0</v>
      </c>
      <c r="F334" s="5" t="s">
        <v>15</v>
      </c>
      <c r="G334" s="5" t="s">
        <v>15</v>
      </c>
      <c r="H334" s="4">
        <v>0.0</v>
      </c>
      <c r="I334" s="4">
        <v>152.325685</v>
      </c>
      <c r="J334" s="6" t="s">
        <v>15</v>
      </c>
      <c r="K334" s="5">
        <v>0.0</v>
      </c>
      <c r="L334" s="7">
        <v>0.877721868719779</v>
      </c>
      <c r="M334" s="4">
        <v>31.62</v>
      </c>
      <c r="N334" s="2">
        <v>9.16</v>
      </c>
    </row>
    <row r="335">
      <c r="A335" s="2" t="s">
        <v>360</v>
      </c>
      <c r="B335" s="3" t="str">
        <f>HYPERLINK("https://www.suredividend.com/sure-analysis-research-database/","Consumer Portfolio Service, Inc.")</f>
        <v>Consumer Portfolio Service, Inc.</v>
      </c>
      <c r="C335" s="2" t="s">
        <v>22</v>
      </c>
      <c r="D335" s="4">
        <v>8.7</v>
      </c>
      <c r="E335" s="5">
        <v>0.0</v>
      </c>
      <c r="F335" s="5" t="s">
        <v>15</v>
      </c>
      <c r="G335" s="5" t="s">
        <v>15</v>
      </c>
      <c r="H335" s="4">
        <v>0.0</v>
      </c>
      <c r="I335" s="4">
        <v>198.530538</v>
      </c>
      <c r="J335" s="6">
        <v>0.0</v>
      </c>
      <c r="K335" s="5" t="s">
        <v>15</v>
      </c>
      <c r="L335" s="7">
        <v>1.45969743714963</v>
      </c>
      <c r="M335" s="4">
        <v>13.75</v>
      </c>
      <c r="N335" s="2">
        <v>7.82</v>
      </c>
    </row>
    <row r="336">
      <c r="A336" s="2" t="s">
        <v>361</v>
      </c>
      <c r="B336" s="3" t="str">
        <f>HYPERLINK("https://www.suredividend.com/sure-analysis-research-database/","Cepton Inc")</f>
        <v>Cepton Inc</v>
      </c>
      <c r="C336" s="2" t="s">
        <v>15</v>
      </c>
      <c r="D336" s="4">
        <v>2.51</v>
      </c>
      <c r="E336" s="5">
        <v>0.0</v>
      </c>
      <c r="F336" s="5" t="s">
        <v>15</v>
      </c>
      <c r="G336" s="5" t="s">
        <v>15</v>
      </c>
      <c r="H336" s="4">
        <v>0.0</v>
      </c>
      <c r="I336" s="4">
        <v>43.103663</v>
      </c>
      <c r="J336" s="6" t="s">
        <v>15</v>
      </c>
      <c r="K336" s="5">
        <v>0.0</v>
      </c>
      <c r="L336" s="7">
        <v>1.70189727619297</v>
      </c>
      <c r="M336" s="4">
        <v>14.4</v>
      </c>
      <c r="N336" s="2">
        <v>2.38</v>
      </c>
    </row>
    <row r="337">
      <c r="A337" s="2" t="s">
        <v>362</v>
      </c>
      <c r="B337" s="3" t="str">
        <f>HYPERLINK("https://www.suredividend.com/sure-analysis-research-database/","CRA International Inc.")</f>
        <v>CRA International Inc.</v>
      </c>
      <c r="C337" s="2" t="s">
        <v>17</v>
      </c>
      <c r="D337" s="4">
        <v>107.64</v>
      </c>
      <c r="E337" s="5">
        <v>0.013935697693651</v>
      </c>
      <c r="F337" s="5">
        <v>0.166666666666666</v>
      </c>
      <c r="G337" s="5">
        <v>0.159962258654001</v>
      </c>
      <c r="H337" s="4">
        <v>1.48331566251228</v>
      </c>
      <c r="I337" s="4">
        <v>745.261587</v>
      </c>
      <c r="J337" s="6">
        <v>20.9525594377126</v>
      </c>
      <c r="K337" s="5">
        <v>0.299055577119411</v>
      </c>
      <c r="L337" s="7">
        <v>0.514764011085239</v>
      </c>
      <c r="M337" s="4">
        <v>124.8</v>
      </c>
      <c r="N337" s="2">
        <v>80.59</v>
      </c>
    </row>
    <row r="338">
      <c r="A338" s="2" t="s">
        <v>363</v>
      </c>
      <c r="B338" s="3" t="str">
        <f>HYPERLINK("https://www.suredividend.com/sure-analysis-research-database/","Caribou Biosciences Inc")</f>
        <v>Caribou Biosciences Inc</v>
      </c>
      <c r="C338" s="2" t="s">
        <v>15</v>
      </c>
      <c r="D338" s="4">
        <v>6.76</v>
      </c>
      <c r="E338" s="5">
        <v>0.0</v>
      </c>
      <c r="F338" s="5" t="s">
        <v>15</v>
      </c>
      <c r="G338" s="5" t="s">
        <v>15</v>
      </c>
      <c r="H338" s="4">
        <v>0.0</v>
      </c>
      <c r="I338" s="4">
        <v>529.702505</v>
      </c>
      <c r="J338" s="6" t="s">
        <v>15</v>
      </c>
      <c r="K338" s="5">
        <v>0.0</v>
      </c>
      <c r="L338" s="7">
        <v>2.01117116414009</v>
      </c>
      <c r="M338" s="4">
        <v>8.59</v>
      </c>
      <c r="N338" s="2">
        <v>3.44</v>
      </c>
    </row>
    <row r="339">
      <c r="A339" s="2" t="s">
        <v>364</v>
      </c>
      <c r="B339" s="3" t="str">
        <f>HYPERLINK("https://www.suredividend.com/sure-analysis-research-database/","California Resources Corporation")</f>
        <v>California Resources Corporation</v>
      </c>
      <c r="C339" s="2" t="s">
        <v>125</v>
      </c>
      <c r="D339" s="4">
        <v>46.21</v>
      </c>
      <c r="E339" s="5">
        <v>0.022486924173673</v>
      </c>
      <c r="F339" s="5" t="s">
        <v>15</v>
      </c>
      <c r="G339" s="5" t="s">
        <v>15</v>
      </c>
      <c r="H339" s="4">
        <v>1.14750774058256</v>
      </c>
      <c r="I339" s="4">
        <v>3501.670997</v>
      </c>
      <c r="J339" s="6">
        <v>7.62891284647058</v>
      </c>
      <c r="K339" s="5">
        <v>0.181855426399772</v>
      </c>
      <c r="L339" s="7">
        <v>0.750908319907095</v>
      </c>
      <c r="M339" s="4">
        <v>58.09</v>
      </c>
      <c r="N339" s="2">
        <v>33.4</v>
      </c>
    </row>
    <row r="340">
      <c r="A340" s="2" t="s">
        <v>365</v>
      </c>
      <c r="B340" s="3" t="str">
        <f>HYPERLINK("https://www.suredividend.com/sure-analysis-research-database/","Credo Technology Group Holding Ltd")</f>
        <v>Credo Technology Group Holding Ltd</v>
      </c>
      <c r="C340" s="2" t="s">
        <v>15</v>
      </c>
      <c r="D340" s="4">
        <v>21.31</v>
      </c>
      <c r="E340" s="5">
        <v>0.0</v>
      </c>
      <c r="F340" s="5" t="s">
        <v>15</v>
      </c>
      <c r="G340" s="5" t="s">
        <v>15</v>
      </c>
      <c r="H340" s="4">
        <v>0.0</v>
      </c>
      <c r="I340" s="4">
        <v>3186.445168</v>
      </c>
      <c r="J340" s="6" t="s">
        <v>15</v>
      </c>
      <c r="K340" s="5">
        <v>0.0</v>
      </c>
      <c r="L340" s="7">
        <v>1.98283565663906</v>
      </c>
      <c r="M340" s="4">
        <v>22.49</v>
      </c>
      <c r="N340" s="2">
        <v>7.2</v>
      </c>
    </row>
    <row r="341">
      <c r="A341" s="2" t="s">
        <v>366</v>
      </c>
      <c r="B341" s="3" t="str">
        <f>HYPERLINK("https://www.suredividend.com/sure-analysis-research-database/","Charge Enterprises Inc")</f>
        <v>Charge Enterprises Inc</v>
      </c>
      <c r="C341" s="2" t="s">
        <v>91</v>
      </c>
      <c r="D341" s="4">
        <v>0.1435</v>
      </c>
      <c r="E341" s="5">
        <v>0.0</v>
      </c>
      <c r="F341" s="5" t="s">
        <v>15</v>
      </c>
      <c r="G341" s="5" t="s">
        <v>15</v>
      </c>
      <c r="H341" s="4">
        <v>0.0</v>
      </c>
      <c r="I341" s="4">
        <v>30.944237</v>
      </c>
      <c r="J341" s="6" t="s">
        <v>15</v>
      </c>
      <c r="K341" s="5">
        <v>0.0</v>
      </c>
      <c r="L341" s="7">
        <v>1.82948979359274</v>
      </c>
      <c r="M341" s="4">
        <v>1.6</v>
      </c>
      <c r="N341" s="2">
        <v>0.08</v>
      </c>
    </row>
    <row r="342">
      <c r="A342" s="2" t="s">
        <v>367</v>
      </c>
      <c r="B342" s="3" t="str">
        <f>HYPERLINK("https://www.suredividend.com/sure-analysis-research-database/","Crescent Energy Co.")</f>
        <v>Crescent Energy Co.</v>
      </c>
      <c r="C342" s="2" t="s">
        <v>15</v>
      </c>
      <c r="D342" s="4">
        <v>10.59</v>
      </c>
      <c r="E342" s="5">
        <v>0.045624553226037</v>
      </c>
      <c r="F342" s="5" t="s">
        <v>15</v>
      </c>
      <c r="G342" s="5" t="s">
        <v>15</v>
      </c>
      <c r="H342" s="4">
        <v>0.521032397841346</v>
      </c>
      <c r="I342" s="4">
        <v>1011.912496</v>
      </c>
      <c r="J342" s="6">
        <v>48.4980827222621</v>
      </c>
      <c r="K342" s="5">
        <v>1.40895726836491</v>
      </c>
      <c r="L342" s="7">
        <v>1.02721468325541</v>
      </c>
      <c r="M342" s="4">
        <v>14.07</v>
      </c>
      <c r="N342" s="2">
        <v>8.99</v>
      </c>
    </row>
    <row r="343">
      <c r="A343" s="2" t="s">
        <v>368</v>
      </c>
      <c r="B343" s="3" t="str">
        <f>HYPERLINK("https://www.suredividend.com/sure-analysis-research-database/","Comstock Resources, Inc.")</f>
        <v>Comstock Resources, Inc.</v>
      </c>
      <c r="C343" s="2" t="s">
        <v>125</v>
      </c>
      <c r="D343" s="4">
        <v>7.45</v>
      </c>
      <c r="E343" s="5">
        <v>0.061855850297422</v>
      </c>
      <c r="F343" s="5" t="s">
        <v>15</v>
      </c>
      <c r="G343" s="5" t="s">
        <v>15</v>
      </c>
      <c r="H343" s="4">
        <v>0.491135451361533</v>
      </c>
      <c r="I343" s="4">
        <v>2210.729936</v>
      </c>
      <c r="J343" s="6">
        <v>3.56333130170161</v>
      </c>
      <c r="K343" s="5">
        <v>0.228435093656527</v>
      </c>
      <c r="L343" s="7">
        <v>1.33513956269093</v>
      </c>
      <c r="M343" s="4">
        <v>13.22</v>
      </c>
      <c r="N343" s="2">
        <v>7.74</v>
      </c>
    </row>
    <row r="344">
      <c r="A344" s="2" t="s">
        <v>369</v>
      </c>
      <c r="B344" s="3" t="str">
        <f>HYPERLINK("https://www.suredividend.com/sure-analysis-research-database/","Americas Car Mart, Inc.")</f>
        <v>Americas Car Mart, Inc.</v>
      </c>
      <c r="C344" s="2" t="s">
        <v>25</v>
      </c>
      <c r="D344" s="4">
        <v>62.29</v>
      </c>
      <c r="E344" s="5">
        <v>0.0</v>
      </c>
      <c r="F344" s="5" t="s">
        <v>15</v>
      </c>
      <c r="G344" s="5" t="s">
        <v>15</v>
      </c>
      <c r="H344" s="4">
        <v>0.0</v>
      </c>
      <c r="I344" s="4">
        <v>413.616619</v>
      </c>
      <c r="J344" s="6" t="s">
        <v>15</v>
      </c>
      <c r="K344" s="5">
        <v>0.0</v>
      </c>
      <c r="L344" s="7">
        <v>1.82761711486956</v>
      </c>
      <c r="M344" s="4">
        <v>127.96</v>
      </c>
      <c r="N344" s="2">
        <v>58.12</v>
      </c>
    </row>
    <row r="345">
      <c r="A345" s="2" t="s">
        <v>370</v>
      </c>
      <c r="B345" s="3" t="str">
        <f>HYPERLINK("https://www.suredividend.com/sure-analysis-research-database/","Cerence Inc")</f>
        <v>Cerence Inc</v>
      </c>
      <c r="C345" s="2" t="s">
        <v>40</v>
      </c>
      <c r="D345" s="4">
        <v>20.0</v>
      </c>
      <c r="E345" s="5">
        <v>0.0</v>
      </c>
      <c r="F345" s="5" t="s">
        <v>15</v>
      </c>
      <c r="G345" s="5" t="s">
        <v>15</v>
      </c>
      <c r="H345" s="4">
        <v>0.0</v>
      </c>
      <c r="I345" s="4">
        <v>868.873893</v>
      </c>
      <c r="J345" s="6" t="s">
        <v>15</v>
      </c>
      <c r="K345" s="5">
        <v>0.0</v>
      </c>
      <c r="L345" s="7">
        <v>1.82704064530807</v>
      </c>
      <c r="M345" s="4">
        <v>36.79</v>
      </c>
      <c r="N345" s="2">
        <v>14.47</v>
      </c>
    </row>
    <row r="346">
      <c r="A346" s="2" t="s">
        <v>371</v>
      </c>
      <c r="B346" s="3" t="str">
        <f>HYPERLINK("https://www.suredividend.com/sure-analysis-research-database/","Crinetics Pharmaceuticals Inc")</f>
        <v>Crinetics Pharmaceuticals Inc</v>
      </c>
      <c r="C346" s="2" t="s">
        <v>30</v>
      </c>
      <c r="D346" s="4">
        <v>37.67</v>
      </c>
      <c r="E346" s="5">
        <v>0.0</v>
      </c>
      <c r="F346" s="5" t="s">
        <v>15</v>
      </c>
      <c r="G346" s="5" t="s">
        <v>15</v>
      </c>
      <c r="H346" s="4">
        <v>0.0</v>
      </c>
      <c r="I346" s="4">
        <v>2518.331989</v>
      </c>
      <c r="J346" s="6" t="s">
        <v>15</v>
      </c>
      <c r="K346" s="5">
        <v>0.0</v>
      </c>
      <c r="L346" s="7">
        <v>0.987523928360009</v>
      </c>
      <c r="M346" s="4">
        <v>38.98</v>
      </c>
      <c r="N346" s="2">
        <v>15.23</v>
      </c>
    </row>
    <row r="347">
      <c r="A347" s="2" t="s">
        <v>372</v>
      </c>
      <c r="B347" s="3" t="str">
        <f>HYPERLINK("https://www.suredividend.com/sure-analysis-research-database/","Crocs Inc")</f>
        <v>Crocs Inc</v>
      </c>
      <c r="C347" s="2" t="s">
        <v>25</v>
      </c>
      <c r="D347" s="4">
        <v>96.21</v>
      </c>
      <c r="E347" s="5">
        <v>0.0</v>
      </c>
      <c r="F347" s="5" t="s">
        <v>15</v>
      </c>
      <c r="G347" s="5" t="s">
        <v>15</v>
      </c>
      <c r="H347" s="4">
        <v>0.0</v>
      </c>
      <c r="I347" s="4">
        <v>6326.64</v>
      </c>
      <c r="J347" s="6">
        <v>9.34904649667881</v>
      </c>
      <c r="K347" s="5">
        <v>0.0</v>
      </c>
      <c r="L347" s="7">
        <v>1.63932417779757</v>
      </c>
      <c r="M347" s="4">
        <v>151.32</v>
      </c>
      <c r="N347" s="2">
        <v>74.0</v>
      </c>
    </row>
    <row r="348">
      <c r="A348" s="2" t="s">
        <v>373</v>
      </c>
      <c r="B348" s="3" t="str">
        <f>HYPERLINK("https://www.suredividend.com/sure-analysis-research-database/","Carpenter Technology Corp.")</f>
        <v>Carpenter Technology Corp.</v>
      </c>
      <c r="C348" s="2" t="s">
        <v>17</v>
      </c>
      <c r="D348" s="4">
        <v>59.06</v>
      </c>
      <c r="E348" s="5">
        <v>0.01225169027347</v>
      </c>
      <c r="F348" s="5">
        <v>0.0</v>
      </c>
      <c r="G348" s="5">
        <v>0.0</v>
      </c>
      <c r="H348" s="4">
        <v>0.796114833970096</v>
      </c>
      <c r="I348" s="4">
        <v>3210.816907</v>
      </c>
      <c r="J348" s="6">
        <v>22.4062589480809</v>
      </c>
      <c r="K348" s="5">
        <v>0.276428761795172</v>
      </c>
      <c r="L348" s="7">
        <v>1.61118043373553</v>
      </c>
      <c r="M348" s="4">
        <v>73.83</v>
      </c>
      <c r="N348" s="2">
        <v>37.72</v>
      </c>
    </row>
    <row r="349">
      <c r="A349" s="2" t="s">
        <v>374</v>
      </c>
      <c r="B349" s="3" t="str">
        <f>HYPERLINK("https://www.suredividend.com/sure-analysis-research-database/","Corsair Gaming Inc")</f>
        <v>Corsair Gaming Inc</v>
      </c>
      <c r="C349" s="2" t="s">
        <v>15</v>
      </c>
      <c r="D349" s="4">
        <v>12.41</v>
      </c>
      <c r="E349" s="5">
        <v>0.0</v>
      </c>
      <c r="F349" s="5" t="s">
        <v>15</v>
      </c>
      <c r="G349" s="5" t="s">
        <v>15</v>
      </c>
      <c r="H349" s="4">
        <v>0.0</v>
      </c>
      <c r="I349" s="4">
        <v>1380.94261</v>
      </c>
      <c r="J349" s="6">
        <v>145.869083161508</v>
      </c>
      <c r="K349" s="5">
        <v>0.0</v>
      </c>
      <c r="L349" s="7">
        <v>1.4599617980036</v>
      </c>
      <c r="M349" s="4">
        <v>20.72</v>
      </c>
      <c r="N349" s="2">
        <v>11.45</v>
      </c>
    </row>
    <row r="350">
      <c r="A350" s="2" t="s">
        <v>375</v>
      </c>
      <c r="B350" s="3" t="str">
        <f>HYPERLINK("https://www.suredividend.com/sure-analysis-research-database/","Corvel Corp.")</f>
        <v>Corvel Corp.</v>
      </c>
      <c r="C350" s="2" t="s">
        <v>22</v>
      </c>
      <c r="D350" s="4">
        <v>234.85</v>
      </c>
      <c r="E350" s="5">
        <v>0.0</v>
      </c>
      <c r="F350" s="5" t="s">
        <v>15</v>
      </c>
      <c r="G350" s="5" t="s">
        <v>15</v>
      </c>
      <c r="H350" s="4">
        <v>0.0</v>
      </c>
      <c r="I350" s="4">
        <v>3961.658978</v>
      </c>
      <c r="J350" s="6">
        <v>53.0193516967117</v>
      </c>
      <c r="K350" s="5">
        <v>0.0</v>
      </c>
      <c r="L350" s="7">
        <v>0.620089962759334</v>
      </c>
      <c r="M350" s="4">
        <v>255.6</v>
      </c>
      <c r="N350" s="2">
        <v>170.64</v>
      </c>
    </row>
    <row r="351">
      <c r="A351" s="2" t="s">
        <v>376</v>
      </c>
      <c r="B351" s="3" t="str">
        <f>HYPERLINK("https://www.suredividend.com/sure-analysis-research-database/","CSG Systems International Inc.")</f>
        <v>CSG Systems International Inc.</v>
      </c>
      <c r="C351" s="2" t="s">
        <v>40</v>
      </c>
      <c r="D351" s="4">
        <v>46.33</v>
      </c>
      <c r="E351" s="5">
        <v>0.02102997553595</v>
      </c>
      <c r="F351" s="5">
        <v>0.0566037735849056</v>
      </c>
      <c r="G351" s="5">
        <v>0.0470456171338542</v>
      </c>
      <c r="H351" s="4">
        <v>1.10218101783915</v>
      </c>
      <c r="I351" s="4">
        <v>1555.062613</v>
      </c>
      <c r="J351" s="6">
        <v>21.0927448362156</v>
      </c>
      <c r="K351" s="5">
        <v>0.45733652192496</v>
      </c>
      <c r="L351" s="7">
        <v>0.831762184984398</v>
      </c>
      <c r="M351" s="4">
        <v>67.9</v>
      </c>
      <c r="N351" s="2">
        <v>45.53</v>
      </c>
    </row>
    <row r="352">
      <c r="A352" s="2" t="s">
        <v>377</v>
      </c>
      <c r="B352" s="3" t="str">
        <f>HYPERLINK("https://www.suredividend.com/sure-analysis-research-database/","Centerspace")</f>
        <v>Centerspace</v>
      </c>
      <c r="C352" s="2" t="s">
        <v>15</v>
      </c>
      <c r="D352" s="4">
        <v>53.59</v>
      </c>
      <c r="E352" s="5">
        <v>0.05117388733565</v>
      </c>
      <c r="F352" s="5">
        <v>0.0</v>
      </c>
      <c r="G352" s="5">
        <v>0.00842815843861855</v>
      </c>
      <c r="H352" s="4">
        <v>2.86676116854315</v>
      </c>
      <c r="I352" s="4">
        <v>843.243795</v>
      </c>
      <c r="J352" s="6">
        <v>20.542871637595</v>
      </c>
      <c r="K352" s="5">
        <v>1.16063205204176</v>
      </c>
      <c r="L352" s="7">
        <v>1.14157503107405</v>
      </c>
      <c r="M352" s="4">
        <v>68.41</v>
      </c>
      <c r="N352" s="2">
        <v>46.16</v>
      </c>
    </row>
    <row r="353">
      <c r="A353" s="2" t="s">
        <v>378</v>
      </c>
      <c r="B353" s="3" t="str">
        <f>HYPERLINK("https://www.suredividend.com/sure-analysis-research-database/","Caesarstone Ltd")</f>
        <v>Caesarstone Ltd</v>
      </c>
      <c r="C353" s="2" t="s">
        <v>17</v>
      </c>
      <c r="D353" s="4">
        <v>4.06</v>
      </c>
      <c r="E353" s="5">
        <v>0.0</v>
      </c>
      <c r="F353" s="5" t="s">
        <v>15</v>
      </c>
      <c r="G353" s="5" t="s">
        <v>15</v>
      </c>
      <c r="H353" s="4">
        <v>0.0</v>
      </c>
      <c r="I353" s="4">
        <v>141.134869</v>
      </c>
      <c r="J353" s="6" t="s">
        <v>15</v>
      </c>
      <c r="K353" s="5">
        <v>0.0</v>
      </c>
      <c r="L353" s="7">
        <v>0.721919910419122</v>
      </c>
      <c r="M353" s="4">
        <v>6.55</v>
      </c>
      <c r="N353" s="2">
        <v>3.5</v>
      </c>
    </row>
    <row r="354">
      <c r="A354" s="2" t="s">
        <v>379</v>
      </c>
      <c r="B354" s="3" t="str">
        <f>HYPERLINK("https://www.suredividend.com/sure-analysis-research-database/","Castle Biosciences Inc")</f>
        <v>Castle Biosciences Inc</v>
      </c>
      <c r="C354" s="2" t="s">
        <v>30</v>
      </c>
      <c r="D354" s="4">
        <v>23.3</v>
      </c>
      <c r="E354" s="5">
        <v>0.0</v>
      </c>
      <c r="F354" s="5" t="s">
        <v>15</v>
      </c>
      <c r="G354" s="5" t="s">
        <v>15</v>
      </c>
      <c r="H354" s="4">
        <v>0.0</v>
      </c>
      <c r="I354" s="4">
        <v>664.690536</v>
      </c>
      <c r="J354" s="6" t="s">
        <v>15</v>
      </c>
      <c r="K354" s="5">
        <v>0.0</v>
      </c>
      <c r="L354" s="7">
        <v>1.88436526199397</v>
      </c>
      <c r="M354" s="4">
        <v>29.59</v>
      </c>
      <c r="N354" s="2">
        <v>9.26</v>
      </c>
    </row>
    <row r="355">
      <c r="A355" s="2" t="s">
        <v>380</v>
      </c>
      <c r="B355" s="3" t="str">
        <f>HYPERLINK("https://www.suredividend.com/sure-analysis-research-database/","Constellium SE")</f>
        <v>Constellium SE</v>
      </c>
      <c r="C355" s="2" t="s">
        <v>130</v>
      </c>
      <c r="D355" s="4">
        <v>18.83</v>
      </c>
      <c r="E355" s="5">
        <v>0.0</v>
      </c>
      <c r="F355" s="5" t="s">
        <v>15</v>
      </c>
      <c r="G355" s="5" t="s">
        <v>15</v>
      </c>
      <c r="H355" s="4">
        <v>0.0</v>
      </c>
      <c r="I355" s="4">
        <v>2815.32406</v>
      </c>
      <c r="J355" s="6">
        <v>0.0</v>
      </c>
      <c r="K355" s="5" t="s">
        <v>15</v>
      </c>
      <c r="L355" s="7">
        <v>1.67282241870452</v>
      </c>
      <c r="M355" s="4">
        <v>20.68</v>
      </c>
      <c r="N355" s="2">
        <v>13.4</v>
      </c>
    </row>
    <row r="356">
      <c r="A356" s="2" t="s">
        <v>381</v>
      </c>
      <c r="B356" s="3" t="str">
        <f>HYPERLINK("https://www.suredividend.com/sure-analysis-research-database/","CapStar Financial Holdings Inc")</f>
        <v>CapStar Financial Holdings Inc</v>
      </c>
      <c r="C356" s="2" t="s">
        <v>22</v>
      </c>
      <c r="D356" s="4">
        <v>17.43</v>
      </c>
      <c r="E356" s="5">
        <v>0.022006386426662</v>
      </c>
      <c r="F356" s="5" t="s">
        <v>15</v>
      </c>
      <c r="G356" s="5" t="s">
        <v>15</v>
      </c>
      <c r="H356" s="4">
        <v>0.422962747120459</v>
      </c>
      <c r="I356" s="4">
        <v>398.084044</v>
      </c>
      <c r="J356" s="6">
        <v>11.8802687173212</v>
      </c>
      <c r="K356" s="5">
        <v>0.269403023643604</v>
      </c>
      <c r="L356" s="7">
        <v>1.31145242061884</v>
      </c>
      <c r="M356" s="4">
        <v>19.47</v>
      </c>
      <c r="N356" s="2">
        <v>10.78</v>
      </c>
    </row>
    <row r="357">
      <c r="A357" s="2" t="s">
        <v>382</v>
      </c>
      <c r="B357" s="3" t="str">
        <f>HYPERLINK("https://www.suredividend.com/sure-analysis-research-database/","Carriage Services, Inc.")</f>
        <v>Carriage Services, Inc.</v>
      </c>
      <c r="C357" s="2" t="s">
        <v>25</v>
      </c>
      <c r="D357" s="4">
        <v>24.09</v>
      </c>
      <c r="E357" s="5">
        <v>0.017615101389085</v>
      </c>
      <c r="F357" s="5">
        <v>0.0</v>
      </c>
      <c r="G357" s="5">
        <v>0.0844717711976985</v>
      </c>
      <c r="H357" s="4">
        <v>0.447071273254992</v>
      </c>
      <c r="I357" s="4">
        <v>380.229429</v>
      </c>
      <c r="J357" s="6">
        <v>12.7598050075505</v>
      </c>
      <c r="K357" s="5">
        <v>0.231643146764244</v>
      </c>
      <c r="L357" s="7">
        <v>1.30181855363056</v>
      </c>
      <c r="M357" s="4">
        <v>35.53</v>
      </c>
      <c r="N357" s="2">
        <v>18.06</v>
      </c>
    </row>
    <row r="358">
      <c r="A358" s="2" t="s">
        <v>383</v>
      </c>
      <c r="B358" s="3" t="str">
        <f>HYPERLINK("https://www.suredividend.com/sure-analysis-research-database/","CSW Industrials Inc")</f>
        <v>CSW Industrials Inc</v>
      </c>
      <c r="C358" s="2" t="s">
        <v>17</v>
      </c>
      <c r="D358" s="4">
        <v>217.94</v>
      </c>
      <c r="E358" s="5">
        <v>0.003605766739615</v>
      </c>
      <c r="F358" s="5">
        <v>0.117647058823529</v>
      </c>
      <c r="G358" s="5">
        <v>0.0707398506562677</v>
      </c>
      <c r="H358" s="4">
        <v>0.757932168667263</v>
      </c>
      <c r="I358" s="4">
        <v>3268.76744</v>
      </c>
      <c r="J358" s="6">
        <v>31.6351722182972</v>
      </c>
      <c r="K358" s="5">
        <v>0.113974762205603</v>
      </c>
      <c r="L358" s="7">
        <v>0.977945454435133</v>
      </c>
      <c r="M358" s="4">
        <v>219.45</v>
      </c>
      <c r="N358" s="2">
        <v>128.68</v>
      </c>
    </row>
    <row r="359">
      <c r="A359" s="2" t="s">
        <v>384</v>
      </c>
      <c r="B359" s="3" t="str">
        <f>HYPERLINK("https://www.suredividend.com/sure-analysis-CTBI/","Community Trust Bancorp, Inc.")</f>
        <v>Community Trust Bancorp, Inc.</v>
      </c>
      <c r="C359" s="2" t="s">
        <v>22</v>
      </c>
      <c r="D359" s="4">
        <v>40.43</v>
      </c>
      <c r="E359" s="5">
        <v>0.0455107593371259</v>
      </c>
      <c r="F359" s="5">
        <v>0.0454545454545454</v>
      </c>
      <c r="G359" s="5">
        <v>0.0502460726386826</v>
      </c>
      <c r="H359" s="4">
        <v>1.73989820914166</v>
      </c>
      <c r="I359" s="4">
        <v>755.99328</v>
      </c>
      <c r="J359" s="6">
        <v>9.24332762752482</v>
      </c>
      <c r="K359" s="5">
        <v>0.380721708783734</v>
      </c>
      <c r="L359" s="7">
        <v>0.951600485007779</v>
      </c>
      <c r="M359" s="4">
        <v>45.74</v>
      </c>
      <c r="N359" s="2">
        <v>30.46</v>
      </c>
    </row>
    <row r="360">
      <c r="A360" s="2" t="s">
        <v>385</v>
      </c>
      <c r="B360" s="3" t="str">
        <f>HYPERLINK("https://www.suredividend.com/sure-analysis-research-database/","CTI BioPharma Corp")</f>
        <v>CTI BioPharma Corp</v>
      </c>
      <c r="C360" s="2" t="s">
        <v>30</v>
      </c>
      <c r="D360" s="4">
        <v>9.09</v>
      </c>
      <c r="E360" s="5">
        <v>0.0</v>
      </c>
      <c r="F360" s="5" t="s">
        <v>15</v>
      </c>
      <c r="G360" s="5" t="s">
        <v>15</v>
      </c>
      <c r="H360" s="4">
        <v>0.0</v>
      </c>
      <c r="I360" s="4">
        <v>0.0</v>
      </c>
      <c r="J360" s="6">
        <v>0.0</v>
      </c>
      <c r="K360" s="5">
        <v>0.0</v>
      </c>
      <c r="L360" s="7"/>
      <c r="M360" s="4" t="s">
        <v>49</v>
      </c>
      <c r="N360" s="2" t="s">
        <v>49</v>
      </c>
    </row>
    <row r="361">
      <c r="A361" s="2" t="s">
        <v>386</v>
      </c>
      <c r="B361" s="3" t="str">
        <f>HYPERLINK("https://www.suredividend.com/sure-analysis-research-database/","Cytek BioSciences Inc")</f>
        <v>Cytek BioSciences Inc</v>
      </c>
      <c r="C361" s="2" t="s">
        <v>15</v>
      </c>
      <c r="D361" s="4">
        <v>7.63</v>
      </c>
      <c r="E361" s="5">
        <v>0.0</v>
      </c>
      <c r="F361" s="5" t="s">
        <v>15</v>
      </c>
      <c r="G361" s="5" t="s">
        <v>15</v>
      </c>
      <c r="H361" s="4">
        <v>0.0</v>
      </c>
      <c r="I361" s="4">
        <v>1187.410589</v>
      </c>
      <c r="J361" s="6" t="s">
        <v>15</v>
      </c>
      <c r="K361" s="5">
        <v>0.0</v>
      </c>
      <c r="L361" s="7">
        <v>1.52017537474921</v>
      </c>
      <c r="M361" s="4">
        <v>13.77</v>
      </c>
      <c r="N361" s="2">
        <v>3.8</v>
      </c>
    </row>
    <row r="362">
      <c r="A362" s="2" t="s">
        <v>387</v>
      </c>
      <c r="B362" s="3" t="str">
        <f>HYPERLINK("https://www.suredividend.com/sure-analysis-research-database/","Cantaloupe Inc")</f>
        <v>Cantaloupe Inc</v>
      </c>
      <c r="C362" s="2" t="s">
        <v>15</v>
      </c>
      <c r="D362" s="4">
        <v>6.81</v>
      </c>
      <c r="E362" s="5">
        <v>0.0</v>
      </c>
      <c r="F362" s="5" t="s">
        <v>15</v>
      </c>
      <c r="G362" s="5" t="s">
        <v>15</v>
      </c>
      <c r="H362" s="4">
        <v>0.0</v>
      </c>
      <c r="I362" s="4">
        <v>515.636982</v>
      </c>
      <c r="J362" s="6">
        <v>0.0</v>
      </c>
      <c r="K362" s="5" t="s">
        <v>15</v>
      </c>
      <c r="L362" s="7">
        <v>1.388368847238</v>
      </c>
      <c r="M362" s="4">
        <v>8.29</v>
      </c>
      <c r="N362" s="2">
        <v>4.82</v>
      </c>
    </row>
    <row r="363">
      <c r="A363" s="2" t="s">
        <v>388</v>
      </c>
      <c r="B363" s="3" t="str">
        <f>HYPERLINK("https://www.suredividend.com/sure-analysis-CTO/","CTO Realty Growth Inc")</f>
        <v>CTO Realty Growth Inc</v>
      </c>
      <c r="C363" s="2" t="s">
        <v>20</v>
      </c>
      <c r="D363" s="4">
        <v>16.5</v>
      </c>
      <c r="E363" s="5">
        <v>0.0921212121212121</v>
      </c>
      <c r="F363" s="5">
        <v>0.0</v>
      </c>
      <c r="G363" s="5">
        <v>0.3060407249698</v>
      </c>
      <c r="H363" s="4">
        <v>1.47007915559701</v>
      </c>
      <c r="I363" s="4">
        <v>385.215819</v>
      </c>
      <c r="J363" s="6" t="s">
        <v>15</v>
      </c>
      <c r="K363" s="5" t="s">
        <v>15</v>
      </c>
      <c r="L363" s="7">
        <v>0.854212436278509</v>
      </c>
      <c r="M363" s="4">
        <v>18.38</v>
      </c>
      <c r="N363" s="2">
        <v>14.68</v>
      </c>
    </row>
    <row r="364">
      <c r="A364" s="2" t="s">
        <v>389</v>
      </c>
      <c r="B364" s="3" t="str">
        <f>HYPERLINK("https://www.suredividend.com/sure-analysis-research-database/","Custom Truck One Source Inc")</f>
        <v>Custom Truck One Source Inc</v>
      </c>
      <c r="C364" s="2" t="s">
        <v>15</v>
      </c>
      <c r="D364" s="4">
        <v>6.58</v>
      </c>
      <c r="E364" s="5">
        <v>0.0</v>
      </c>
      <c r="F364" s="5" t="s">
        <v>15</v>
      </c>
      <c r="G364" s="5" t="s">
        <v>15</v>
      </c>
      <c r="H364" s="4">
        <v>0.0</v>
      </c>
      <c r="I364" s="4">
        <v>1595.72388</v>
      </c>
      <c r="J364" s="6">
        <v>24.3521583437361</v>
      </c>
      <c r="K364" s="5">
        <v>0.0</v>
      </c>
      <c r="L364" s="7">
        <v>1.26237360050041</v>
      </c>
      <c r="M364" s="4">
        <v>7.64</v>
      </c>
      <c r="N364" s="2">
        <v>4.42</v>
      </c>
    </row>
    <row r="365">
      <c r="A365" s="2" t="s">
        <v>390</v>
      </c>
      <c r="B365" s="3" t="str">
        <f>HYPERLINK("https://www.suredividend.com/sure-analysis-CTRE/","CareTrust REIT Inc")</f>
        <v>CareTrust REIT Inc</v>
      </c>
      <c r="C365" s="2" t="s">
        <v>20</v>
      </c>
      <c r="D365" s="4">
        <v>20.44</v>
      </c>
      <c r="E365" s="5">
        <v>0.0547945205479452</v>
      </c>
      <c r="F365" s="5">
        <v>0.0181818181818183</v>
      </c>
      <c r="G365" s="5">
        <v>0.0447084384224449</v>
      </c>
      <c r="H365" s="4">
        <v>1.09815885801654</v>
      </c>
      <c r="I365" s="4">
        <v>2563.292435</v>
      </c>
      <c r="J365" s="6">
        <v>61.8898624970422</v>
      </c>
      <c r="K365" s="5">
        <v>2.64935792042591</v>
      </c>
      <c r="L365" s="7">
        <v>0.741683250035005</v>
      </c>
      <c r="M365" s="4">
        <v>23.2</v>
      </c>
      <c r="N365" s="2">
        <v>16.9</v>
      </c>
    </row>
    <row r="366">
      <c r="A366" s="2" t="s">
        <v>391</v>
      </c>
      <c r="B366" s="3" t="str">
        <f>HYPERLINK("https://www.suredividend.com/sure-analysis-research-database/","Citi Trends Inc")</f>
        <v>Citi Trends Inc</v>
      </c>
      <c r="C366" s="2" t="s">
        <v>25</v>
      </c>
      <c r="D366" s="4">
        <v>27.98</v>
      </c>
      <c r="E366" s="5">
        <v>0.0</v>
      </c>
      <c r="F366" s="5" t="s">
        <v>15</v>
      </c>
      <c r="G366" s="5" t="s">
        <v>15</v>
      </c>
      <c r="H366" s="4">
        <v>0.0</v>
      </c>
      <c r="I366" s="4">
        <v>238.472669</v>
      </c>
      <c r="J366" s="6" t="s">
        <v>15</v>
      </c>
      <c r="K366" s="5">
        <v>0.0</v>
      </c>
      <c r="L366" s="7">
        <v>1.46357635643316</v>
      </c>
      <c r="M366" s="4">
        <v>34.94</v>
      </c>
      <c r="N366" s="2">
        <v>14.21</v>
      </c>
    </row>
    <row r="367">
      <c r="A367" s="2" t="s">
        <v>392</v>
      </c>
      <c r="B367" s="3" t="str">
        <f>HYPERLINK("https://www.suredividend.com/sure-analysis-research-database/","CTS Corp.")</f>
        <v>CTS Corp.</v>
      </c>
      <c r="C367" s="2" t="s">
        <v>40</v>
      </c>
      <c r="D367" s="4">
        <v>41.57</v>
      </c>
      <c r="E367" s="5">
        <v>0.003769125890724</v>
      </c>
      <c r="F367" s="5">
        <v>0.0</v>
      </c>
      <c r="G367" s="5">
        <v>0.0</v>
      </c>
      <c r="H367" s="4">
        <v>0.159773246507828</v>
      </c>
      <c r="I367" s="4">
        <v>1320.788892</v>
      </c>
      <c r="J367" s="6">
        <v>21.9575224714057</v>
      </c>
      <c r="K367" s="5">
        <v>0.084536109263401</v>
      </c>
      <c r="L367" s="7">
        <v>0.790948712749438</v>
      </c>
      <c r="M367" s="4">
        <v>49.45</v>
      </c>
      <c r="N367" s="2">
        <v>35.47</v>
      </c>
    </row>
    <row r="368">
      <c r="A368" s="2" t="s">
        <v>393</v>
      </c>
      <c r="B368" s="3" t="str">
        <f>HYPERLINK("https://www.suredividend.com/sure-analysis-research-database/","Innovid Corp")</f>
        <v>Innovid Corp</v>
      </c>
      <c r="C368" s="2" t="s">
        <v>15</v>
      </c>
      <c r="D368" s="4">
        <v>1.51</v>
      </c>
      <c r="E368" s="5">
        <v>0.0</v>
      </c>
      <c r="F368" s="5" t="s">
        <v>15</v>
      </c>
      <c r="G368" s="5" t="s">
        <v>15</v>
      </c>
      <c r="H368" s="4">
        <v>0.0</v>
      </c>
      <c r="I368" s="4">
        <v>209.440746</v>
      </c>
      <c r="J368" s="6" t="s">
        <v>15</v>
      </c>
      <c r="K368" s="5">
        <v>0.0</v>
      </c>
      <c r="L368" s="7">
        <v>1.12295499769723</v>
      </c>
      <c r="M368" s="4">
        <v>2.73</v>
      </c>
      <c r="N368" s="2">
        <v>0.75</v>
      </c>
    </row>
    <row r="369">
      <c r="A369" s="2" t="s">
        <v>394</v>
      </c>
      <c r="B369" s="3" t="str">
        <f>HYPERLINK("https://www.suredividend.com/sure-analysis-research-database/","Customers Bancorp Inc")</f>
        <v>Customers Bancorp Inc</v>
      </c>
      <c r="C369" s="2" t="s">
        <v>22</v>
      </c>
      <c r="D369" s="4">
        <v>51.25</v>
      </c>
      <c r="E369" s="5">
        <v>0.0</v>
      </c>
      <c r="F369" s="5" t="s">
        <v>15</v>
      </c>
      <c r="G369" s="5" t="s">
        <v>15</v>
      </c>
      <c r="H369" s="4">
        <v>0.0</v>
      </c>
      <c r="I369" s="4">
        <v>1756.560533</v>
      </c>
      <c r="J369" s="6">
        <v>8.65949150422976</v>
      </c>
      <c r="K369" s="5">
        <v>0.0</v>
      </c>
      <c r="L369" s="7">
        <v>2.45438462042006</v>
      </c>
      <c r="M369" s="4">
        <v>60.09</v>
      </c>
      <c r="N369" s="2">
        <v>6.87</v>
      </c>
    </row>
    <row r="370">
      <c r="A370" s="2" t="s">
        <v>395</v>
      </c>
      <c r="B370" s="3" t="str">
        <f>HYPERLINK("https://www.suredividend.com/sure-analysis-research-database/","CURO Group Holdings Corp")</f>
        <v>CURO Group Holdings Corp</v>
      </c>
      <c r="C370" s="2" t="s">
        <v>22</v>
      </c>
      <c r="D370" s="4">
        <v>0.4513</v>
      </c>
      <c r="E370" s="5">
        <v>0.0</v>
      </c>
      <c r="F370" s="5" t="s">
        <v>15</v>
      </c>
      <c r="G370" s="5" t="s">
        <v>15</v>
      </c>
      <c r="H370" s="4">
        <v>0.0</v>
      </c>
      <c r="I370" s="4">
        <v>40.148257</v>
      </c>
      <c r="J370" s="6" t="s">
        <v>15</v>
      </c>
      <c r="K370" s="5">
        <v>0.0</v>
      </c>
      <c r="L370" s="7">
        <v>2.75938228677582</v>
      </c>
      <c r="M370" s="4">
        <v>4.83</v>
      </c>
      <c r="N370" s="2">
        <v>0.577</v>
      </c>
    </row>
    <row r="371">
      <c r="A371" s="2" t="s">
        <v>396</v>
      </c>
      <c r="B371" s="3" t="str">
        <f>HYPERLINK("https://www.suredividend.com/sure-analysis-research-database/","Torrid Holdings Inc")</f>
        <v>Torrid Holdings Inc</v>
      </c>
      <c r="C371" s="2" t="s">
        <v>15</v>
      </c>
      <c r="D371" s="4">
        <v>5.06</v>
      </c>
      <c r="E371" s="5">
        <v>0.0</v>
      </c>
      <c r="F371" s="5" t="s">
        <v>15</v>
      </c>
      <c r="G371" s="5" t="s">
        <v>15</v>
      </c>
      <c r="H371" s="4">
        <v>0.0</v>
      </c>
      <c r="I371" s="4">
        <v>552.785528</v>
      </c>
      <c r="J371" s="6">
        <v>0.0</v>
      </c>
      <c r="K371" s="5" t="s">
        <v>15</v>
      </c>
      <c r="L371" s="7">
        <v>1.10880678656107</v>
      </c>
      <c r="M371" s="4">
        <v>6.86</v>
      </c>
      <c r="N371" s="2">
        <v>1.21</v>
      </c>
    </row>
    <row r="372">
      <c r="A372" s="2" t="s">
        <v>397</v>
      </c>
      <c r="B372" s="3" t="str">
        <f>HYPERLINK("https://www.suredividend.com/sure-analysis-research-database/","Cutera Inc")</f>
        <v>Cutera Inc</v>
      </c>
      <c r="C372" s="2" t="s">
        <v>30</v>
      </c>
      <c r="D372" s="4">
        <v>2.39</v>
      </c>
      <c r="E372" s="5">
        <v>0.0</v>
      </c>
      <c r="F372" s="5" t="s">
        <v>15</v>
      </c>
      <c r="G372" s="5" t="s">
        <v>15</v>
      </c>
      <c r="H372" s="4">
        <v>0.0</v>
      </c>
      <c r="I372" s="4">
        <v>59.432748</v>
      </c>
      <c r="J372" s="6" t="s">
        <v>15</v>
      </c>
      <c r="K372" s="5">
        <v>0.0</v>
      </c>
      <c r="L372" s="7">
        <v>2.78275173444201</v>
      </c>
      <c r="M372" s="4">
        <v>37.34</v>
      </c>
      <c r="N372" s="2">
        <v>1.38</v>
      </c>
    </row>
    <row r="373">
      <c r="A373" s="2" t="s">
        <v>398</v>
      </c>
      <c r="B373" s="3" t="str">
        <f>HYPERLINK("https://www.suredividend.com/sure-analysis-research-database/","CVB Financial Corp.")</f>
        <v>CVB Financial Corp.</v>
      </c>
      <c r="C373" s="2" t="s">
        <v>22</v>
      </c>
      <c r="D373" s="4">
        <v>16.8</v>
      </c>
      <c r="E373" s="5">
        <v>0.042660434117637</v>
      </c>
      <c r="F373" s="5">
        <v>0.0</v>
      </c>
      <c r="G373" s="5">
        <v>0.0212956876001351</v>
      </c>
      <c r="H373" s="4">
        <v>0.777273109623346</v>
      </c>
      <c r="I373" s="4">
        <v>2538.736429</v>
      </c>
      <c r="J373" s="6">
        <v>10.6909920564293</v>
      </c>
      <c r="K373" s="5">
        <v>0.451902970711247</v>
      </c>
      <c r="L373" s="7">
        <v>1.61723953463958</v>
      </c>
      <c r="M373" s="4">
        <v>23.79</v>
      </c>
      <c r="N373" s="2">
        <v>10.02</v>
      </c>
    </row>
    <row r="374">
      <c r="A374" s="2" t="s">
        <v>399</v>
      </c>
      <c r="B374" s="3" t="str">
        <f>HYPERLINK("https://www.suredividend.com/sure-analysis-research-database/","Cavco Industries Inc")</f>
        <v>Cavco Industries Inc</v>
      </c>
      <c r="C374" s="2" t="s">
        <v>25</v>
      </c>
      <c r="D374" s="4">
        <v>350.6</v>
      </c>
      <c r="E374" s="5">
        <v>0.0</v>
      </c>
      <c r="F374" s="5" t="s">
        <v>15</v>
      </c>
      <c r="G374" s="5" t="s">
        <v>15</v>
      </c>
      <c r="H374" s="4">
        <v>0.0</v>
      </c>
      <c r="I374" s="4">
        <v>2796.239671</v>
      </c>
      <c r="J374" s="6">
        <v>14.3594256250128</v>
      </c>
      <c r="K374" s="5">
        <v>0.0</v>
      </c>
      <c r="L374" s="7">
        <v>1.66408395680168</v>
      </c>
      <c r="M374" s="4">
        <v>365.63</v>
      </c>
      <c r="N374" s="2">
        <v>233.84</v>
      </c>
    </row>
    <row r="375">
      <c r="A375" s="2" t="s">
        <v>400</v>
      </c>
      <c r="B375" s="3" t="str">
        <f>HYPERLINK("https://www.suredividend.com/sure-analysis-research-database/","Calavo Growers, Inc")</f>
        <v>Calavo Growers, Inc</v>
      </c>
      <c r="C375" s="2" t="s">
        <v>89</v>
      </c>
      <c r="D375" s="4">
        <v>25.13</v>
      </c>
      <c r="E375" s="5">
        <v>0.014361841097506</v>
      </c>
      <c r="F375" s="5" t="s">
        <v>15</v>
      </c>
      <c r="G375" s="5" t="s">
        <v>15</v>
      </c>
      <c r="H375" s="4">
        <v>0.395668722236306</v>
      </c>
      <c r="I375" s="4">
        <v>489.317231</v>
      </c>
      <c r="J375" s="6" t="s">
        <v>15</v>
      </c>
      <c r="K375" s="5" t="s">
        <v>15</v>
      </c>
      <c r="L375" s="7">
        <v>0.957747335023005</v>
      </c>
      <c r="M375" s="4">
        <v>38.39</v>
      </c>
      <c r="N375" s="2">
        <v>21.43</v>
      </c>
    </row>
    <row r="376">
      <c r="A376" s="2" t="s">
        <v>401</v>
      </c>
      <c r="B376" s="3" t="str">
        <f>HYPERLINK("https://www.suredividend.com/sure-analysis-research-database/","CVR Energy Inc")</f>
        <v>CVR Energy Inc</v>
      </c>
      <c r="C376" s="2" t="s">
        <v>125</v>
      </c>
      <c r="D376" s="4">
        <v>33.96</v>
      </c>
      <c r="E376" s="5">
        <v>0.05817866442635</v>
      </c>
      <c r="F376" s="5">
        <v>2.0</v>
      </c>
      <c r="G376" s="5">
        <v>0.133966577633027</v>
      </c>
      <c r="H376" s="4">
        <v>1.89313374043343</v>
      </c>
      <c r="I376" s="4">
        <v>3271.265691</v>
      </c>
      <c r="J376" s="6">
        <v>4.14609086370088</v>
      </c>
      <c r="K376" s="5">
        <v>0.241163533813176</v>
      </c>
      <c r="L376" s="7">
        <v>0.849654815131124</v>
      </c>
      <c r="M376" s="4">
        <v>36.47</v>
      </c>
      <c r="N376" s="2">
        <v>20.94</v>
      </c>
    </row>
    <row r="377">
      <c r="A377" s="2" t="s">
        <v>402</v>
      </c>
      <c r="B377" s="3" t="str">
        <f>HYPERLINK("https://www.suredividend.com/sure-analysis-research-database/","Covenant Logistics Group Inc")</f>
        <v>Covenant Logistics Group Inc</v>
      </c>
      <c r="C377" s="2" t="s">
        <v>15</v>
      </c>
      <c r="D377" s="4">
        <v>49.47</v>
      </c>
      <c r="E377" s="5">
        <v>0.008813624688768</v>
      </c>
      <c r="F377" s="5" t="s">
        <v>15</v>
      </c>
      <c r="G377" s="5" t="s">
        <v>15</v>
      </c>
      <c r="H377" s="4">
        <v>0.436715103328485</v>
      </c>
      <c r="I377" s="4">
        <v>525.068219</v>
      </c>
      <c r="J377" s="6">
        <v>9.73484285833472</v>
      </c>
      <c r="K377" s="5">
        <v>0.112846279929841</v>
      </c>
      <c r="L377" s="7">
        <v>1.08311436487683</v>
      </c>
      <c r="M377" s="4">
        <v>57.02</v>
      </c>
      <c r="N377" s="2">
        <v>31.74</v>
      </c>
    </row>
    <row r="378">
      <c r="A378" s="2" t="s">
        <v>403</v>
      </c>
      <c r="B378" s="3" t="str">
        <f>HYPERLINK("https://www.suredividend.com/sure-analysis-research-database/","Commvault Systems Inc")</f>
        <v>Commvault Systems Inc</v>
      </c>
      <c r="C378" s="2" t="s">
        <v>40</v>
      </c>
      <c r="D378" s="4">
        <v>93.49</v>
      </c>
      <c r="E378" s="5">
        <v>0.0</v>
      </c>
      <c r="F378" s="5" t="s">
        <v>15</v>
      </c>
      <c r="G378" s="5" t="s">
        <v>15</v>
      </c>
      <c r="H378" s="4">
        <v>0.0</v>
      </c>
      <c r="I378" s="4">
        <v>3569.48592</v>
      </c>
      <c r="J378" s="6" t="s">
        <v>15</v>
      </c>
      <c r="K378" s="5">
        <v>0.0</v>
      </c>
      <c r="L378" s="7">
        <v>0.93259975980338</v>
      </c>
      <c r="M378" s="4">
        <v>81.52</v>
      </c>
      <c r="N378" s="2">
        <v>53.7</v>
      </c>
    </row>
    <row r="379">
      <c r="A379" s="2" t="s">
        <v>404</v>
      </c>
      <c r="B379" s="3" t="str">
        <f>HYPERLINK("https://www.suredividend.com/sure-analysis-research-database/","Cvent Holding Corp")</f>
        <v>Cvent Holding Corp</v>
      </c>
      <c r="C379" s="2" t="s">
        <v>15</v>
      </c>
      <c r="D379" s="4">
        <v>8.52</v>
      </c>
      <c r="E379" s="5">
        <v>0.0</v>
      </c>
      <c r="F379" s="5" t="s">
        <v>15</v>
      </c>
      <c r="G379" s="5" t="s">
        <v>15</v>
      </c>
      <c r="H379" s="4">
        <v>0.0</v>
      </c>
      <c r="I379" s="4">
        <v>0.0</v>
      </c>
      <c r="J379" s="6">
        <v>0.0</v>
      </c>
      <c r="K379" s="5" t="s">
        <v>15</v>
      </c>
      <c r="L379" s="7"/>
      <c r="M379" s="4" t="s">
        <v>49</v>
      </c>
      <c r="N379" s="2" t="s">
        <v>49</v>
      </c>
    </row>
    <row r="380">
      <c r="A380" s="2" t="s">
        <v>405</v>
      </c>
      <c r="B380" s="3" t="str">
        <f>HYPERLINK("https://www.suredividend.com/sure-analysis-CWEN/","Clearway Energy Inc")</f>
        <v>Clearway Energy Inc</v>
      </c>
      <c r="C380" s="2" t="s">
        <v>91</v>
      </c>
      <c r="D380" s="4">
        <v>23.15</v>
      </c>
      <c r="E380" s="5">
        <v>0.068682505399568</v>
      </c>
      <c r="F380" s="5">
        <v>0.079520697167756</v>
      </c>
      <c r="G380" s="5">
        <v>0.146623213942472</v>
      </c>
      <c r="H380" s="4">
        <v>1.50755799991594</v>
      </c>
      <c r="I380" s="4">
        <v>2852.881571</v>
      </c>
      <c r="J380" s="6">
        <v>52.8311402027777</v>
      </c>
      <c r="K380" s="5">
        <v>3.26664788714181</v>
      </c>
      <c r="L380" s="7">
        <v>1.15890022094668</v>
      </c>
      <c r="M380" s="4">
        <v>32.68</v>
      </c>
      <c r="N380" s="2">
        <v>18.3</v>
      </c>
    </row>
    <row r="381">
      <c r="A381" s="2" t="s">
        <v>406</v>
      </c>
      <c r="B381" s="3" t="str">
        <f>HYPERLINK("https://www.suredividend.com/sure-analysis-CWH/","Camping World Holdings Inc")</f>
        <v>Camping World Holdings Inc</v>
      </c>
      <c r="C381" s="2" t="s">
        <v>25</v>
      </c>
      <c r="D381" s="4">
        <v>24.74</v>
      </c>
      <c r="E381" s="5">
        <v>0.0202101859337105</v>
      </c>
      <c r="F381" s="5">
        <v>-0.8</v>
      </c>
      <c r="G381" s="5">
        <v>0.112960590451347</v>
      </c>
      <c r="H381" s="4">
        <v>1.47239061331059</v>
      </c>
      <c r="I381" s="4">
        <v>1152.641576</v>
      </c>
      <c r="J381" s="6">
        <v>78.8778194621227</v>
      </c>
      <c r="K381" s="5">
        <v>6.48059248816281</v>
      </c>
      <c r="L381" s="7">
        <v>1.88904078060615</v>
      </c>
      <c r="M381" s="4">
        <v>32.53</v>
      </c>
      <c r="N381" s="2">
        <v>16.1</v>
      </c>
    </row>
    <row r="382">
      <c r="A382" s="2" t="s">
        <v>407</v>
      </c>
      <c r="B382" s="3" t="str">
        <f>HYPERLINK("https://www.suredividend.com/sure-analysis-research-database/","Cushman &amp; Wakefield plc")</f>
        <v>Cushman &amp; Wakefield plc</v>
      </c>
      <c r="C382" s="2" t="s">
        <v>20</v>
      </c>
      <c r="D382" s="4">
        <v>10.04</v>
      </c>
      <c r="E382" s="5">
        <v>0.0</v>
      </c>
      <c r="F382" s="5" t="s">
        <v>15</v>
      </c>
      <c r="G382" s="5" t="s">
        <v>15</v>
      </c>
      <c r="H382" s="4">
        <v>0.0</v>
      </c>
      <c r="I382" s="4">
        <v>2417.975644</v>
      </c>
      <c r="J382" s="6" t="s">
        <v>15</v>
      </c>
      <c r="K382" s="5">
        <v>0.0</v>
      </c>
      <c r="L382" s="7">
        <v>1.99961681262301</v>
      </c>
      <c r="M382" s="4">
        <v>15.63</v>
      </c>
      <c r="N382" s="2">
        <v>6.24</v>
      </c>
    </row>
    <row r="383">
      <c r="A383" s="2" t="s">
        <v>408</v>
      </c>
      <c r="B383" s="3" t="str">
        <f>HYPERLINK("https://www.suredividend.com/sure-analysis-research-database/","Casella Waste Systems, Inc.")</f>
        <v>Casella Waste Systems, Inc.</v>
      </c>
      <c r="C383" s="2" t="s">
        <v>17</v>
      </c>
      <c r="D383" s="4">
        <v>86.16</v>
      </c>
      <c r="E383" s="5">
        <v>0.0</v>
      </c>
      <c r="F383" s="5" t="s">
        <v>15</v>
      </c>
      <c r="G383" s="5" t="s">
        <v>15</v>
      </c>
      <c r="H383" s="4">
        <v>0.0</v>
      </c>
      <c r="I383" s="4">
        <v>4925.466764</v>
      </c>
      <c r="J383" s="6">
        <v>138.235434427324</v>
      </c>
      <c r="K383" s="5">
        <v>0.0</v>
      </c>
      <c r="L383" s="7">
        <v>0.653966395996846</v>
      </c>
      <c r="M383" s="4">
        <v>95.78</v>
      </c>
      <c r="N383" s="2">
        <v>72.33</v>
      </c>
    </row>
    <row r="384">
      <c r="A384" s="2" t="s">
        <v>409</v>
      </c>
      <c r="B384" s="3" t="str">
        <f>HYPERLINK("https://www.suredividend.com/sure-analysis-CWT/","California Water Service Group")</f>
        <v>California Water Service Group</v>
      </c>
      <c r="C384" s="2" t="s">
        <v>91</v>
      </c>
      <c r="D384" s="4">
        <v>45.09</v>
      </c>
      <c r="E384" s="5">
        <v>0.0248392104679529</v>
      </c>
      <c r="F384" s="5">
        <v>0.04</v>
      </c>
      <c r="G384" s="5">
        <v>0.0565285800436978</v>
      </c>
      <c r="H384" s="4">
        <v>1.03219158121823</v>
      </c>
      <c r="I384" s="4">
        <v>2646.62646</v>
      </c>
      <c r="J384" s="6">
        <v>64.0023810214741</v>
      </c>
      <c r="K384" s="5">
        <v>1.4085583804834</v>
      </c>
      <c r="L384" s="7">
        <v>0.675685857547725</v>
      </c>
      <c r="M384" s="4">
        <v>62.72</v>
      </c>
      <c r="N384" s="2">
        <v>44.84</v>
      </c>
    </row>
    <row r="385">
      <c r="A385" s="2" t="s">
        <v>410</v>
      </c>
      <c r="B385" s="3" t="str">
        <f>HYPERLINK("https://www.suredividend.com/sure-analysis-research-database/","CoreCivic Inc")</f>
        <v>CoreCivic Inc</v>
      </c>
      <c r="C385" s="2" t="s">
        <v>20</v>
      </c>
      <c r="D385" s="4">
        <v>14.41</v>
      </c>
      <c r="E385" s="5">
        <v>0.0</v>
      </c>
      <c r="F385" s="5" t="s">
        <v>15</v>
      </c>
      <c r="G385" s="5" t="s">
        <v>15</v>
      </c>
      <c r="H385" s="4">
        <v>0.0</v>
      </c>
      <c r="I385" s="4">
        <v>1690.444498</v>
      </c>
      <c r="J385" s="6">
        <v>25.7850866864961</v>
      </c>
      <c r="K385" s="5">
        <v>0.0</v>
      </c>
      <c r="L385" s="7">
        <v>0.717362595528011</v>
      </c>
      <c r="M385" s="4">
        <v>15.12</v>
      </c>
      <c r="N385" s="2">
        <v>7.84</v>
      </c>
    </row>
    <row r="386">
      <c r="A386" s="2" t="s">
        <v>411</v>
      </c>
      <c r="B386" s="3" t="str">
        <f>HYPERLINK("https://www.suredividend.com/sure-analysis-research-database/","Community Health Systems, Inc.")</f>
        <v>Community Health Systems, Inc.</v>
      </c>
      <c r="C386" s="2" t="s">
        <v>30</v>
      </c>
      <c r="D386" s="4">
        <v>3.65</v>
      </c>
      <c r="E386" s="5">
        <v>0.0</v>
      </c>
      <c r="F386" s="5" t="s">
        <v>15</v>
      </c>
      <c r="G386" s="5" t="s">
        <v>15</v>
      </c>
      <c r="H386" s="4">
        <v>0.0</v>
      </c>
      <c r="I386" s="4">
        <v>523.947497</v>
      </c>
      <c r="J386" s="6">
        <v>2.22956381612766</v>
      </c>
      <c r="K386" s="5">
        <v>0.0</v>
      </c>
      <c r="L386" s="7">
        <v>2.31012651695599</v>
      </c>
      <c r="M386" s="4">
        <v>8.01</v>
      </c>
      <c r="N386" s="2">
        <v>2.01</v>
      </c>
    </row>
    <row r="387">
      <c r="A387" s="2" t="s">
        <v>412</v>
      </c>
      <c r="B387" s="3" t="str">
        <f>HYPERLINK("https://www.suredividend.com/sure-analysis-research-database/","CryoPort Inc")</f>
        <v>CryoPort Inc</v>
      </c>
      <c r="C387" s="2" t="s">
        <v>17</v>
      </c>
      <c r="D387" s="4">
        <v>14.75</v>
      </c>
      <c r="E387" s="5">
        <v>0.0</v>
      </c>
      <c r="F387" s="5" t="s">
        <v>15</v>
      </c>
      <c r="G387" s="5" t="s">
        <v>15</v>
      </c>
      <c r="H387" s="4">
        <v>0.0</v>
      </c>
      <c r="I387" s="4">
        <v>782.929835</v>
      </c>
      <c r="J387" s="6">
        <v>0.0</v>
      </c>
      <c r="K387" s="5" t="s">
        <v>15</v>
      </c>
      <c r="L387" s="7">
        <v>2.61969343176988</v>
      </c>
      <c r="M387" s="4">
        <v>26.01</v>
      </c>
      <c r="N387" s="2">
        <v>9.0</v>
      </c>
    </row>
    <row r="388">
      <c r="A388" s="2" t="s">
        <v>413</v>
      </c>
      <c r="B388" s="3" t="str">
        <f>HYPERLINK("https://www.suredividend.com/sure-analysis-research-database/","Cytokinetics Inc")</f>
        <v>Cytokinetics Inc</v>
      </c>
      <c r="C388" s="2" t="s">
        <v>30</v>
      </c>
      <c r="D388" s="4">
        <v>80.16</v>
      </c>
      <c r="E388" s="5">
        <v>0.0</v>
      </c>
      <c r="F388" s="5" t="s">
        <v>15</v>
      </c>
      <c r="G388" s="5" t="s">
        <v>15</v>
      </c>
      <c r="H388" s="4">
        <v>0.0</v>
      </c>
      <c r="I388" s="4">
        <v>7843.311224</v>
      </c>
      <c r="J388" s="6" t="s">
        <v>15</v>
      </c>
      <c r="K388" s="5">
        <v>0.0</v>
      </c>
      <c r="L388" s="7">
        <v>1.45523932361823</v>
      </c>
      <c r="M388" s="4">
        <v>110.25</v>
      </c>
      <c r="N388" s="2">
        <v>25.98</v>
      </c>
    </row>
    <row r="389">
      <c r="A389" s="2" t="s">
        <v>414</v>
      </c>
      <c r="B389" s="3" t="str">
        <f>HYPERLINK("https://www.suredividend.com/sure-analysis-research-database/","Citizens &amp; Northern Corp")</f>
        <v>Citizens &amp; Northern Corp</v>
      </c>
      <c r="C389" s="2" t="s">
        <v>22</v>
      </c>
      <c r="D389" s="4">
        <v>19.5</v>
      </c>
      <c r="E389" s="5">
        <v>0.060428729087972</v>
      </c>
      <c r="F389" s="5">
        <v>0.0</v>
      </c>
      <c r="G389" s="5">
        <v>0.00730004519521165</v>
      </c>
      <c r="H389" s="4">
        <v>1.32338916702659</v>
      </c>
      <c r="I389" s="4">
        <v>334.517375</v>
      </c>
      <c r="J389" s="6">
        <v>12.1899779680781</v>
      </c>
      <c r="K389" s="5">
        <v>0.739323556998094</v>
      </c>
      <c r="L389" s="7">
        <v>0.91017065552606</v>
      </c>
      <c r="M389" s="4">
        <v>22.86</v>
      </c>
      <c r="N389" s="2">
        <v>15.35</v>
      </c>
    </row>
    <row r="390">
      <c r="A390" s="2" t="s">
        <v>415</v>
      </c>
      <c r="B390" s="3" t="str">
        <f>HYPERLINK("https://www.suredividend.com/sure-analysis-research-database/","Dana Inc")</f>
        <v>Dana Inc</v>
      </c>
      <c r="C390" s="2" t="s">
        <v>25</v>
      </c>
      <c r="D390" s="4">
        <v>13.5</v>
      </c>
      <c r="E390" s="5">
        <v>0.0286295542688</v>
      </c>
      <c r="F390" s="5" t="s">
        <v>15</v>
      </c>
      <c r="G390" s="5" t="s">
        <v>15</v>
      </c>
      <c r="H390" s="4">
        <v>0.395660439994828</v>
      </c>
      <c r="I390" s="4">
        <v>1994.753261</v>
      </c>
      <c r="J390" s="6" t="s">
        <v>15</v>
      </c>
      <c r="K390" s="5" t="s">
        <v>15</v>
      </c>
      <c r="L390" s="7">
        <v>1.77903059811651</v>
      </c>
      <c r="M390" s="4">
        <v>19.47</v>
      </c>
      <c r="N390" s="2">
        <v>11.0</v>
      </c>
    </row>
    <row r="391">
      <c r="A391" s="2" t="s">
        <v>416</v>
      </c>
      <c r="B391" s="3" t="str">
        <f>HYPERLINK("https://www.suredividend.com/sure-analysis-research-database/","Day One Biopharmaceuticals Inc")</f>
        <v>Day One Biopharmaceuticals Inc</v>
      </c>
      <c r="C391" s="2" t="s">
        <v>15</v>
      </c>
      <c r="D391" s="4">
        <v>15.01</v>
      </c>
      <c r="E391" s="5">
        <v>0.0</v>
      </c>
      <c r="F391" s="5" t="s">
        <v>15</v>
      </c>
      <c r="G391" s="5" t="s">
        <v>15</v>
      </c>
      <c r="H391" s="4">
        <v>0.0</v>
      </c>
      <c r="I391" s="4">
        <v>1262.122529</v>
      </c>
      <c r="J391" s="6">
        <v>0.0</v>
      </c>
      <c r="K391" s="5" t="s">
        <v>15</v>
      </c>
      <c r="L391" s="7">
        <v>1.12746194003982</v>
      </c>
      <c r="M391" s="4">
        <v>22.06</v>
      </c>
      <c r="N391" s="2">
        <v>9.67</v>
      </c>
    </row>
    <row r="392">
      <c r="A392" s="2" t="s">
        <v>417</v>
      </c>
      <c r="B392" s="3" t="str">
        <f>HYPERLINK("https://www.suredividend.com/sure-analysis-research-database/","Designer Brands Inc")</f>
        <v>Designer Brands Inc</v>
      </c>
      <c r="C392" s="2" t="s">
        <v>25</v>
      </c>
      <c r="D392" s="4">
        <v>9.16</v>
      </c>
      <c r="E392" s="5">
        <v>0.022782936099221</v>
      </c>
      <c r="F392" s="5" t="s">
        <v>15</v>
      </c>
      <c r="G392" s="5" t="s">
        <v>15</v>
      </c>
      <c r="H392" s="4">
        <v>0.198667202785207</v>
      </c>
      <c r="I392" s="4">
        <v>428.365405</v>
      </c>
      <c r="J392" s="6">
        <v>4.12115683172508</v>
      </c>
      <c r="K392" s="5">
        <v>0.125738735940004</v>
      </c>
      <c r="L392" s="7">
        <v>1.74891334005591</v>
      </c>
      <c r="M392" s="4">
        <v>13.33</v>
      </c>
      <c r="N392" s="2">
        <v>6.06</v>
      </c>
    </row>
    <row r="393">
      <c r="A393" s="2" t="s">
        <v>418</v>
      </c>
      <c r="B393" s="3" t="str">
        <f>HYPERLINK("https://www.suredividend.com/sure-analysis-research-database/","DigitalBridge Group Inc")</f>
        <v>DigitalBridge Group Inc</v>
      </c>
      <c r="C393" s="2" t="s">
        <v>15</v>
      </c>
      <c r="D393" s="4">
        <v>19.33</v>
      </c>
      <c r="E393" s="5">
        <v>0.001971551643245</v>
      </c>
      <c r="F393" s="5" t="s">
        <v>15</v>
      </c>
      <c r="G393" s="5" t="s">
        <v>15</v>
      </c>
      <c r="H393" s="4">
        <v>0.039963351808585</v>
      </c>
      <c r="I393" s="4">
        <v>3308.964495</v>
      </c>
      <c r="J393" s="6">
        <v>436.078610272799</v>
      </c>
      <c r="K393" s="5">
        <v>0.855746291404389</v>
      </c>
      <c r="L393" s="7">
        <v>2.27665240761636</v>
      </c>
      <c r="M393" s="4">
        <v>20.57</v>
      </c>
      <c r="N393" s="2">
        <v>9.96</v>
      </c>
    </row>
    <row r="394">
      <c r="A394" s="2" t="s">
        <v>419</v>
      </c>
      <c r="B394" s="3" t="str">
        <f>HYPERLINK("https://www.suredividend.com/sure-analysis-research-database/","Dakota Gold Corp")</f>
        <v>Dakota Gold Corp</v>
      </c>
      <c r="C394" s="2" t="s">
        <v>15</v>
      </c>
      <c r="D394" s="4">
        <v>2.0</v>
      </c>
      <c r="E394" s="5">
        <v>0.0</v>
      </c>
      <c r="F394" s="5" t="s">
        <v>15</v>
      </c>
      <c r="G394" s="5" t="s">
        <v>15</v>
      </c>
      <c r="H394" s="4">
        <v>0.0</v>
      </c>
      <c r="I394" s="4">
        <v>201.237431</v>
      </c>
      <c r="J394" s="6">
        <v>0.0</v>
      </c>
      <c r="K394" s="5" t="s">
        <v>15</v>
      </c>
      <c r="L394" s="7">
        <v>0.716580501349487</v>
      </c>
      <c r="M394" s="4">
        <v>3.95</v>
      </c>
      <c r="N394" s="2">
        <v>2.0</v>
      </c>
    </row>
    <row r="395">
      <c r="A395" s="2" t="s">
        <v>420</v>
      </c>
      <c r="B395" s="3" t="str">
        <f>HYPERLINK("https://www.suredividend.com/sure-analysis-research-database/","DocGo Inc")</f>
        <v>DocGo Inc</v>
      </c>
      <c r="C395" s="2" t="s">
        <v>15</v>
      </c>
      <c r="D395" s="4">
        <v>3.28</v>
      </c>
      <c r="E395" s="5">
        <v>0.0</v>
      </c>
      <c r="F395" s="5" t="s">
        <v>15</v>
      </c>
      <c r="G395" s="5" t="s">
        <v>15</v>
      </c>
      <c r="H395" s="4">
        <v>0.0</v>
      </c>
      <c r="I395" s="4">
        <v>378.182638</v>
      </c>
      <c r="J395" s="6">
        <v>51.4344907840039</v>
      </c>
      <c r="K395" s="5">
        <v>0.0</v>
      </c>
      <c r="L395" s="7">
        <v>1.11554892385541</v>
      </c>
      <c r="M395" s="4">
        <v>10.82</v>
      </c>
      <c r="N395" s="2">
        <v>2.78</v>
      </c>
    </row>
    <row r="396">
      <c r="A396" s="2" t="s">
        <v>421</v>
      </c>
      <c r="B396" s="3" t="str">
        <f>HYPERLINK("https://www.suredividend.com/sure-analysis-research-database/","Ducommun Inc.")</f>
        <v>Ducommun Inc.</v>
      </c>
      <c r="C396" s="2" t="s">
        <v>17</v>
      </c>
      <c r="D396" s="4">
        <v>48.97</v>
      </c>
      <c r="E396" s="5">
        <v>0.0</v>
      </c>
      <c r="F396" s="5" t="s">
        <v>15</v>
      </c>
      <c r="G396" s="5" t="s">
        <v>15</v>
      </c>
      <c r="H396" s="4">
        <v>0.0</v>
      </c>
      <c r="I396" s="4">
        <v>723.138</v>
      </c>
      <c r="J396" s="6">
        <v>38.2632943541986</v>
      </c>
      <c r="K396" s="5">
        <v>0.0</v>
      </c>
      <c r="L396" s="7">
        <v>0.750326817460267</v>
      </c>
      <c r="M396" s="4">
        <v>58.28</v>
      </c>
      <c r="N396" s="2">
        <v>40.24</v>
      </c>
    </row>
    <row r="397">
      <c r="A397" s="2" t="s">
        <v>422</v>
      </c>
      <c r="B397" s="3" t="str">
        <f>HYPERLINK("https://www.suredividend.com/sure-analysis-research-database/","Dime Community Bancshares Inc")</f>
        <v>Dime Community Bancshares Inc</v>
      </c>
      <c r="C397" s="2" t="s">
        <v>22</v>
      </c>
      <c r="D397" s="4">
        <v>20.96</v>
      </c>
      <c r="E397" s="5">
        <v>0.039081657657272</v>
      </c>
      <c r="F397" s="5">
        <v>0.0416666666666667</v>
      </c>
      <c r="G397" s="5">
        <v>0.00819781849716649</v>
      </c>
      <c r="H397" s="4">
        <v>0.966880210440925</v>
      </c>
      <c r="I397" s="4">
        <v>960.42872</v>
      </c>
      <c r="J397" s="6">
        <v>8.6447229490549</v>
      </c>
      <c r="K397" s="5">
        <v>0.332261240701348</v>
      </c>
      <c r="L397" s="7">
        <v>1.84458483996212</v>
      </c>
      <c r="M397" s="4">
        <v>29.69</v>
      </c>
      <c r="N397" s="2">
        <v>14.5</v>
      </c>
    </row>
    <row r="398">
      <c r="A398" s="2" t="s">
        <v>423</v>
      </c>
      <c r="B398" s="3" t="str">
        <f>HYPERLINK("https://www.suredividend.com/sure-analysis-research-database/","Deciphera Pharmaceuticals Inc")</f>
        <v>Deciphera Pharmaceuticals Inc</v>
      </c>
      <c r="C398" s="2" t="s">
        <v>30</v>
      </c>
      <c r="D398" s="4">
        <v>14.76</v>
      </c>
      <c r="E398" s="5">
        <v>0.0</v>
      </c>
      <c r="F398" s="5" t="s">
        <v>15</v>
      </c>
      <c r="G398" s="5" t="s">
        <v>15</v>
      </c>
      <c r="H398" s="4">
        <v>0.0</v>
      </c>
      <c r="I398" s="4">
        <v>1197.840913</v>
      </c>
      <c r="J398" s="6" t="s">
        <v>15</v>
      </c>
      <c r="K398" s="5">
        <v>0.0</v>
      </c>
      <c r="L398" s="7">
        <v>1.04735825829912</v>
      </c>
      <c r="M398" s="4">
        <v>18.0</v>
      </c>
      <c r="N398" s="2">
        <v>9.9</v>
      </c>
    </row>
    <row r="399">
      <c r="A399" s="2" t="s">
        <v>424</v>
      </c>
      <c r="B399" s="3" t="str">
        <f>HYPERLINK("https://www.suredividend.com/sure-analysis-research-database/","3D Systems Corp.")</f>
        <v>3D Systems Corp.</v>
      </c>
      <c r="C399" s="2" t="s">
        <v>40</v>
      </c>
      <c r="D399" s="4">
        <v>4.61</v>
      </c>
      <c r="E399" s="5">
        <v>0.0</v>
      </c>
      <c r="F399" s="5" t="s">
        <v>15</v>
      </c>
      <c r="G399" s="5" t="s">
        <v>15</v>
      </c>
      <c r="H399" s="4">
        <v>0.0</v>
      </c>
      <c r="I399" s="4">
        <v>689.854033</v>
      </c>
      <c r="J399" s="6" t="s">
        <v>15</v>
      </c>
      <c r="K399" s="5">
        <v>0.0</v>
      </c>
      <c r="L399" s="7">
        <v>2.79018143468533</v>
      </c>
      <c r="M399" s="4">
        <v>12.67</v>
      </c>
      <c r="N399" s="2">
        <v>3.5</v>
      </c>
    </row>
    <row r="400">
      <c r="A400" s="2" t="s">
        <v>425</v>
      </c>
      <c r="B400" s="3" t="str">
        <f>HYPERLINK("https://www.suredividend.com/sure-analysis-DDS/","Dillard`s Inc.")</f>
        <v>Dillard`s Inc.</v>
      </c>
      <c r="C400" s="2" t="s">
        <v>25</v>
      </c>
      <c r="D400" s="4">
        <v>382.14</v>
      </c>
      <c r="E400" s="5">
        <v>0.00261684199508033</v>
      </c>
      <c r="F400" s="5">
        <v>0.25</v>
      </c>
      <c r="G400" s="5">
        <v>0.10756634324829</v>
      </c>
      <c r="H400" s="4">
        <v>0.865615141087131</v>
      </c>
      <c r="I400" s="4">
        <v>4897.295298</v>
      </c>
      <c r="J400" s="6">
        <v>6.29852095639916</v>
      </c>
      <c r="K400" s="5">
        <v>0.0186434447789603</v>
      </c>
      <c r="L400" s="7">
        <v>1.49639792840279</v>
      </c>
      <c r="M400" s="4">
        <v>410.53</v>
      </c>
      <c r="N400" s="2">
        <v>257.97</v>
      </c>
    </row>
    <row r="401">
      <c r="A401" s="2" t="s">
        <v>426</v>
      </c>
      <c r="B401" s="3" t="str">
        <f>HYPERLINK("https://www.suredividend.com/sure-analysis-DEA/","Easterly Government Properties Inc")</f>
        <v>Easterly Government Properties Inc</v>
      </c>
      <c r="C401" s="2" t="s">
        <v>20</v>
      </c>
      <c r="D401" s="4">
        <v>11.84</v>
      </c>
      <c r="E401" s="5">
        <v>0.089527027027027</v>
      </c>
      <c r="F401" s="5">
        <v>0.0</v>
      </c>
      <c r="G401" s="5">
        <v>0.0038169048926584</v>
      </c>
      <c r="H401" s="4">
        <v>1.02771742516767</v>
      </c>
      <c r="I401" s="4">
        <v>1214.763841</v>
      </c>
      <c r="J401" s="6">
        <v>40.3911501672485</v>
      </c>
      <c r="K401" s="5">
        <v>3.15929119326059</v>
      </c>
      <c r="L401" s="7">
        <v>1.02277252833631</v>
      </c>
      <c r="M401" s="4">
        <v>15.53</v>
      </c>
      <c r="N401" s="2">
        <v>10.04</v>
      </c>
    </row>
    <row r="402">
      <c r="A402" s="2" t="s">
        <v>427</v>
      </c>
      <c r="B402" s="3" t="str">
        <f>HYPERLINK("https://www.suredividend.com/sure-analysis-research-database/","Denbury Inc.")</f>
        <v>Denbury Inc.</v>
      </c>
      <c r="C402" s="2" t="s">
        <v>15</v>
      </c>
      <c r="D402" s="4">
        <v>88.66</v>
      </c>
      <c r="E402" s="5">
        <v>0.0</v>
      </c>
      <c r="F402" s="5" t="s">
        <v>15</v>
      </c>
      <c r="G402" s="5" t="s">
        <v>15</v>
      </c>
      <c r="H402" s="4">
        <v>0.0</v>
      </c>
      <c r="I402" s="4">
        <v>4561.274263</v>
      </c>
      <c r="J402" s="6" t="s">
        <v>15</v>
      </c>
      <c r="K402" s="5">
        <v>0.0</v>
      </c>
      <c r="L402" s="7"/>
      <c r="M402" s="4">
        <v>100.65</v>
      </c>
      <c r="N402" s="2">
        <v>75.33</v>
      </c>
    </row>
    <row r="403">
      <c r="A403" s="2" t="s">
        <v>428</v>
      </c>
      <c r="B403" s="3" t="str">
        <f>HYPERLINK("https://www.suredividend.com/sure-analysis-research-database/","Denny`s Corp.")</f>
        <v>Denny`s Corp.</v>
      </c>
      <c r="C403" s="2" t="s">
        <v>25</v>
      </c>
      <c r="D403" s="4">
        <v>10.26</v>
      </c>
      <c r="E403" s="5">
        <v>0.0</v>
      </c>
      <c r="F403" s="5" t="s">
        <v>15</v>
      </c>
      <c r="G403" s="5" t="s">
        <v>15</v>
      </c>
      <c r="H403" s="4">
        <v>0.0</v>
      </c>
      <c r="I403" s="4">
        <v>591.371846</v>
      </c>
      <c r="J403" s="6">
        <v>19.8353741919903</v>
      </c>
      <c r="K403" s="5">
        <v>0.0</v>
      </c>
      <c r="L403" s="7">
        <v>1.18026009280511</v>
      </c>
      <c r="M403" s="4">
        <v>13.0</v>
      </c>
      <c r="N403" s="2">
        <v>8.12</v>
      </c>
    </row>
    <row r="404">
      <c r="A404" s="2" t="s">
        <v>429</v>
      </c>
      <c r="B404" s="3" t="str">
        <f>HYPERLINK("https://www.suredividend.com/sure-analysis-research-database/","Dream Finders Homes Inc")</f>
        <v>Dream Finders Homes Inc</v>
      </c>
      <c r="C404" s="2" t="s">
        <v>15</v>
      </c>
      <c r="D404" s="4">
        <v>31.03</v>
      </c>
      <c r="E404" s="5">
        <v>0.0</v>
      </c>
      <c r="F404" s="5" t="s">
        <v>15</v>
      </c>
      <c r="G404" s="5" t="s">
        <v>15</v>
      </c>
      <c r="H404" s="4">
        <v>0.0</v>
      </c>
      <c r="I404" s="4">
        <v>1099.907048</v>
      </c>
      <c r="J404" s="6">
        <v>3.92428713866748</v>
      </c>
      <c r="K404" s="5">
        <v>0.0</v>
      </c>
      <c r="L404" s="7">
        <v>1.85429939334358</v>
      </c>
      <c r="M404" s="4">
        <v>37.0</v>
      </c>
      <c r="N404" s="2">
        <v>10.72</v>
      </c>
    </row>
    <row r="405">
      <c r="A405" s="2" t="s">
        <v>430</v>
      </c>
      <c r="B405" s="3" t="str">
        <f>HYPERLINK("https://www.suredividend.com/sure-analysis-research-database/","Donnelley Financial Solutions Inc")</f>
        <v>Donnelley Financial Solutions Inc</v>
      </c>
      <c r="C405" s="2" t="s">
        <v>22</v>
      </c>
      <c r="D405" s="4">
        <v>62.11</v>
      </c>
      <c r="E405" s="5">
        <v>0.0</v>
      </c>
      <c r="F405" s="5" t="s">
        <v>15</v>
      </c>
      <c r="G405" s="5" t="s">
        <v>15</v>
      </c>
      <c r="H405" s="4">
        <v>0.0</v>
      </c>
      <c r="I405" s="4">
        <v>1845.424376</v>
      </c>
      <c r="J405" s="6">
        <v>22.3687803151515</v>
      </c>
      <c r="K405" s="5">
        <v>0.0</v>
      </c>
      <c r="L405" s="7">
        <v>1.09613921694852</v>
      </c>
      <c r="M405" s="4">
        <v>64.7</v>
      </c>
      <c r="N405" s="2">
        <v>35.71</v>
      </c>
    </row>
    <row r="406">
      <c r="A406" s="2" t="s">
        <v>431</v>
      </c>
      <c r="B406" s="3" t="str">
        <f>HYPERLINK("https://www.suredividend.com/sure-analysis-DGICA/","Donegal Group Inc.")</f>
        <v>Donegal Group Inc.</v>
      </c>
      <c r="C406" s="2" t="s">
        <v>22</v>
      </c>
      <c r="D406" s="4">
        <v>14.47</v>
      </c>
      <c r="E406" s="5">
        <v>0.0469937802349689</v>
      </c>
      <c r="F406" s="5">
        <v>0.0303030303030302</v>
      </c>
      <c r="G406" s="5">
        <v>0.0323243795353078</v>
      </c>
      <c r="H406" s="4">
        <v>0.805957686246108</v>
      </c>
      <c r="I406" s="4">
        <v>507.572856</v>
      </c>
      <c r="J406" s="6">
        <v>51.4002409824006</v>
      </c>
      <c r="K406" s="5">
        <v>2.62612475153505</v>
      </c>
      <c r="L406" s="7">
        <v>0.367375487217288</v>
      </c>
      <c r="M406" s="4">
        <v>15.2</v>
      </c>
      <c r="N406" s="2">
        <v>13.09</v>
      </c>
    </row>
    <row r="407">
      <c r="A407" s="2" t="s">
        <v>432</v>
      </c>
      <c r="B407" s="3" t="str">
        <f>HYPERLINK("https://www.suredividend.com/sure-analysis-research-database/","Digi International, Inc.")</f>
        <v>Digi International, Inc.</v>
      </c>
      <c r="C407" s="2" t="s">
        <v>40</v>
      </c>
      <c r="D407" s="4">
        <v>28.52</v>
      </c>
      <c r="E407" s="5">
        <v>0.0</v>
      </c>
      <c r="F407" s="5" t="s">
        <v>15</v>
      </c>
      <c r="G407" s="5" t="s">
        <v>15</v>
      </c>
      <c r="H407" s="4">
        <v>0.0</v>
      </c>
      <c r="I407" s="4">
        <v>932.110448</v>
      </c>
      <c r="J407" s="6">
        <v>37.6306196205086</v>
      </c>
      <c r="K407" s="5">
        <v>0.0</v>
      </c>
      <c r="L407" s="7">
        <v>1.19906009656256</v>
      </c>
      <c r="M407" s="4">
        <v>42.95</v>
      </c>
      <c r="N407" s="2">
        <v>21.25</v>
      </c>
    </row>
    <row r="408">
      <c r="A408" s="2" t="s">
        <v>433</v>
      </c>
      <c r="B408" s="3" t="str">
        <f>HYPERLINK("https://www.suredividend.com/sure-analysis-research-database/","Diversified Healthcare Trust")</f>
        <v>Diversified Healthcare Trust</v>
      </c>
      <c r="C408" s="2" t="s">
        <v>20</v>
      </c>
      <c r="D408" s="4">
        <v>2.66</v>
      </c>
      <c r="E408" s="5">
        <v>0.012913117875192</v>
      </c>
      <c r="F408" s="5">
        <v>0.0</v>
      </c>
      <c r="G408" s="5">
        <v>-0.418189240847312</v>
      </c>
      <c r="H408" s="4">
        <v>0.039643271876841</v>
      </c>
      <c r="I408" s="4">
        <v>738.182571</v>
      </c>
      <c r="J408" s="6" t="s">
        <v>15</v>
      </c>
      <c r="K408" s="5" t="s">
        <v>15</v>
      </c>
      <c r="L408" s="7">
        <v>2.2021825935308</v>
      </c>
      <c r="M408" s="4">
        <v>3.95</v>
      </c>
      <c r="N408" s="2">
        <v>0.6168</v>
      </c>
    </row>
    <row r="409">
      <c r="A409" s="2" t="s">
        <v>434</v>
      </c>
      <c r="B409" s="3" t="str">
        <f>HYPERLINK("https://www.suredividend.com/sure-analysis-research-database/","Diamond Hill Investment Group, Inc.")</f>
        <v>Diamond Hill Investment Group, Inc.</v>
      </c>
      <c r="C409" s="2" t="s">
        <v>22</v>
      </c>
      <c r="D409" s="4">
        <v>154.87</v>
      </c>
      <c r="E409" s="5">
        <v>0.035173548104597</v>
      </c>
      <c r="F409" s="5" t="s">
        <v>15</v>
      </c>
      <c r="G409" s="5" t="s">
        <v>15</v>
      </c>
      <c r="H409" s="4">
        <v>5.83880898536315</v>
      </c>
      <c r="I409" s="4">
        <v>477.819878</v>
      </c>
      <c r="J409" s="6">
        <v>10.9868169659564</v>
      </c>
      <c r="K409" s="5">
        <v>0.401017100643073</v>
      </c>
      <c r="L409" s="7">
        <v>0.861946939529361</v>
      </c>
      <c r="M409" s="4">
        <v>181.58</v>
      </c>
      <c r="N409" s="2">
        <v>143.15</v>
      </c>
    </row>
    <row r="410">
      <c r="A410" s="2" t="s">
        <v>435</v>
      </c>
      <c r="B410" s="3" t="str">
        <f>HYPERLINK("https://www.suredividend.com/sure-analysis-research-database/","DHT Holdings Inc")</f>
        <v>DHT Holdings Inc</v>
      </c>
      <c r="C410" s="2" t="s">
        <v>125</v>
      </c>
      <c r="D410" s="4">
        <v>10.5</v>
      </c>
      <c r="E410" s="5">
        <v>0.100325038754982</v>
      </c>
      <c r="F410" s="5">
        <v>-0.5</v>
      </c>
      <c r="G410" s="5">
        <v>0.188865495787124</v>
      </c>
      <c r="H410" s="4">
        <v>1.10156892552971</v>
      </c>
      <c r="I410" s="4">
        <v>1785.897</v>
      </c>
      <c r="J410" s="6">
        <v>9.4985932123159</v>
      </c>
      <c r="K410" s="5">
        <v>0.95788602219975</v>
      </c>
      <c r="L410" s="7">
        <v>0.547325958686545</v>
      </c>
      <c r="M410" s="4">
        <v>11.36</v>
      </c>
      <c r="N410" s="2">
        <v>6.72</v>
      </c>
    </row>
    <row r="411">
      <c r="A411" s="2" t="s">
        <v>436</v>
      </c>
      <c r="B411" s="3" t="str">
        <f>HYPERLINK("https://www.suredividend.com/sure-analysis-research-database/","DHI Group Inc")</f>
        <v>DHI Group Inc</v>
      </c>
      <c r="C411" s="2" t="s">
        <v>17</v>
      </c>
      <c r="D411" s="4">
        <v>2.06</v>
      </c>
      <c r="E411" s="5">
        <v>0.0</v>
      </c>
      <c r="F411" s="5" t="s">
        <v>15</v>
      </c>
      <c r="G411" s="5" t="s">
        <v>15</v>
      </c>
      <c r="H411" s="4">
        <v>0.0</v>
      </c>
      <c r="I411" s="4">
        <v>118.917392</v>
      </c>
      <c r="J411" s="6">
        <v>32.1920390741743</v>
      </c>
      <c r="K411" s="5">
        <v>0.0</v>
      </c>
      <c r="L411" s="7">
        <v>1.48917561137865</v>
      </c>
      <c r="M411" s="4">
        <v>6.31</v>
      </c>
      <c r="N411" s="2">
        <v>1.97</v>
      </c>
    </row>
    <row r="412">
      <c r="A412" s="2" t="s">
        <v>437</v>
      </c>
      <c r="B412" s="3" t="str">
        <f>HYPERLINK("https://www.suredividend.com/sure-analysis-research-database/","1stdibs.com Inc")</f>
        <v>1stdibs.com Inc</v>
      </c>
      <c r="C412" s="2" t="s">
        <v>15</v>
      </c>
      <c r="D412" s="4">
        <v>4.5</v>
      </c>
      <c r="E412" s="5">
        <v>0.0</v>
      </c>
      <c r="F412" s="5" t="s">
        <v>15</v>
      </c>
      <c r="G412" s="5" t="s">
        <v>15</v>
      </c>
      <c r="H412" s="4">
        <v>0.0</v>
      </c>
      <c r="I412" s="4">
        <v>196.70774</v>
      </c>
      <c r="J412" s="6" t="s">
        <v>15</v>
      </c>
      <c r="K412" s="5">
        <v>0.0</v>
      </c>
      <c r="L412" s="7">
        <v>0.700558615088844</v>
      </c>
      <c r="M412" s="4">
        <v>6.63</v>
      </c>
      <c r="N412" s="2">
        <v>3.45</v>
      </c>
    </row>
    <row r="413">
      <c r="A413" s="2" t="s">
        <v>438</v>
      </c>
      <c r="B413" s="3" t="str">
        <f>HYPERLINK("https://www.suredividend.com/sure-analysis-research-database/","DICE Therapeutics Inc")</f>
        <v>DICE Therapeutics Inc</v>
      </c>
      <c r="C413" s="2" t="s">
        <v>15</v>
      </c>
      <c r="D413" s="4">
        <v>47.55</v>
      </c>
      <c r="E413" s="5">
        <v>0.0</v>
      </c>
      <c r="F413" s="5" t="s">
        <v>15</v>
      </c>
      <c r="G413" s="5" t="s">
        <v>15</v>
      </c>
      <c r="H413" s="4">
        <v>0.0</v>
      </c>
      <c r="I413" s="4">
        <v>0.0</v>
      </c>
      <c r="J413" s="6">
        <v>0.0</v>
      </c>
      <c r="K413" s="5" t="s">
        <v>15</v>
      </c>
      <c r="L413" s="7"/>
      <c r="M413" s="4" t="s">
        <v>49</v>
      </c>
      <c r="N413" s="2" t="s">
        <v>49</v>
      </c>
    </row>
    <row r="414">
      <c r="A414" s="2" t="s">
        <v>439</v>
      </c>
      <c r="B414" s="3" t="str">
        <f>HYPERLINK("https://www.suredividend.com/sure-analysis-research-database/","Dine Brands Global Inc")</f>
        <v>Dine Brands Global Inc</v>
      </c>
      <c r="C414" s="2" t="s">
        <v>25</v>
      </c>
      <c r="D414" s="4">
        <v>45.31</v>
      </c>
      <c r="E414" s="5">
        <v>0.042242750845813</v>
      </c>
      <c r="F414" s="5" t="s">
        <v>15</v>
      </c>
      <c r="G414" s="5" t="s">
        <v>15</v>
      </c>
      <c r="H414" s="4">
        <v>2.01033251275226</v>
      </c>
      <c r="I414" s="4">
        <v>734.932656</v>
      </c>
      <c r="J414" s="6">
        <v>9.98495537660996</v>
      </c>
      <c r="K414" s="5">
        <v>0.417948547349743</v>
      </c>
      <c r="L414" s="7">
        <v>0.958859632517969</v>
      </c>
      <c r="M414" s="4">
        <v>79.51</v>
      </c>
      <c r="N414" s="2">
        <v>41.56</v>
      </c>
    </row>
    <row r="415">
      <c r="A415" s="2" t="s">
        <v>440</v>
      </c>
      <c r="B415" s="3" t="str">
        <f>HYPERLINK("https://www.suredividend.com/sure-analysis-research-database/","Diodes, Inc.")</f>
        <v>Diodes, Inc.</v>
      </c>
      <c r="C415" s="2" t="s">
        <v>40</v>
      </c>
      <c r="D415" s="4">
        <v>67.45</v>
      </c>
      <c r="E415" s="5">
        <v>0.0</v>
      </c>
      <c r="F415" s="5" t="s">
        <v>15</v>
      </c>
      <c r="G415" s="5" t="s">
        <v>15</v>
      </c>
      <c r="H415" s="4">
        <v>0.0</v>
      </c>
      <c r="I415" s="4">
        <v>3174.791283</v>
      </c>
      <c r="J415" s="6">
        <v>10.800777307793</v>
      </c>
      <c r="K415" s="5">
        <v>0.0</v>
      </c>
      <c r="L415" s="7">
        <v>1.70594838970172</v>
      </c>
      <c r="M415" s="4">
        <v>97.45</v>
      </c>
      <c r="N415" s="2">
        <v>60.0</v>
      </c>
    </row>
    <row r="416">
      <c r="A416" s="2" t="s">
        <v>441</v>
      </c>
      <c r="B416" s="3" t="str">
        <f>HYPERLINK("https://www.suredividend.com/sure-analysis-research-database/","Daily Journal Corporation")</f>
        <v>Daily Journal Corporation</v>
      </c>
      <c r="C416" s="2" t="s">
        <v>114</v>
      </c>
      <c r="D416" s="4">
        <v>314.78</v>
      </c>
      <c r="E416" s="5">
        <v>0.0</v>
      </c>
      <c r="F416" s="5" t="s">
        <v>15</v>
      </c>
      <c r="G416" s="5" t="s">
        <v>15</v>
      </c>
      <c r="H416" s="4">
        <v>0.0</v>
      </c>
      <c r="I416" s="4">
        <v>462.969911</v>
      </c>
      <c r="J416" s="6">
        <v>0.0</v>
      </c>
      <c r="K416" s="5" t="s">
        <v>15</v>
      </c>
      <c r="L416" s="7"/>
      <c r="M416" s="4">
        <v>357.34</v>
      </c>
      <c r="N416" s="2">
        <v>267.0</v>
      </c>
    </row>
    <row r="417">
      <c r="A417" s="2" t="s">
        <v>442</v>
      </c>
      <c r="B417" s="3" t="str">
        <f>HYPERLINK("https://www.suredividend.com/sure-analysis-research-database/","Delek US Holdings Inc")</f>
        <v>Delek US Holdings Inc</v>
      </c>
      <c r="C417" s="2" t="s">
        <v>125</v>
      </c>
      <c r="D417" s="4">
        <v>27.18</v>
      </c>
      <c r="E417" s="5">
        <v>0.033817336013488</v>
      </c>
      <c r="F417" s="5" t="s">
        <v>15</v>
      </c>
      <c r="G417" s="5" t="s">
        <v>15</v>
      </c>
      <c r="H417" s="4">
        <v>0.91239172564392</v>
      </c>
      <c r="I417" s="4">
        <v>1724.926397</v>
      </c>
      <c r="J417" s="6">
        <v>0.0</v>
      </c>
      <c r="K417" s="5" t="s">
        <v>15</v>
      </c>
      <c r="L417" s="7">
        <v>0.840629530283474</v>
      </c>
      <c r="M417" s="4">
        <v>30.91</v>
      </c>
      <c r="N417" s="2">
        <v>18.84</v>
      </c>
    </row>
    <row r="418">
      <c r="A418" s="2" t="s">
        <v>443</v>
      </c>
      <c r="B418" s="3" t="str">
        <f>HYPERLINK("https://www.suredividend.com/sure-analysis-research-database/","Duluth Holdings Inc")</f>
        <v>Duluth Holdings Inc</v>
      </c>
      <c r="C418" s="2" t="s">
        <v>25</v>
      </c>
      <c r="D418" s="4">
        <v>4.9</v>
      </c>
      <c r="E418" s="5">
        <v>0.0</v>
      </c>
      <c r="F418" s="5" t="s">
        <v>15</v>
      </c>
      <c r="G418" s="5" t="s">
        <v>15</v>
      </c>
      <c r="H418" s="4">
        <v>0.0</v>
      </c>
      <c r="I418" s="4">
        <v>154.310863</v>
      </c>
      <c r="J418" s="6" t="s">
        <v>15</v>
      </c>
      <c r="K418" s="5">
        <v>0.0</v>
      </c>
      <c r="L418" s="7">
        <v>0.813412013888465</v>
      </c>
      <c r="M418" s="4">
        <v>7.88</v>
      </c>
      <c r="N418" s="2">
        <v>4.65</v>
      </c>
    </row>
    <row r="419">
      <c r="A419" s="2" t="s">
        <v>444</v>
      </c>
      <c r="B419" s="3" t="str">
        <f>HYPERLINK("https://www.suredividend.com/sure-analysis-research-database/","Deluxe Corp.")</f>
        <v>Deluxe Corp.</v>
      </c>
      <c r="C419" s="2" t="s">
        <v>114</v>
      </c>
      <c r="D419" s="4">
        <v>20.4</v>
      </c>
      <c r="E419" s="5">
        <v>0.058160854941539</v>
      </c>
      <c r="F419" s="5">
        <v>0.0</v>
      </c>
      <c r="G419" s="5">
        <v>0.0</v>
      </c>
      <c r="H419" s="4">
        <v>1.1713596185226</v>
      </c>
      <c r="I419" s="4">
        <v>879.967856</v>
      </c>
      <c r="J419" s="6">
        <v>29.2678725570411</v>
      </c>
      <c r="K419" s="5">
        <v>1.69910011389992</v>
      </c>
      <c r="L419" s="7">
        <v>1.60222265626457</v>
      </c>
      <c r="M419" s="4">
        <v>21.97</v>
      </c>
      <c r="N419" s="2">
        <v>12.94</v>
      </c>
    </row>
    <row r="420">
      <c r="A420" s="2" t="s">
        <v>445</v>
      </c>
      <c r="B420" s="3" t="str">
        <f>HYPERLINK("https://www.suredividend.com/sure-analysis-research-database/","Desktop Metal Inc")</f>
        <v>Desktop Metal Inc</v>
      </c>
      <c r="C420" s="2" t="s">
        <v>15</v>
      </c>
      <c r="D420" s="4">
        <v>0.59</v>
      </c>
      <c r="E420" s="5">
        <v>0.0</v>
      </c>
      <c r="F420" s="5" t="s">
        <v>15</v>
      </c>
      <c r="G420" s="5" t="s">
        <v>15</v>
      </c>
      <c r="H420" s="4">
        <v>0.0</v>
      </c>
      <c r="I420" s="4">
        <v>203.999312</v>
      </c>
      <c r="J420" s="6" t="s">
        <v>15</v>
      </c>
      <c r="K420" s="5">
        <v>0.0</v>
      </c>
      <c r="L420" s="7">
        <v>3.05151809121651</v>
      </c>
      <c r="M420" s="4">
        <v>2.55</v>
      </c>
      <c r="N420" s="2">
        <v>0.5701</v>
      </c>
    </row>
    <row r="421">
      <c r="A421" s="2" t="s">
        <v>446</v>
      </c>
      <c r="B421" s="3" t="str">
        <f>HYPERLINK("https://www.suredividend.com/sure-analysis-research-database/","Digimarc Corporation")</f>
        <v>Digimarc Corporation</v>
      </c>
      <c r="C421" s="2" t="s">
        <v>40</v>
      </c>
      <c r="D421" s="4">
        <v>37.07</v>
      </c>
      <c r="E421" s="5">
        <v>0.0</v>
      </c>
      <c r="F421" s="5" t="s">
        <v>15</v>
      </c>
      <c r="G421" s="5" t="s">
        <v>15</v>
      </c>
      <c r="H421" s="4">
        <v>0.0</v>
      </c>
      <c r="I421" s="4">
        <v>777.670634</v>
      </c>
      <c r="J421" s="6" t="s">
        <v>15</v>
      </c>
      <c r="K421" s="5">
        <v>0.0</v>
      </c>
      <c r="L421" s="7">
        <v>1.49130934401099</v>
      </c>
      <c r="M421" s="4">
        <v>39.97</v>
      </c>
      <c r="N421" s="2">
        <v>16.13</v>
      </c>
    </row>
    <row r="422">
      <c r="A422" s="2" t="s">
        <v>447</v>
      </c>
      <c r="B422" s="3" t="str">
        <f>HYPERLINK("https://www.suredividend.com/sure-analysis-research-database/","Denali Therapeutics Inc")</f>
        <v>Denali Therapeutics Inc</v>
      </c>
      <c r="C422" s="2" t="s">
        <v>30</v>
      </c>
      <c r="D422" s="4">
        <v>15.83</v>
      </c>
      <c r="E422" s="5">
        <v>0.0</v>
      </c>
      <c r="F422" s="5" t="s">
        <v>15</v>
      </c>
      <c r="G422" s="5" t="s">
        <v>15</v>
      </c>
      <c r="H422" s="4">
        <v>0.0</v>
      </c>
      <c r="I422" s="4">
        <v>2433.399964</v>
      </c>
      <c r="J422" s="6" t="s">
        <v>15</v>
      </c>
      <c r="K422" s="5">
        <v>0.0</v>
      </c>
      <c r="L422" s="7">
        <v>1.7228907047216</v>
      </c>
      <c r="M422" s="4">
        <v>33.31</v>
      </c>
      <c r="N422" s="2">
        <v>15.45</v>
      </c>
    </row>
    <row r="423">
      <c r="A423" s="2" t="s">
        <v>448</v>
      </c>
      <c r="B423" s="3" t="str">
        <f>HYPERLINK("https://www.suredividend.com/sure-analysis-research-database/","Danimer Scientific Inc")</f>
        <v>Danimer Scientific Inc</v>
      </c>
      <c r="C423" s="2" t="s">
        <v>15</v>
      </c>
      <c r="D423" s="4">
        <v>0.61</v>
      </c>
      <c r="E423" s="5">
        <v>0.0</v>
      </c>
      <c r="F423" s="5" t="s">
        <v>15</v>
      </c>
      <c r="G423" s="5" t="s">
        <v>15</v>
      </c>
      <c r="H423" s="4">
        <v>0.0</v>
      </c>
      <c r="I423" s="4">
        <v>66.822896</v>
      </c>
      <c r="J423" s="6" t="s">
        <v>15</v>
      </c>
      <c r="K423" s="5">
        <v>0.0</v>
      </c>
      <c r="L423" s="7">
        <v>2.15636271068444</v>
      </c>
      <c r="M423" s="4">
        <v>4.59</v>
      </c>
      <c r="N423" s="2">
        <v>0.6182</v>
      </c>
    </row>
    <row r="424">
      <c r="A424" s="2" t="s">
        <v>449</v>
      </c>
      <c r="B424" s="3" t="str">
        <f>HYPERLINK("https://www.suredividend.com/sure-analysis-research-database/","Dnow Inc")</f>
        <v>Dnow Inc</v>
      </c>
      <c r="C424" s="2" t="s">
        <v>125</v>
      </c>
      <c r="D424" s="4">
        <v>9.66</v>
      </c>
      <c r="E424" s="5">
        <v>0.0</v>
      </c>
      <c r="F424" s="5" t="s">
        <v>15</v>
      </c>
      <c r="G424" s="5" t="s">
        <v>15</v>
      </c>
      <c r="H424" s="4">
        <v>0.0</v>
      </c>
      <c r="I424" s="4">
        <v>1084.577822</v>
      </c>
      <c r="J424" s="6">
        <v>8.27922001374045</v>
      </c>
      <c r="K424" s="5">
        <v>0.0</v>
      </c>
      <c r="L424" s="7">
        <v>1.21658801184223</v>
      </c>
      <c r="M424" s="4">
        <v>14.86</v>
      </c>
      <c r="N424" s="2">
        <v>8.83</v>
      </c>
    </row>
    <row r="425">
      <c r="A425" s="2" t="s">
        <v>450</v>
      </c>
      <c r="B425" s="3" t="str">
        <f>HYPERLINK("https://www.suredividend.com/sure-analysis-research-database/","Krispy Kreme Inc")</f>
        <v>Krispy Kreme Inc</v>
      </c>
      <c r="C425" s="2" t="s">
        <v>15</v>
      </c>
      <c r="D425" s="4">
        <v>13.07</v>
      </c>
      <c r="E425" s="5">
        <v>0.01019783798361</v>
      </c>
      <c r="F425" s="5" t="s">
        <v>15</v>
      </c>
      <c r="G425" s="5" t="s">
        <v>15</v>
      </c>
      <c r="H425" s="4">
        <v>0.139200488476278</v>
      </c>
      <c r="I425" s="4">
        <v>2301.39</v>
      </c>
      <c r="J425" s="6" t="s">
        <v>15</v>
      </c>
      <c r="K425" s="5" t="s">
        <v>15</v>
      </c>
      <c r="L425" s="7">
        <v>0.703205868978878</v>
      </c>
      <c r="M425" s="4">
        <v>16.02</v>
      </c>
      <c r="N425" s="2">
        <v>11.49</v>
      </c>
    </row>
    <row r="426">
      <c r="A426" s="2" t="s">
        <v>451</v>
      </c>
      <c r="B426" s="3" t="str">
        <f>HYPERLINK("https://www.suredividend.com/sure-analysis-research-database/","Diamond Offshore Drilling, Inc.")</f>
        <v>Diamond Offshore Drilling, Inc.</v>
      </c>
      <c r="C426" s="2" t="s">
        <v>125</v>
      </c>
      <c r="D426" s="4">
        <v>11.55</v>
      </c>
      <c r="E426" s="5">
        <v>0.0</v>
      </c>
      <c r="F426" s="5" t="s">
        <v>15</v>
      </c>
      <c r="G426" s="5" t="s">
        <v>15</v>
      </c>
      <c r="H426" s="4">
        <v>0.0</v>
      </c>
      <c r="I426" s="4">
        <v>1310.744846</v>
      </c>
      <c r="J426" s="6" t="s">
        <v>15</v>
      </c>
      <c r="K426" s="5">
        <v>0.0</v>
      </c>
      <c r="L426" s="7">
        <v>1.47964286026689</v>
      </c>
      <c r="M426" s="4">
        <v>17.32</v>
      </c>
      <c r="N426" s="2">
        <v>9.56</v>
      </c>
    </row>
    <row r="427">
      <c r="A427" s="2" t="s">
        <v>452</v>
      </c>
      <c r="B427" s="3" t="str">
        <f>HYPERLINK("https://www.suredividend.com/sure-analysis-DOC/","Physicians Realty Trust")</f>
        <v>Physicians Realty Trust</v>
      </c>
      <c r="C427" s="2" t="s">
        <v>20</v>
      </c>
      <c r="D427" s="4">
        <v>11.77</v>
      </c>
      <c r="E427" s="5">
        <v>0.0781648258283772</v>
      </c>
      <c r="F427" s="5">
        <v>0.0</v>
      </c>
      <c r="G427" s="5">
        <v>0.0</v>
      </c>
      <c r="H427" s="4">
        <v>0.895901422230666</v>
      </c>
      <c r="I427" s="4">
        <v>3039.697777</v>
      </c>
      <c r="J427" s="6">
        <v>65.3614109465445</v>
      </c>
      <c r="K427" s="5">
        <v>4.76036887476443</v>
      </c>
      <c r="L427" s="7">
        <v>1.00151097032261</v>
      </c>
      <c r="M427" s="4">
        <v>15.26</v>
      </c>
      <c r="N427" s="2">
        <v>10.34</v>
      </c>
    </row>
    <row r="428">
      <c r="A428" s="2" t="s">
        <v>453</v>
      </c>
      <c r="B428" s="3" t="str">
        <f>HYPERLINK("https://www.suredividend.com/sure-analysis-research-database/","DigitalOcean Holdings Inc")</f>
        <v>DigitalOcean Holdings Inc</v>
      </c>
      <c r="C428" s="2" t="s">
        <v>15</v>
      </c>
      <c r="D428" s="4">
        <v>34.37</v>
      </c>
      <c r="E428" s="5">
        <v>0.0</v>
      </c>
      <c r="F428" s="5" t="s">
        <v>15</v>
      </c>
      <c r="G428" s="5" t="s">
        <v>15</v>
      </c>
      <c r="H428" s="4">
        <v>0.0</v>
      </c>
      <c r="I428" s="4">
        <v>2993.110938</v>
      </c>
      <c r="J428" s="6" t="s">
        <v>15</v>
      </c>
      <c r="K428" s="5">
        <v>0.0</v>
      </c>
      <c r="L428" s="7">
        <v>2.0868801486186</v>
      </c>
      <c r="M428" s="4">
        <v>51.69</v>
      </c>
      <c r="N428" s="2">
        <v>19.39</v>
      </c>
    </row>
    <row r="429">
      <c r="A429" s="2" t="s">
        <v>454</v>
      </c>
      <c r="B429" s="3" t="str">
        <f>HYPERLINK("https://www.suredividend.com/sure-analysis-research-database/","Doma Holdings Inc")</f>
        <v>Doma Holdings Inc</v>
      </c>
      <c r="C429" s="2" t="s">
        <v>15</v>
      </c>
      <c r="D429" s="4">
        <v>3.94</v>
      </c>
      <c r="E429" s="5">
        <v>0.0</v>
      </c>
      <c r="F429" s="5" t="s">
        <v>15</v>
      </c>
      <c r="G429" s="5" t="s">
        <v>15</v>
      </c>
      <c r="H429" s="4">
        <v>0.0</v>
      </c>
      <c r="I429" s="4">
        <v>56.837419</v>
      </c>
      <c r="J429" s="6" t="s">
        <v>15</v>
      </c>
      <c r="K429" s="5">
        <v>0.0</v>
      </c>
      <c r="L429" s="7">
        <v>1.65960202563213</v>
      </c>
      <c r="M429" s="4">
        <v>23.6</v>
      </c>
      <c r="N429" s="2">
        <v>3.86</v>
      </c>
    </row>
    <row r="430">
      <c r="A430" s="2" t="s">
        <v>455</v>
      </c>
      <c r="B430" s="3" t="str">
        <f>HYPERLINK("https://www.suredividend.com/sure-analysis-research-database/","Domo Inc.")</f>
        <v>Domo Inc.</v>
      </c>
      <c r="C430" s="2" t="s">
        <v>40</v>
      </c>
      <c r="D430" s="4">
        <v>11.16</v>
      </c>
      <c r="E430" s="5">
        <v>0.0</v>
      </c>
      <c r="F430" s="5" t="s">
        <v>15</v>
      </c>
      <c r="G430" s="5" t="s">
        <v>15</v>
      </c>
      <c r="H430" s="4">
        <v>0.0</v>
      </c>
      <c r="I430" s="4">
        <v>372.825533</v>
      </c>
      <c r="J430" s="6" t="s">
        <v>15</v>
      </c>
      <c r="K430" s="5">
        <v>0.0</v>
      </c>
      <c r="L430" s="7">
        <v>2.23726973039964</v>
      </c>
      <c r="M430" s="4">
        <v>19.09</v>
      </c>
      <c r="N430" s="2">
        <v>7.78</v>
      </c>
    </row>
    <row r="431">
      <c r="A431" s="2" t="s">
        <v>456</v>
      </c>
      <c r="B431" s="3" t="str">
        <f>HYPERLINK("https://www.suredividend.com/sure-analysis-research-database/","Masonite International Corp")</f>
        <v>Masonite International Corp</v>
      </c>
      <c r="C431" s="2" t="s">
        <v>17</v>
      </c>
      <c r="D431" s="4">
        <v>91.39</v>
      </c>
      <c r="E431" s="5">
        <v>0.0</v>
      </c>
      <c r="F431" s="5" t="s">
        <v>15</v>
      </c>
      <c r="G431" s="5" t="s">
        <v>15</v>
      </c>
      <c r="H431" s="4">
        <v>0.0</v>
      </c>
      <c r="I431" s="4">
        <v>2034.394339</v>
      </c>
      <c r="J431" s="6">
        <v>12.7691537162709</v>
      </c>
      <c r="K431" s="5">
        <v>0.0</v>
      </c>
      <c r="L431" s="7">
        <v>1.40582549236107</v>
      </c>
      <c r="M431" s="4">
        <v>109.58</v>
      </c>
      <c r="N431" s="2">
        <v>76.87</v>
      </c>
    </row>
    <row r="432">
      <c r="A432" s="2" t="s">
        <v>457</v>
      </c>
      <c r="B432" s="3" t="str">
        <f>HYPERLINK("https://www.suredividend.com/sure-analysis-research-database/","Dorman Products Inc")</f>
        <v>Dorman Products Inc</v>
      </c>
      <c r="C432" s="2" t="s">
        <v>25</v>
      </c>
      <c r="D432" s="4">
        <v>79.64</v>
      </c>
      <c r="E432" s="5">
        <v>0.0</v>
      </c>
      <c r="F432" s="5" t="s">
        <v>15</v>
      </c>
      <c r="G432" s="5" t="s">
        <v>15</v>
      </c>
      <c r="H432" s="4">
        <v>0.0</v>
      </c>
      <c r="I432" s="4">
        <v>2696.012406</v>
      </c>
      <c r="J432" s="6">
        <v>27.8482032651248</v>
      </c>
      <c r="K432" s="5">
        <v>0.0</v>
      </c>
      <c r="L432" s="7">
        <v>1.08590989448217</v>
      </c>
      <c r="M432" s="4">
        <v>102.25</v>
      </c>
      <c r="N432" s="2">
        <v>60.01</v>
      </c>
    </row>
    <row r="433">
      <c r="A433" s="2" t="s">
        <v>458</v>
      </c>
      <c r="B433" s="3" t="str">
        <f>HYPERLINK("https://www.suredividend.com/sure-analysis-research-database/","Douglas Elliman Inc")</f>
        <v>Douglas Elliman Inc</v>
      </c>
      <c r="C433" s="2" t="s">
        <v>15</v>
      </c>
      <c r="D433" s="4">
        <v>2.12</v>
      </c>
      <c r="E433" s="5">
        <v>0.020794032333144</v>
      </c>
      <c r="F433" s="5" t="s">
        <v>15</v>
      </c>
      <c r="G433" s="5" t="s">
        <v>15</v>
      </c>
      <c r="H433" s="4">
        <v>0.047618334042901</v>
      </c>
      <c r="I433" s="4">
        <v>203.139763</v>
      </c>
      <c r="J433" s="6" t="s">
        <v>15</v>
      </c>
      <c r="K433" s="5" t="s">
        <v>15</v>
      </c>
      <c r="L433" s="7">
        <v>1.91860745609442</v>
      </c>
      <c r="M433" s="4">
        <v>4.94</v>
      </c>
      <c r="N433" s="2">
        <v>1.57</v>
      </c>
    </row>
    <row r="434">
      <c r="A434" s="2" t="s">
        <v>459</v>
      </c>
      <c r="B434" s="3" t="str">
        <f>HYPERLINK("https://www.suredividend.com/sure-analysis-research-database/","Diamondrock Hospitality Co.")</f>
        <v>Diamondrock Hospitality Co.</v>
      </c>
      <c r="C434" s="2" t="s">
        <v>20</v>
      </c>
      <c r="D434" s="4">
        <v>9.17</v>
      </c>
      <c r="E434" s="5">
        <v>0.012726919688062</v>
      </c>
      <c r="F434" s="5" t="s">
        <v>15</v>
      </c>
      <c r="G434" s="5" t="s">
        <v>15</v>
      </c>
      <c r="H434" s="4">
        <v>0.119378506674027</v>
      </c>
      <c r="I434" s="4">
        <v>1966.303108</v>
      </c>
      <c r="J434" s="6">
        <v>23.4354326765431</v>
      </c>
      <c r="K434" s="5">
        <v>0.30399416010702</v>
      </c>
      <c r="L434" s="7">
        <v>1.30920708496554</v>
      </c>
      <c r="M434" s="4">
        <v>9.87</v>
      </c>
      <c r="N434" s="2">
        <v>7.04</v>
      </c>
    </row>
    <row r="435">
      <c r="A435" s="2" t="s">
        <v>460</v>
      </c>
      <c r="B435" s="3" t="str">
        <f>HYPERLINK("https://www.suredividend.com/sure-analysis-research-database/","Dril-Quip, Inc.")</f>
        <v>Dril-Quip, Inc.</v>
      </c>
      <c r="C435" s="2" t="s">
        <v>125</v>
      </c>
      <c r="D435" s="4">
        <v>19.62</v>
      </c>
      <c r="E435" s="5">
        <v>0.0</v>
      </c>
      <c r="F435" s="5" t="s">
        <v>15</v>
      </c>
      <c r="G435" s="5" t="s">
        <v>15</v>
      </c>
      <c r="H435" s="4">
        <v>0.0</v>
      </c>
      <c r="I435" s="4">
        <v>756.812793</v>
      </c>
      <c r="J435" s="6" t="s">
        <v>15</v>
      </c>
      <c r="K435" s="5">
        <v>0.0</v>
      </c>
      <c r="L435" s="7">
        <v>0.980505311369441</v>
      </c>
      <c r="M435" s="4">
        <v>35.95</v>
      </c>
      <c r="N435" s="2">
        <v>19.89</v>
      </c>
    </row>
    <row r="436">
      <c r="A436" s="2" t="s">
        <v>461</v>
      </c>
      <c r="B436" s="3" t="str">
        <f>HYPERLINK("https://www.suredividend.com/sure-analysis-research-database/","Diversey Holdings Ltd")</f>
        <v>Diversey Holdings Ltd</v>
      </c>
      <c r="C436" s="2" t="s">
        <v>15</v>
      </c>
      <c r="D436" s="4">
        <v>8.39</v>
      </c>
      <c r="E436" s="5">
        <v>0.0</v>
      </c>
      <c r="F436" s="5" t="s">
        <v>15</v>
      </c>
      <c r="G436" s="5" t="s">
        <v>15</v>
      </c>
      <c r="H436" s="4">
        <v>0.0</v>
      </c>
      <c r="I436" s="4">
        <v>0.0</v>
      </c>
      <c r="J436" s="6">
        <v>0.0</v>
      </c>
      <c r="K436" s="5" t="s">
        <v>15</v>
      </c>
      <c r="L436" s="7"/>
      <c r="M436" s="4" t="s">
        <v>49</v>
      </c>
      <c r="N436" s="2" t="s">
        <v>49</v>
      </c>
    </row>
    <row r="437">
      <c r="A437" s="2" t="s">
        <v>462</v>
      </c>
      <c r="B437" s="3" t="str">
        <f>HYPERLINK("https://www.suredividend.com/sure-analysis-research-database/","Design Therapeutics Inc")</f>
        <v>Design Therapeutics Inc</v>
      </c>
      <c r="C437" s="2" t="s">
        <v>15</v>
      </c>
      <c r="D437" s="4">
        <v>2.3</v>
      </c>
      <c r="E437" s="5">
        <v>0.0</v>
      </c>
      <c r="F437" s="5" t="s">
        <v>15</v>
      </c>
      <c r="G437" s="5" t="s">
        <v>15</v>
      </c>
      <c r="H437" s="4">
        <v>0.0</v>
      </c>
      <c r="I437" s="4">
        <v>138.88494</v>
      </c>
      <c r="J437" s="6">
        <v>0.0</v>
      </c>
      <c r="K437" s="5" t="s">
        <v>15</v>
      </c>
      <c r="L437" s="7">
        <v>1.652395321666</v>
      </c>
      <c r="M437" s="4">
        <v>8.47</v>
      </c>
      <c r="N437" s="2">
        <v>1.94</v>
      </c>
    </row>
    <row r="438">
      <c r="A438" s="2" t="s">
        <v>463</v>
      </c>
      <c r="B438" s="3" t="str">
        <f>HYPERLINK("https://www.suredividend.com/sure-analysis-research-database/","Distribution Solutions Group Inc")</f>
        <v>Distribution Solutions Group Inc</v>
      </c>
      <c r="C438" s="2" t="s">
        <v>15</v>
      </c>
      <c r="D438" s="4">
        <v>32.88</v>
      </c>
      <c r="E438" s="5">
        <v>0.0</v>
      </c>
      <c r="F438" s="5" t="s">
        <v>15</v>
      </c>
      <c r="G438" s="5" t="s">
        <v>15</v>
      </c>
      <c r="H438" s="4">
        <v>0.0</v>
      </c>
      <c r="I438" s="4">
        <v>1531.863219</v>
      </c>
      <c r="J438" s="6">
        <v>206.840834323521</v>
      </c>
      <c r="K438" s="5">
        <v>0.0</v>
      </c>
      <c r="L438" s="7">
        <v>1.13672605789699</v>
      </c>
      <c r="M438" s="4">
        <v>33.91</v>
      </c>
      <c r="N438" s="2">
        <v>18.09</v>
      </c>
    </row>
    <row r="439">
      <c r="A439" s="2" t="s">
        <v>464</v>
      </c>
      <c r="B439" s="3" t="str">
        <f>HYPERLINK("https://www.suredividend.com/sure-analysis-research-database/","Daseke Inc")</f>
        <v>Daseke Inc</v>
      </c>
      <c r="C439" s="2" t="s">
        <v>17</v>
      </c>
      <c r="D439" s="4">
        <v>8.15</v>
      </c>
      <c r="E439" s="5">
        <v>0.0</v>
      </c>
      <c r="F439" s="5" t="s">
        <v>15</v>
      </c>
      <c r="G439" s="5" t="s">
        <v>15</v>
      </c>
      <c r="H439" s="4">
        <v>0.0</v>
      </c>
      <c r="I439" s="4">
        <v>378.988513</v>
      </c>
      <c r="J439" s="6">
        <v>51.9162346164383</v>
      </c>
      <c r="K439" s="5">
        <v>0.0</v>
      </c>
      <c r="L439" s="7">
        <v>1.62745459339008</v>
      </c>
      <c r="M439" s="4">
        <v>9.57</v>
      </c>
      <c r="N439" s="2">
        <v>4.06</v>
      </c>
    </row>
    <row r="440">
      <c r="A440" s="2" t="s">
        <v>465</v>
      </c>
      <c r="B440" s="3" t="str">
        <f>HYPERLINK("https://www.suredividend.com/sure-analysis-research-database/","Viant Technology Inc")</f>
        <v>Viant Technology Inc</v>
      </c>
      <c r="C440" s="2" t="s">
        <v>15</v>
      </c>
      <c r="D440" s="4">
        <v>8.58</v>
      </c>
      <c r="E440" s="5">
        <v>0.0</v>
      </c>
      <c r="F440" s="5" t="s">
        <v>15</v>
      </c>
      <c r="G440" s="5" t="s">
        <v>15</v>
      </c>
      <c r="H440" s="4">
        <v>0.0</v>
      </c>
      <c r="I440" s="4">
        <v>141.268535</v>
      </c>
      <c r="J440" s="6" t="s">
        <v>15</v>
      </c>
      <c r="K440" s="5">
        <v>0.0</v>
      </c>
      <c r="L440" s="7">
        <v>1.84769340100407</v>
      </c>
      <c r="M440" s="4">
        <v>9.16</v>
      </c>
      <c r="N440" s="2">
        <v>3.66</v>
      </c>
    </row>
    <row r="441">
      <c r="A441" s="2" t="s">
        <v>466</v>
      </c>
      <c r="B441" s="3" t="str">
        <f>HYPERLINK("https://www.suredividend.com/sure-analysis-research-database/","Solo Brands Inc")</f>
        <v>Solo Brands Inc</v>
      </c>
      <c r="C441" s="2" t="s">
        <v>15</v>
      </c>
      <c r="D441" s="4">
        <v>2.59</v>
      </c>
      <c r="E441" s="5">
        <v>0.0</v>
      </c>
      <c r="F441" s="5" t="s">
        <v>15</v>
      </c>
      <c r="G441" s="5" t="s">
        <v>15</v>
      </c>
      <c r="H441" s="4">
        <v>0.0</v>
      </c>
      <c r="I441" s="4">
        <v>168.333036</v>
      </c>
      <c r="J441" s="6">
        <v>7.07014304002688</v>
      </c>
      <c r="K441" s="5">
        <v>0.0</v>
      </c>
      <c r="L441" s="7">
        <v>0.417278589126466</v>
      </c>
      <c r="M441" s="4">
        <v>8.86</v>
      </c>
      <c r="N441" s="2">
        <v>2.69</v>
      </c>
    </row>
    <row r="442">
      <c r="A442" s="2" t="s">
        <v>467</v>
      </c>
      <c r="B442" s="3" t="str">
        <f>HYPERLINK("https://www.suredividend.com/sure-analysis-research-database/","Duolingo Inc")</f>
        <v>Duolingo Inc</v>
      </c>
      <c r="C442" s="2" t="s">
        <v>15</v>
      </c>
      <c r="D442" s="4">
        <v>178.25</v>
      </c>
      <c r="E442" s="5">
        <v>0.0</v>
      </c>
      <c r="F442" s="5" t="s">
        <v>15</v>
      </c>
      <c r="G442" s="5" t="s">
        <v>15</v>
      </c>
      <c r="H442" s="4">
        <v>0.0</v>
      </c>
      <c r="I442" s="4">
        <v>6900.730147</v>
      </c>
      <c r="J442" s="6" t="s">
        <v>15</v>
      </c>
      <c r="K442" s="5">
        <v>0.0</v>
      </c>
      <c r="L442" s="7">
        <v>1.78663166276499</v>
      </c>
      <c r="M442" s="4">
        <v>245.87</v>
      </c>
      <c r="N442" s="2">
        <v>86.36</v>
      </c>
    </row>
    <row r="443">
      <c r="A443" s="2" t="s">
        <v>468</v>
      </c>
      <c r="B443" s="3" t="str">
        <f>HYPERLINK("https://www.suredividend.com/sure-analysis-research-database/","Dynavax Technologies Corp.")</f>
        <v>Dynavax Technologies Corp.</v>
      </c>
      <c r="C443" s="2" t="s">
        <v>30</v>
      </c>
      <c r="D443" s="4">
        <v>12.79</v>
      </c>
      <c r="E443" s="5">
        <v>0.0</v>
      </c>
      <c r="F443" s="5" t="s">
        <v>15</v>
      </c>
      <c r="G443" s="5" t="s">
        <v>15</v>
      </c>
      <c r="H443" s="4">
        <v>0.0</v>
      </c>
      <c r="I443" s="4">
        <v>1732.09539</v>
      </c>
      <c r="J443" s="6">
        <v>28.4075802404342</v>
      </c>
      <c r="K443" s="5">
        <v>0.0</v>
      </c>
      <c r="L443" s="7">
        <v>0.905733349705396</v>
      </c>
      <c r="M443" s="4">
        <v>15.15</v>
      </c>
      <c r="N443" s="2">
        <v>9.42</v>
      </c>
    </row>
    <row r="444">
      <c r="A444" s="2" t="s">
        <v>469</v>
      </c>
      <c r="B444" s="3" t="str">
        <f>HYPERLINK("https://www.suredividend.com/sure-analysis-DX/","Dynex Capital, Inc.")</f>
        <v>Dynex Capital, Inc.</v>
      </c>
      <c r="C444" s="2" t="s">
        <v>20</v>
      </c>
      <c r="D444" s="4">
        <v>12.11</v>
      </c>
      <c r="E444" s="5">
        <v>0.128819157720891</v>
      </c>
      <c r="F444" s="5">
        <v>0.0</v>
      </c>
      <c r="G444" s="5">
        <v>0.0</v>
      </c>
      <c r="H444" s="4">
        <v>1.47031408180048</v>
      </c>
      <c r="I444" s="4">
        <v>727.323957</v>
      </c>
      <c r="J444" s="6">
        <v>140.954255255813</v>
      </c>
      <c r="K444" s="5">
        <v>15.0956271232083</v>
      </c>
      <c r="L444" s="7">
        <v>1.31545978642845</v>
      </c>
      <c r="M444" s="4">
        <v>13.17</v>
      </c>
      <c r="N444" s="2">
        <v>9.27</v>
      </c>
    </row>
    <row r="445">
      <c r="A445" s="2" t="s">
        <v>470</v>
      </c>
      <c r="B445" s="3" t="str">
        <f>HYPERLINK("https://www.suredividend.com/sure-analysis-research-database/","Destination XL Group Inc")</f>
        <v>Destination XL Group Inc</v>
      </c>
      <c r="C445" s="2" t="s">
        <v>25</v>
      </c>
      <c r="D445" s="4">
        <v>3.9</v>
      </c>
      <c r="E445" s="5">
        <v>0.0</v>
      </c>
      <c r="F445" s="5" t="s">
        <v>15</v>
      </c>
      <c r="G445" s="5" t="s">
        <v>15</v>
      </c>
      <c r="H445" s="4">
        <v>0.0</v>
      </c>
      <c r="I445" s="4">
        <v>264.199331</v>
      </c>
      <c r="J445" s="6">
        <v>8.53908633484163</v>
      </c>
      <c r="K445" s="5">
        <v>0.0</v>
      </c>
      <c r="L445" s="7">
        <v>1.46702350565728</v>
      </c>
      <c r="M445" s="4">
        <v>7.57</v>
      </c>
      <c r="N445" s="2">
        <v>3.64</v>
      </c>
    </row>
    <row r="446">
      <c r="A446" s="2" t="s">
        <v>471</v>
      </c>
      <c r="B446" s="3" t="str">
        <f>HYPERLINK("https://www.suredividend.com/sure-analysis-research-database/","DXP Enterprises, Inc.")</f>
        <v>DXP Enterprises, Inc.</v>
      </c>
      <c r="C446" s="2" t="s">
        <v>17</v>
      </c>
      <c r="D446" s="4">
        <v>31.76</v>
      </c>
      <c r="E446" s="5">
        <v>0.0</v>
      </c>
      <c r="F446" s="5" t="s">
        <v>15</v>
      </c>
      <c r="G446" s="5" t="s">
        <v>15</v>
      </c>
      <c r="H446" s="4">
        <v>0.0</v>
      </c>
      <c r="I446" s="4">
        <v>535.115709</v>
      </c>
      <c r="J446" s="6">
        <v>8.93840862177827</v>
      </c>
      <c r="K446" s="5">
        <v>0.0</v>
      </c>
      <c r="L446" s="7">
        <v>1.10588580483371</v>
      </c>
      <c r="M446" s="4">
        <v>39.89</v>
      </c>
      <c r="N446" s="2">
        <v>22.06</v>
      </c>
    </row>
    <row r="447">
      <c r="A447" s="2" t="s">
        <v>472</v>
      </c>
      <c r="B447" s="3" t="str">
        <f>HYPERLINK("https://www.suredividend.com/sure-analysis-research-database/","Dycom Industries, Inc.")</f>
        <v>Dycom Industries, Inc.</v>
      </c>
      <c r="C447" s="2" t="s">
        <v>17</v>
      </c>
      <c r="D447" s="4">
        <v>113.31</v>
      </c>
      <c r="E447" s="5">
        <v>0.0</v>
      </c>
      <c r="F447" s="5" t="s">
        <v>15</v>
      </c>
      <c r="G447" s="5" t="s">
        <v>15</v>
      </c>
      <c r="H447" s="4">
        <v>0.0</v>
      </c>
      <c r="I447" s="4">
        <v>3371.268305</v>
      </c>
      <c r="J447" s="6">
        <v>15.3021065600461</v>
      </c>
      <c r="K447" s="5">
        <v>0.0</v>
      </c>
      <c r="L447" s="7">
        <v>1.0102303508621</v>
      </c>
      <c r="M447" s="4">
        <v>117.25</v>
      </c>
      <c r="N447" s="2">
        <v>77.33</v>
      </c>
    </row>
    <row r="448">
      <c r="A448" s="2" t="s">
        <v>473</v>
      </c>
      <c r="B448" s="3" t="str">
        <f>HYPERLINK("https://www.suredividend.com/sure-analysis-research-database/","Dyne Therapeutics Inc")</f>
        <v>Dyne Therapeutics Inc</v>
      </c>
      <c r="C448" s="2" t="s">
        <v>15</v>
      </c>
      <c r="D448" s="4">
        <v>21.88</v>
      </c>
      <c r="E448" s="5">
        <v>0.0</v>
      </c>
      <c r="F448" s="5" t="s">
        <v>15</v>
      </c>
      <c r="G448" s="5" t="s">
        <v>15</v>
      </c>
      <c r="H448" s="4">
        <v>0.0</v>
      </c>
      <c r="I448" s="4">
        <v>1695.118493</v>
      </c>
      <c r="J448" s="6">
        <v>0.0</v>
      </c>
      <c r="K448" s="5" t="s">
        <v>15</v>
      </c>
      <c r="L448" s="7">
        <v>1.45523462990282</v>
      </c>
      <c r="M448" s="4">
        <v>25.5</v>
      </c>
      <c r="N448" s="2">
        <v>6.4</v>
      </c>
    </row>
    <row r="449">
      <c r="A449" s="2" t="s">
        <v>474</v>
      </c>
      <c r="B449" s="3" t="str">
        <f>HYPERLINK("https://www.suredividend.com/sure-analysis-research-database/","DZS Inc")</f>
        <v>DZS Inc</v>
      </c>
      <c r="C449" s="2" t="s">
        <v>40</v>
      </c>
      <c r="D449" s="4">
        <v>1.48</v>
      </c>
      <c r="E449" s="5">
        <v>0.0</v>
      </c>
      <c r="F449" s="5" t="s">
        <v>15</v>
      </c>
      <c r="G449" s="5" t="s">
        <v>15</v>
      </c>
      <c r="H449" s="4">
        <v>0.0</v>
      </c>
      <c r="I449" s="4">
        <v>54.529612</v>
      </c>
      <c r="J449" s="6" t="s">
        <v>15</v>
      </c>
      <c r="K449" s="5">
        <v>0.0</v>
      </c>
      <c r="L449" s="7">
        <v>1.82878058839844</v>
      </c>
      <c r="M449" s="4">
        <v>13.32</v>
      </c>
      <c r="N449" s="2">
        <v>1.24</v>
      </c>
    </row>
    <row r="450">
      <c r="A450" s="2" t="s">
        <v>475</v>
      </c>
      <c r="B450" s="3" t="str">
        <f>HYPERLINK("https://www.suredividend.com/sure-analysis-research-database/","GrafTech International Ltd.")</f>
        <v>GrafTech International Ltd.</v>
      </c>
      <c r="C450" s="2" t="s">
        <v>17</v>
      </c>
      <c r="D450" s="4">
        <v>1.24</v>
      </c>
      <c r="E450" s="5">
        <v>0.013071895132656</v>
      </c>
      <c r="F450" s="5" t="s">
        <v>15</v>
      </c>
      <c r="G450" s="5" t="s">
        <v>15</v>
      </c>
      <c r="H450" s="4">
        <v>0.019999999552965</v>
      </c>
      <c r="I450" s="4">
        <v>392.916087</v>
      </c>
      <c r="J450" s="6">
        <v>31.4584537229783</v>
      </c>
      <c r="K450" s="5">
        <v>0.411522624546604</v>
      </c>
      <c r="L450" s="7">
        <v>1.58464087859759</v>
      </c>
      <c r="M450" s="4">
        <v>6.73</v>
      </c>
      <c r="N450" s="2">
        <v>1.47</v>
      </c>
    </row>
    <row r="451">
      <c r="A451" s="2" t="s">
        <v>476</v>
      </c>
      <c r="B451" s="3" t="str">
        <f>HYPERLINK("https://www.suredividend.com/sure-analysis-research-database/","Brinker International, Inc.")</f>
        <v>Brinker International, Inc.</v>
      </c>
      <c r="C451" s="2" t="s">
        <v>25</v>
      </c>
      <c r="D451" s="4">
        <v>44.16</v>
      </c>
      <c r="E451" s="5">
        <v>0.0</v>
      </c>
      <c r="F451" s="5" t="s">
        <v>15</v>
      </c>
      <c r="G451" s="5" t="s">
        <v>15</v>
      </c>
      <c r="H451" s="4">
        <v>0.0</v>
      </c>
      <c r="I451" s="4">
        <v>1798.18223</v>
      </c>
      <c r="J451" s="6">
        <v>12.844158786</v>
      </c>
      <c r="K451" s="5">
        <v>0.0</v>
      </c>
      <c r="L451" s="7">
        <v>1.10802658323203</v>
      </c>
      <c r="M451" s="4">
        <v>44.97</v>
      </c>
      <c r="N451" s="2">
        <v>28.23</v>
      </c>
    </row>
    <row r="452">
      <c r="A452" s="2" t="s">
        <v>477</v>
      </c>
      <c r="B452" s="3" t="str">
        <f>HYPERLINK("https://www.suredividend.com/sure-analysis-research-database/","Eventbrite Inc")</f>
        <v>Eventbrite Inc</v>
      </c>
      <c r="C452" s="2" t="s">
        <v>40</v>
      </c>
      <c r="D452" s="4">
        <v>8.49</v>
      </c>
      <c r="E452" s="5">
        <v>0.0</v>
      </c>
      <c r="F452" s="5" t="s">
        <v>15</v>
      </c>
      <c r="G452" s="5" t="s">
        <v>15</v>
      </c>
      <c r="H452" s="4">
        <v>0.0</v>
      </c>
      <c r="I452" s="4">
        <v>734.058945</v>
      </c>
      <c r="J452" s="6" t="s">
        <v>15</v>
      </c>
      <c r="K452" s="5">
        <v>0.0</v>
      </c>
      <c r="L452" s="7">
        <v>1.5549953092572</v>
      </c>
      <c r="M452" s="4">
        <v>11.91</v>
      </c>
      <c r="N452" s="2">
        <v>6.21</v>
      </c>
    </row>
    <row r="453">
      <c r="A453" s="2" t="s">
        <v>478</v>
      </c>
      <c r="B453" s="3" t="str">
        <f>HYPERLINK("https://www.suredividend.com/sure-analysis-research-database/","Eastern Bankshares Inc.")</f>
        <v>Eastern Bankshares Inc.</v>
      </c>
      <c r="C453" s="2" t="s">
        <v>15</v>
      </c>
      <c r="D453" s="4">
        <v>13.59</v>
      </c>
      <c r="E453" s="5">
        <v>0.027078766208843</v>
      </c>
      <c r="F453" s="5" t="s">
        <v>15</v>
      </c>
      <c r="G453" s="5" t="s">
        <v>15</v>
      </c>
      <c r="H453" s="4">
        <v>0.399953376904616</v>
      </c>
      <c r="I453" s="4">
        <v>2605.826687</v>
      </c>
      <c r="J453" s="6" t="s">
        <v>15</v>
      </c>
      <c r="K453" s="5" t="s">
        <v>15</v>
      </c>
      <c r="L453" s="7">
        <v>1.687058553</v>
      </c>
      <c r="M453" s="4">
        <v>15.37</v>
      </c>
      <c r="N453" s="2">
        <v>9.43</v>
      </c>
    </row>
    <row r="454">
      <c r="A454" s="2" t="s">
        <v>479</v>
      </c>
      <c r="B454" s="3" t="str">
        <f>HYPERLINK("https://www.suredividend.com/sure-analysis-EBF/","Ennis Inc.")</f>
        <v>Ennis Inc.</v>
      </c>
      <c r="C454" s="2" t="s">
        <v>17</v>
      </c>
      <c r="D454" s="4">
        <v>20.18</v>
      </c>
      <c r="E454" s="5">
        <v>0.0495540138751238</v>
      </c>
      <c r="F454" s="5">
        <v>0.0</v>
      </c>
      <c r="G454" s="5">
        <v>0.0212956876001351</v>
      </c>
      <c r="H454" s="4">
        <v>0.982803818028118</v>
      </c>
      <c r="I454" s="4">
        <v>534.830028</v>
      </c>
      <c r="J454" s="6">
        <v>11.9798859495116</v>
      </c>
      <c r="K454" s="5">
        <v>0.574739074870244</v>
      </c>
      <c r="L454" s="7">
        <v>0.570922417007383</v>
      </c>
      <c r="M454" s="4">
        <v>22.91</v>
      </c>
      <c r="N454" s="2">
        <v>18.28</v>
      </c>
    </row>
    <row r="455">
      <c r="A455" s="2" t="s">
        <v>480</v>
      </c>
      <c r="B455" s="3" t="str">
        <f>HYPERLINK("https://www.suredividend.com/sure-analysis-research-database/","Ebix Inc.")</f>
        <v>Ebix Inc.</v>
      </c>
      <c r="C455" s="2" t="s">
        <v>40</v>
      </c>
      <c r="D455" s="4">
        <v>1.16</v>
      </c>
      <c r="E455" s="5">
        <v>0.0</v>
      </c>
      <c r="F455" s="5" t="s">
        <v>15</v>
      </c>
      <c r="G455" s="5" t="s">
        <v>15</v>
      </c>
      <c r="H455" s="4">
        <v>0.0</v>
      </c>
      <c r="I455" s="4">
        <v>0.0</v>
      </c>
      <c r="J455" s="6">
        <v>0.0</v>
      </c>
      <c r="K455" s="5">
        <v>0.0</v>
      </c>
      <c r="L455" s="7"/>
      <c r="M455" s="4" t="s">
        <v>49</v>
      </c>
      <c r="N455" s="2" t="s">
        <v>49</v>
      </c>
    </row>
    <row r="456">
      <c r="A456" s="2" t="s">
        <v>481</v>
      </c>
      <c r="B456" s="3" t="str">
        <f>HYPERLINK("https://www.suredividend.com/sure-analysis-research-database/","Emergent Biosolutions Inc")</f>
        <v>Emergent Biosolutions Inc</v>
      </c>
      <c r="C456" s="2" t="s">
        <v>30</v>
      </c>
      <c r="D456" s="4">
        <v>1.53</v>
      </c>
      <c r="E456" s="5">
        <v>0.0</v>
      </c>
      <c r="F456" s="5" t="s">
        <v>15</v>
      </c>
      <c r="G456" s="5" t="s">
        <v>15</v>
      </c>
      <c r="H456" s="4">
        <v>0.0</v>
      </c>
      <c r="I456" s="4">
        <v>94.948448</v>
      </c>
      <c r="J456" s="6" t="s">
        <v>15</v>
      </c>
      <c r="K456" s="5">
        <v>0.0</v>
      </c>
      <c r="L456" s="7">
        <v>2.12705998707868</v>
      </c>
      <c r="M456" s="4">
        <v>16.66</v>
      </c>
      <c r="N456" s="2">
        <v>1.76</v>
      </c>
    </row>
    <row r="457">
      <c r="A457" s="2" t="s">
        <v>482</v>
      </c>
      <c r="B457" s="3" t="str">
        <f>HYPERLINK("https://www.suredividend.com/sure-analysis-EBTC/","Enterprise Bancorp, Inc.")</f>
        <v>Enterprise Bancorp, Inc.</v>
      </c>
      <c r="C457" s="2" t="s">
        <v>22</v>
      </c>
      <c r="D457" s="4">
        <v>27.22</v>
      </c>
      <c r="E457" s="5">
        <v>0.035268185157972</v>
      </c>
      <c r="F457" s="5" t="s">
        <v>15</v>
      </c>
      <c r="G457" s="5" t="s">
        <v>15</v>
      </c>
      <c r="H457" s="4">
        <v>0.898232061112321</v>
      </c>
      <c r="I457" s="4">
        <v>365.87139</v>
      </c>
      <c r="J457" s="6">
        <v>0.0</v>
      </c>
      <c r="K457" s="5" t="s">
        <v>15</v>
      </c>
      <c r="L457" s="7">
        <v>0.843098304963852</v>
      </c>
      <c r="M457" s="4">
        <v>34.72</v>
      </c>
      <c r="N457" s="2">
        <v>24.59</v>
      </c>
    </row>
    <row r="458">
      <c r="A458" s="2" t="s">
        <v>483</v>
      </c>
      <c r="B458" s="3" t="str">
        <f>HYPERLINK("https://www.suredividend.com/sure-analysis-research-database/","Encore Capital Group, Inc.")</f>
        <v>Encore Capital Group, Inc.</v>
      </c>
      <c r="C458" s="2" t="s">
        <v>22</v>
      </c>
      <c r="D458" s="4">
        <v>49.8</v>
      </c>
      <c r="E458" s="5">
        <v>0.0</v>
      </c>
      <c r="F458" s="5" t="s">
        <v>15</v>
      </c>
      <c r="G458" s="5" t="s">
        <v>15</v>
      </c>
      <c r="H458" s="4">
        <v>0.0</v>
      </c>
      <c r="I458" s="4">
        <v>1218.781325</v>
      </c>
      <c r="J458" s="6" t="s">
        <v>15</v>
      </c>
      <c r="K458" s="5">
        <v>0.0</v>
      </c>
      <c r="L458" s="7">
        <v>1.22028406041128</v>
      </c>
      <c r="M458" s="4">
        <v>58.46</v>
      </c>
      <c r="N458" s="2">
        <v>34.74</v>
      </c>
    </row>
    <row r="459">
      <c r="A459" s="2" t="s">
        <v>484</v>
      </c>
      <c r="B459" s="3" t="str">
        <f>HYPERLINK("https://www.suredividend.com/sure-analysis-research-database/","Ecovyst Inc")</f>
        <v>Ecovyst Inc</v>
      </c>
      <c r="C459" s="2" t="s">
        <v>15</v>
      </c>
      <c r="D459" s="4">
        <v>9.08</v>
      </c>
      <c r="E459" s="5">
        <v>0.0</v>
      </c>
      <c r="F459" s="5" t="s">
        <v>15</v>
      </c>
      <c r="G459" s="5" t="s">
        <v>15</v>
      </c>
      <c r="H459" s="4">
        <v>0.0</v>
      </c>
      <c r="I459" s="4">
        <v>1112.399854</v>
      </c>
      <c r="J459" s="6">
        <v>16.7336049174902</v>
      </c>
      <c r="K459" s="5">
        <v>0.0</v>
      </c>
      <c r="L459" s="7">
        <v>1.18822979097082</v>
      </c>
      <c r="M459" s="4">
        <v>12.35</v>
      </c>
      <c r="N459" s="2">
        <v>8.26</v>
      </c>
    </row>
    <row r="460">
      <c r="A460" s="2" t="s">
        <v>485</v>
      </c>
      <c r="B460" s="3" t="str">
        <f>HYPERLINK("https://www.suredividend.com/sure-analysis-research-database/","Editas Medicine Inc")</f>
        <v>Editas Medicine Inc</v>
      </c>
      <c r="C460" s="2" t="s">
        <v>30</v>
      </c>
      <c r="D460" s="4">
        <v>7.08</v>
      </c>
      <c r="E460" s="5">
        <v>0.0</v>
      </c>
      <c r="F460" s="5" t="s">
        <v>15</v>
      </c>
      <c r="G460" s="5" t="s">
        <v>15</v>
      </c>
      <c r="H460" s="4">
        <v>0.0</v>
      </c>
      <c r="I460" s="4">
        <v>623.170239</v>
      </c>
      <c r="J460" s="6" t="s">
        <v>15</v>
      </c>
      <c r="K460" s="5">
        <v>0.0</v>
      </c>
      <c r="L460" s="7">
        <v>1.73955952050633</v>
      </c>
      <c r="M460" s="4">
        <v>11.93</v>
      </c>
      <c r="N460" s="2">
        <v>6.08</v>
      </c>
    </row>
    <row r="461">
      <c r="A461" s="2" t="s">
        <v>486</v>
      </c>
      <c r="B461" s="3" t="str">
        <f>HYPERLINK("https://www.suredividend.com/sure-analysis-research-database/","Excelerate Energy Inc")</f>
        <v>Excelerate Energy Inc</v>
      </c>
      <c r="C461" s="2" t="s">
        <v>91</v>
      </c>
      <c r="D461" s="4">
        <v>14.3</v>
      </c>
      <c r="E461" s="5">
        <v>0.006137509651926</v>
      </c>
      <c r="F461" s="5" t="s">
        <v>15</v>
      </c>
      <c r="G461" s="5" t="s">
        <v>15</v>
      </c>
      <c r="H461" s="4">
        <v>0.099795906940326</v>
      </c>
      <c r="I461" s="4">
        <v>427.006559</v>
      </c>
      <c r="J461" s="6">
        <v>22.086926972534</v>
      </c>
      <c r="K461" s="5">
        <v>0.241461183015548</v>
      </c>
      <c r="L461" s="7">
        <v>1.29600364449365</v>
      </c>
      <c r="M461" s="4">
        <v>24.03</v>
      </c>
      <c r="N461" s="2">
        <v>13.67</v>
      </c>
    </row>
    <row r="462">
      <c r="A462" s="2" t="s">
        <v>487</v>
      </c>
      <c r="B462" s="3" t="str">
        <f>HYPERLINK("https://www.suredividend.com/sure-analysis-EFC/","Ellington Financial Inc")</f>
        <v>Ellington Financial Inc</v>
      </c>
      <c r="C462" s="2" t="s">
        <v>22</v>
      </c>
      <c r="D462" s="4">
        <v>12.18</v>
      </c>
      <c r="E462" s="5">
        <v>0.147783251231527</v>
      </c>
      <c r="F462" s="5">
        <v>0.0</v>
      </c>
      <c r="G462" s="5">
        <v>0.0</v>
      </c>
      <c r="H462" s="4">
        <v>1.53877064551928</v>
      </c>
      <c r="I462" s="4">
        <v>869.93876</v>
      </c>
      <c r="J462" s="6">
        <v>12.2287178644625</v>
      </c>
      <c r="K462" s="5">
        <v>1.43810340702736</v>
      </c>
      <c r="L462" s="7">
        <v>1.20864644515263</v>
      </c>
      <c r="M462" s="4">
        <v>13.09</v>
      </c>
      <c r="N462" s="2">
        <v>9.51</v>
      </c>
    </row>
    <row r="463">
      <c r="A463" s="2" t="s">
        <v>488</v>
      </c>
      <c r="B463" s="3" t="str">
        <f>HYPERLINK("https://www.suredividend.com/sure-analysis-research-database/","Enterprise Financial Services Corp.")</f>
        <v>Enterprise Financial Services Corp.</v>
      </c>
      <c r="C463" s="2" t="s">
        <v>22</v>
      </c>
      <c r="D463" s="4">
        <v>39.62</v>
      </c>
      <c r="E463" s="5">
        <v>0.022489457765214</v>
      </c>
      <c r="F463" s="5">
        <v>0.0416666666666667</v>
      </c>
      <c r="G463" s="5">
        <v>0.12295510705682</v>
      </c>
      <c r="H463" s="4">
        <v>0.982339515184566</v>
      </c>
      <c r="I463" s="4">
        <v>1633.005236</v>
      </c>
      <c r="J463" s="6">
        <v>7.93564632147768</v>
      </c>
      <c r="K463" s="5">
        <v>0.178932516427061</v>
      </c>
      <c r="L463" s="7">
        <v>1.18088276850276</v>
      </c>
      <c r="M463" s="4">
        <v>54.06</v>
      </c>
      <c r="N463" s="2">
        <v>32.6</v>
      </c>
    </row>
    <row r="464">
      <c r="A464" s="2" t="s">
        <v>489</v>
      </c>
      <c r="B464" s="3" t="str">
        <f>HYPERLINK("https://www.suredividend.com/sure-analysis-research-database/","eGain Corp")</f>
        <v>eGain Corp</v>
      </c>
      <c r="C464" s="2" t="s">
        <v>40</v>
      </c>
      <c r="D464" s="4">
        <v>7.74</v>
      </c>
      <c r="E464" s="5">
        <v>0.0</v>
      </c>
      <c r="F464" s="5" t="s">
        <v>15</v>
      </c>
      <c r="G464" s="5" t="s">
        <v>15</v>
      </c>
      <c r="H464" s="4">
        <v>0.0</v>
      </c>
      <c r="I464" s="4">
        <v>244.010192</v>
      </c>
      <c r="J464" s="6">
        <v>51.6861240203346</v>
      </c>
      <c r="K464" s="5">
        <v>0.0</v>
      </c>
      <c r="L464" s="7">
        <v>1.00557255390051</v>
      </c>
      <c r="M464" s="4">
        <v>10.35</v>
      </c>
      <c r="N464" s="2">
        <v>5.61</v>
      </c>
    </row>
    <row r="465">
      <c r="A465" s="2" t="s">
        <v>490</v>
      </c>
      <c r="B465" s="3" t="str">
        <f>HYPERLINK("https://www.suredividend.com/sure-analysis-research-database/","Eagle Bancorp Inc (MD)")</f>
        <v>Eagle Bancorp Inc (MD)</v>
      </c>
      <c r="C465" s="2" t="s">
        <v>22</v>
      </c>
      <c r="D465" s="4">
        <v>23.66</v>
      </c>
      <c r="E465" s="5">
        <v>0.062434715706115</v>
      </c>
      <c r="F465" s="5" t="s">
        <v>15</v>
      </c>
      <c r="G465" s="5" t="s">
        <v>15</v>
      </c>
      <c r="H465" s="4">
        <v>1.7038433916199</v>
      </c>
      <c r="I465" s="4">
        <v>816.685507</v>
      </c>
      <c r="J465" s="6">
        <v>6.66671161923887</v>
      </c>
      <c r="K465" s="5">
        <v>0.429179695622141</v>
      </c>
      <c r="L465" s="7">
        <v>1.77715835460617</v>
      </c>
      <c r="M465" s="4">
        <v>43.14</v>
      </c>
      <c r="N465" s="2">
        <v>14.92</v>
      </c>
    </row>
    <row r="466">
      <c r="A466" s="2" t="s">
        <v>491</v>
      </c>
      <c r="B466" s="3" t="str">
        <f>HYPERLINK("https://www.suredividend.com/sure-analysis-research-database/","8X8 Inc.")</f>
        <v>8X8 Inc.</v>
      </c>
      <c r="C466" s="2" t="s">
        <v>40</v>
      </c>
      <c r="D466" s="4">
        <v>2.71</v>
      </c>
      <c r="E466" s="5">
        <v>0.0</v>
      </c>
      <c r="F466" s="5" t="s">
        <v>15</v>
      </c>
      <c r="G466" s="5" t="s">
        <v>15</v>
      </c>
      <c r="H466" s="4">
        <v>0.0</v>
      </c>
      <c r="I466" s="4">
        <v>456.891666</v>
      </c>
      <c r="J466" s="6" t="s">
        <v>15</v>
      </c>
      <c r="K466" s="5">
        <v>0.0</v>
      </c>
      <c r="L466" s="7">
        <v>2.98439580051571</v>
      </c>
      <c r="M466" s="4">
        <v>6.49</v>
      </c>
      <c r="N466" s="2">
        <v>2.15</v>
      </c>
    </row>
    <row r="467">
      <c r="A467" s="2" t="s">
        <v>492</v>
      </c>
      <c r="B467" s="3" t="str">
        <f>HYPERLINK("https://www.suredividend.com/sure-analysis-research-database/","Edgio Inc")</f>
        <v>Edgio Inc</v>
      </c>
      <c r="C467" s="2" t="s">
        <v>15</v>
      </c>
      <c r="D467" s="4">
        <v>0.2364</v>
      </c>
      <c r="E467" s="5">
        <v>0.0</v>
      </c>
      <c r="F467" s="5" t="s">
        <v>15</v>
      </c>
      <c r="G467" s="5" t="s">
        <v>15</v>
      </c>
      <c r="H467" s="4">
        <v>0.0</v>
      </c>
      <c r="I467" s="4">
        <v>67.631131</v>
      </c>
      <c r="J467" s="6" t="s">
        <v>15</v>
      </c>
      <c r="K467" s="5">
        <v>0.0</v>
      </c>
      <c r="L467" s="7">
        <v>1.67538372054467</v>
      </c>
      <c r="M467" s="4">
        <v>1.79</v>
      </c>
      <c r="N467" s="2">
        <v>0.21</v>
      </c>
    </row>
    <row r="468">
      <c r="A468" s="2" t="s">
        <v>493</v>
      </c>
      <c r="B468" s="3" t="str">
        <f>HYPERLINK("https://www.suredividend.com/sure-analysis-research-database/","Eagle Bulk Shipping Inc")</f>
        <v>Eagle Bulk Shipping Inc</v>
      </c>
      <c r="C468" s="2" t="s">
        <v>17</v>
      </c>
      <c r="D468" s="4">
        <v>55.42</v>
      </c>
      <c r="E468" s="5">
        <v>0.024992276330425</v>
      </c>
      <c r="F468" s="5" t="s">
        <v>15</v>
      </c>
      <c r="G468" s="5" t="s">
        <v>15</v>
      </c>
      <c r="H468" s="4">
        <v>1.36657766974766</v>
      </c>
      <c r="I468" s="4">
        <v>543.0869</v>
      </c>
      <c r="J468" s="6">
        <v>13.8039015814757</v>
      </c>
      <c r="K468" s="5">
        <v>0.47782436005163</v>
      </c>
      <c r="L468" s="7">
        <v>0.557492891618533</v>
      </c>
      <c r="M468" s="4">
        <v>65.13</v>
      </c>
      <c r="N468" s="2">
        <v>38.57</v>
      </c>
    </row>
    <row r="469">
      <c r="A469" s="2" t="s">
        <v>494</v>
      </c>
      <c r="B469" s="3" t="str">
        <f>HYPERLINK("https://www.suredividend.com/sure-analysis-research-database/","Eagle Pharmaceuticals Inc")</f>
        <v>Eagle Pharmaceuticals Inc</v>
      </c>
      <c r="C469" s="2" t="s">
        <v>30</v>
      </c>
      <c r="D469" s="4">
        <v>5.6</v>
      </c>
      <c r="E469" s="5">
        <v>0.0</v>
      </c>
      <c r="F469" s="5" t="s">
        <v>15</v>
      </c>
      <c r="G469" s="5" t="s">
        <v>15</v>
      </c>
      <c r="H469" s="4">
        <v>0.0</v>
      </c>
      <c r="I469" s="4">
        <v>71.55821</v>
      </c>
      <c r="J469" s="6">
        <v>5.98913711165048</v>
      </c>
      <c r="K469" s="5">
        <v>0.0</v>
      </c>
      <c r="L469" s="7">
        <v>0.993165326248305</v>
      </c>
      <c r="M469" s="4">
        <v>34.56</v>
      </c>
      <c r="N469" s="2">
        <v>4.1</v>
      </c>
    </row>
    <row r="470">
      <c r="A470" s="2" t="s">
        <v>495</v>
      </c>
      <c r="B470" s="3" t="str">
        <f>HYPERLINK("https://www.suredividend.com/sure-analysis-research-database/","VAALCO Energy, Inc.")</f>
        <v>VAALCO Energy, Inc.</v>
      </c>
      <c r="C470" s="2" t="s">
        <v>125</v>
      </c>
      <c r="D470" s="4">
        <v>4.09</v>
      </c>
      <c r="E470" s="5">
        <v>0.054901463665001</v>
      </c>
      <c r="F470" s="5" t="s">
        <v>15</v>
      </c>
      <c r="G470" s="5" t="s">
        <v>15</v>
      </c>
      <c r="H470" s="4">
        <v>0.244860527945908</v>
      </c>
      <c r="I470" s="4">
        <v>469.008056</v>
      </c>
      <c r="J470" s="6">
        <v>13.9902176416895</v>
      </c>
      <c r="K470" s="5">
        <v>0.775611428400088</v>
      </c>
      <c r="L470" s="7">
        <v>1.06057960122942</v>
      </c>
      <c r="M470" s="4">
        <v>4.97</v>
      </c>
      <c r="N470" s="2">
        <v>3.36</v>
      </c>
    </row>
    <row r="471">
      <c r="A471" s="2" t="s">
        <v>496</v>
      </c>
      <c r="B471" s="3" t="str">
        <f>HYPERLINK("https://www.suredividend.com/sure-analysis-research-database/","eHealth Inc")</f>
        <v>eHealth Inc</v>
      </c>
      <c r="C471" s="2" t="s">
        <v>22</v>
      </c>
      <c r="D471" s="4">
        <v>6.59</v>
      </c>
      <c r="E471" s="5">
        <v>0.0</v>
      </c>
      <c r="F471" s="5" t="s">
        <v>15</v>
      </c>
      <c r="G471" s="5" t="s">
        <v>15</v>
      </c>
      <c r="H471" s="4">
        <v>0.0</v>
      </c>
      <c r="I471" s="4">
        <v>202.666646</v>
      </c>
      <c r="J471" s="6" t="s">
        <v>15</v>
      </c>
      <c r="K471" s="5">
        <v>0.0</v>
      </c>
      <c r="L471" s="7">
        <v>2.05675449624918</v>
      </c>
      <c r="M471" s="4">
        <v>10.57</v>
      </c>
      <c r="N471" s="2">
        <v>4.81</v>
      </c>
    </row>
    <row r="472">
      <c r="A472" s="2" t="s">
        <v>497</v>
      </c>
      <c r="B472" s="3" t="str">
        <f>HYPERLINK("https://www.suredividend.com/sure-analysis-research-database/","Employers Holdings Inc")</f>
        <v>Employers Holdings Inc</v>
      </c>
      <c r="C472" s="2" t="s">
        <v>22</v>
      </c>
      <c r="D472" s="4">
        <v>40.43</v>
      </c>
      <c r="E472" s="5">
        <v>0.026278699328725</v>
      </c>
      <c r="F472" s="5">
        <v>-0.776</v>
      </c>
      <c r="G472" s="5">
        <v>0.0494145228445839</v>
      </c>
      <c r="H472" s="4">
        <v>1.08846372619582</v>
      </c>
      <c r="I472" s="4">
        <v>1065.350441</v>
      </c>
      <c r="J472" s="6">
        <v>8.90017077142857</v>
      </c>
      <c r="K472" s="5">
        <v>0.245149487881942</v>
      </c>
      <c r="L472" s="7">
        <v>0.55015998964893</v>
      </c>
      <c r="M472" s="4">
        <v>44.87</v>
      </c>
      <c r="N472" s="2">
        <v>34.93</v>
      </c>
    </row>
    <row r="473">
      <c r="A473" s="2" t="s">
        <v>498</v>
      </c>
      <c r="B473" s="3" t="str">
        <f>HYPERLINK("https://www.suredividend.com/sure-analysis-research-database/","Eiger BioPharmaceuticals Inc")</f>
        <v>Eiger BioPharmaceuticals Inc</v>
      </c>
      <c r="C473" s="2" t="s">
        <v>30</v>
      </c>
      <c r="D473" s="4">
        <v>6.52</v>
      </c>
      <c r="E473" s="5">
        <v>0.0</v>
      </c>
      <c r="F473" s="5" t="s">
        <v>15</v>
      </c>
      <c r="G473" s="5" t="s">
        <v>15</v>
      </c>
      <c r="H473" s="4">
        <v>0.0</v>
      </c>
      <c r="I473" s="4">
        <v>266.272596</v>
      </c>
      <c r="J473" s="6" t="s">
        <v>15</v>
      </c>
      <c r="K473" s="5">
        <v>0.0</v>
      </c>
      <c r="L473" s="7">
        <v>1.7701335475622</v>
      </c>
      <c r="M473" s="4">
        <v>89.4</v>
      </c>
      <c r="N473" s="2">
        <v>5.75</v>
      </c>
    </row>
    <row r="474">
      <c r="A474" s="2" t="s">
        <v>499</v>
      </c>
      <c r="B474" s="3" t="str">
        <f>HYPERLINK("https://www.suredividend.com/sure-analysis-research-database/","e.l.f. Beauty Inc")</f>
        <v>e.l.f. Beauty Inc</v>
      </c>
      <c r="C474" s="2" t="s">
        <v>89</v>
      </c>
      <c r="D474" s="4">
        <v>169.74</v>
      </c>
      <c r="E474" s="5">
        <v>0.0</v>
      </c>
      <c r="F474" s="5" t="s">
        <v>15</v>
      </c>
      <c r="G474" s="5" t="s">
        <v>15</v>
      </c>
      <c r="H474" s="4">
        <v>0.0</v>
      </c>
      <c r="I474" s="4">
        <v>8767.844105</v>
      </c>
      <c r="J474" s="6">
        <v>72.1045740902474</v>
      </c>
      <c r="K474" s="5">
        <v>0.0</v>
      </c>
      <c r="L474" s="7">
        <v>1.49803513433719</v>
      </c>
      <c r="M474" s="4">
        <v>164.71</v>
      </c>
      <c r="N474" s="2">
        <v>56.5</v>
      </c>
    </row>
    <row r="475">
      <c r="A475" s="2" t="s">
        <v>500</v>
      </c>
      <c r="B475" s="3" t="str">
        <f>HYPERLINK("https://www.suredividend.com/sure-analysis-research-database/","Elme Communities")</f>
        <v>Elme Communities</v>
      </c>
      <c r="C475" s="2" t="s">
        <v>15</v>
      </c>
      <c r="D475" s="4">
        <v>14.11</v>
      </c>
      <c r="E475" s="5">
        <v>0.047359683538481</v>
      </c>
      <c r="F475" s="5" t="s">
        <v>15</v>
      </c>
      <c r="G475" s="5" t="s">
        <v>15</v>
      </c>
      <c r="H475" s="4">
        <v>0.707080075229531</v>
      </c>
      <c r="I475" s="4">
        <v>1311.340837</v>
      </c>
      <c r="J475" s="6" t="s">
        <v>15</v>
      </c>
      <c r="K475" s="5" t="s">
        <v>15</v>
      </c>
      <c r="L475" s="7">
        <v>0.955220439073145</v>
      </c>
      <c r="M475" s="4">
        <v>18.92</v>
      </c>
      <c r="N475" s="2">
        <v>12.29</v>
      </c>
    </row>
    <row r="476">
      <c r="A476" s="2" t="s">
        <v>501</v>
      </c>
      <c r="B476" s="3" t="str">
        <f>HYPERLINK("https://www.suredividend.com/sure-analysis-research-database/","Embecta Corp")</f>
        <v>Embecta Corp</v>
      </c>
      <c r="C476" s="2" t="s">
        <v>15</v>
      </c>
      <c r="D476" s="4">
        <v>16.57</v>
      </c>
      <c r="E476" s="5">
        <v>0.035023625313311</v>
      </c>
      <c r="F476" s="5" t="s">
        <v>15</v>
      </c>
      <c r="G476" s="5" t="s">
        <v>15</v>
      </c>
      <c r="H476" s="4">
        <v>0.590498322782428</v>
      </c>
      <c r="I476" s="4">
        <v>970.698247</v>
      </c>
      <c r="J476" s="6">
        <v>13.7883273715909</v>
      </c>
      <c r="K476" s="5">
        <v>0.484015018674121</v>
      </c>
      <c r="L476" s="7">
        <v>1.15561173789887</v>
      </c>
      <c r="M476" s="4">
        <v>32.7</v>
      </c>
      <c r="N476" s="2">
        <v>12.62</v>
      </c>
    </row>
    <row r="477">
      <c r="A477" s="2" t="s">
        <v>502</v>
      </c>
      <c r="B477" s="3" t="str">
        <f>HYPERLINK("https://www.suredividend.com/sure-analysis-research-database/","Emcor Group, Inc.")</f>
        <v>Emcor Group, Inc.</v>
      </c>
      <c r="C477" s="2" t="s">
        <v>17</v>
      </c>
      <c r="D477" s="4">
        <v>233.48</v>
      </c>
      <c r="E477" s="5">
        <v>0.003201165986986</v>
      </c>
      <c r="F477" s="5">
        <v>0.199999999999999</v>
      </c>
      <c r="G477" s="5">
        <v>0.176079022524673</v>
      </c>
      <c r="H477" s="4">
        <v>0.719077915656769</v>
      </c>
      <c r="I477" s="4">
        <v>10567.592557</v>
      </c>
      <c r="J477" s="6">
        <v>19.2917785105982</v>
      </c>
      <c r="K477" s="5">
        <v>0.0626374490990216</v>
      </c>
      <c r="L477" s="7">
        <v>0.884646616041244</v>
      </c>
      <c r="M477" s="4">
        <v>228.9</v>
      </c>
      <c r="N477" s="2">
        <v>143.31</v>
      </c>
    </row>
    <row r="478">
      <c r="A478" s="2" t="s">
        <v>503</v>
      </c>
      <c r="B478" s="3" t="str">
        <f>HYPERLINK("https://www.suredividend.com/sure-analysis-research-database/","Enfusion Inc")</f>
        <v>Enfusion Inc</v>
      </c>
      <c r="C478" s="2" t="s">
        <v>15</v>
      </c>
      <c r="D478" s="4">
        <v>7.83</v>
      </c>
      <c r="E478" s="5">
        <v>0.0</v>
      </c>
      <c r="F478" s="5" t="s">
        <v>15</v>
      </c>
      <c r="G478" s="5" t="s">
        <v>15</v>
      </c>
      <c r="H478" s="4">
        <v>0.0</v>
      </c>
      <c r="I478" s="4">
        <v>750.376685</v>
      </c>
      <c r="J478" s="6">
        <v>127.268772896879</v>
      </c>
      <c r="K478" s="5">
        <v>0.0</v>
      </c>
      <c r="L478" s="7">
        <v>1.04843899419395</v>
      </c>
      <c r="M478" s="4">
        <v>12.32</v>
      </c>
      <c r="N478" s="2">
        <v>7.37</v>
      </c>
    </row>
    <row r="479">
      <c r="A479" s="2" t="s">
        <v>504</v>
      </c>
      <c r="B479" s="3" t="str">
        <f>HYPERLINK("https://www.suredividend.com/sure-analysis-research-database/","Enochian Biosciences Inc")</f>
        <v>Enochian Biosciences Inc</v>
      </c>
      <c r="C479" s="2" t="s">
        <v>30</v>
      </c>
      <c r="D479" s="4">
        <v>0.7</v>
      </c>
      <c r="E479" s="5">
        <v>0.0</v>
      </c>
      <c r="F479" s="5" t="s">
        <v>15</v>
      </c>
      <c r="G479" s="5" t="s">
        <v>15</v>
      </c>
      <c r="H479" s="4">
        <v>0.0</v>
      </c>
      <c r="I479" s="4">
        <v>40.798514</v>
      </c>
      <c r="J479" s="6">
        <v>0.0</v>
      </c>
      <c r="K479" s="5" t="s">
        <v>15</v>
      </c>
      <c r="L479" s="7">
        <v>1.37772781567501</v>
      </c>
      <c r="M479" s="4">
        <v>2.99</v>
      </c>
      <c r="N479" s="2">
        <v>0.3928</v>
      </c>
    </row>
    <row r="480">
      <c r="A480" s="2" t="s">
        <v>505</v>
      </c>
      <c r="B480" s="3" t="str">
        <f>HYPERLINK("https://www.suredividend.com/sure-analysis-research-database/","Energizer Holdings Inc")</f>
        <v>Energizer Holdings Inc</v>
      </c>
      <c r="C480" s="2" t="s">
        <v>17</v>
      </c>
      <c r="D480" s="4">
        <v>31.07</v>
      </c>
      <c r="E480" s="5">
        <v>0.035934928450474</v>
      </c>
      <c r="F480" s="5">
        <v>0.0</v>
      </c>
      <c r="G480" s="5">
        <v>0.0</v>
      </c>
      <c r="H480" s="4">
        <v>1.18369654315863</v>
      </c>
      <c r="I480" s="4">
        <v>2364.12666</v>
      </c>
      <c r="J480" s="6">
        <v>16.8265242730249</v>
      </c>
      <c r="K480" s="5">
        <v>0.610152857298264</v>
      </c>
      <c r="L480" s="7">
        <v>0.927605981177906</v>
      </c>
      <c r="M480" s="4">
        <v>36.64</v>
      </c>
      <c r="N480" s="2">
        <v>27.41</v>
      </c>
    </row>
    <row r="481">
      <c r="A481" s="2" t="s">
        <v>506</v>
      </c>
      <c r="B481" s="3" t="str">
        <f>HYPERLINK("https://www.suredividend.com/sure-analysis-research-database/","Enersys")</f>
        <v>Enersys</v>
      </c>
      <c r="C481" s="2" t="s">
        <v>17</v>
      </c>
      <c r="D481" s="4">
        <v>96.34</v>
      </c>
      <c r="E481" s="5">
        <v>0.008125825829029</v>
      </c>
      <c r="F481" s="5">
        <v>0.285714285714285</v>
      </c>
      <c r="G481" s="5">
        <v>0.0515474967972804</v>
      </c>
      <c r="H481" s="4">
        <v>0.797549805119208</v>
      </c>
      <c r="I481" s="4">
        <v>3965.174708</v>
      </c>
      <c r="J481" s="6">
        <v>16.3589262896784</v>
      </c>
      <c r="K481" s="5">
        <v>0.136800995732282</v>
      </c>
      <c r="L481" s="7">
        <v>1.39325456448576</v>
      </c>
      <c r="M481" s="4">
        <v>112.81</v>
      </c>
      <c r="N481" s="2">
        <v>77.89</v>
      </c>
    </row>
    <row r="482">
      <c r="A482" s="2" t="s">
        <v>507</v>
      </c>
      <c r="B482" s="3" t="str">
        <f>HYPERLINK("https://www.suredividend.com/sure-analysis-ENSG/","Ensign Group Inc")</f>
        <v>Ensign Group Inc</v>
      </c>
      <c r="C482" s="2" t="s">
        <v>30</v>
      </c>
      <c r="D482" s="4">
        <v>117.97</v>
      </c>
      <c r="E482" s="5">
        <v>0.00203441552937187</v>
      </c>
      <c r="F482" s="5">
        <v>0.0434782608695651</v>
      </c>
      <c r="G482" s="5">
        <v>0.0478316883027574</v>
      </c>
      <c r="H482" s="4">
        <v>0.232105811800601</v>
      </c>
      <c r="I482" s="4">
        <v>6577.814772</v>
      </c>
      <c r="J482" s="6">
        <v>26.5043165286345</v>
      </c>
      <c r="K482" s="5">
        <v>0.0534806017973735</v>
      </c>
      <c r="L482" s="7">
        <v>0.610569172057297</v>
      </c>
      <c r="M482" s="4">
        <v>118.85</v>
      </c>
      <c r="N482" s="2">
        <v>85.14</v>
      </c>
    </row>
    <row r="483">
      <c r="A483" s="2" t="s">
        <v>508</v>
      </c>
      <c r="B483" s="3" t="str">
        <f>HYPERLINK("https://www.suredividend.com/sure-analysis-research-database/","Enanta Pharmaceuticals Inc")</f>
        <v>Enanta Pharmaceuticals Inc</v>
      </c>
      <c r="C483" s="2" t="s">
        <v>30</v>
      </c>
      <c r="D483" s="4">
        <v>12.37</v>
      </c>
      <c r="E483" s="5">
        <v>0.0</v>
      </c>
      <c r="F483" s="5" t="s">
        <v>15</v>
      </c>
      <c r="G483" s="5" t="s">
        <v>15</v>
      </c>
      <c r="H483" s="4">
        <v>0.0</v>
      </c>
      <c r="I483" s="4">
        <v>264.872907</v>
      </c>
      <c r="J483" s="6" t="s">
        <v>15</v>
      </c>
      <c r="K483" s="5">
        <v>0.0</v>
      </c>
      <c r="L483" s="7">
        <v>1.07423605402243</v>
      </c>
      <c r="M483" s="4">
        <v>62.06</v>
      </c>
      <c r="N483" s="2">
        <v>8.08</v>
      </c>
    </row>
    <row r="484">
      <c r="A484" s="2" t="s">
        <v>509</v>
      </c>
      <c r="B484" s="3" t="str">
        <f>HYPERLINK("https://www.suredividend.com/sure-analysis-research-database/","Envestnet Inc.")</f>
        <v>Envestnet Inc.</v>
      </c>
      <c r="C484" s="2" t="s">
        <v>40</v>
      </c>
      <c r="D484" s="4">
        <v>51.08</v>
      </c>
      <c r="E484" s="5">
        <v>0.0</v>
      </c>
      <c r="F484" s="5" t="s">
        <v>15</v>
      </c>
      <c r="G484" s="5" t="s">
        <v>15</v>
      </c>
      <c r="H484" s="4">
        <v>0.0</v>
      </c>
      <c r="I484" s="4">
        <v>2952.535217</v>
      </c>
      <c r="J484" s="6" t="s">
        <v>15</v>
      </c>
      <c r="K484" s="5">
        <v>0.0</v>
      </c>
      <c r="L484" s="7">
        <v>1.42608110987626</v>
      </c>
      <c r="M484" s="4">
        <v>69.22</v>
      </c>
      <c r="N484" s="2">
        <v>33.12</v>
      </c>
    </row>
    <row r="485">
      <c r="A485" s="2" t="s">
        <v>510</v>
      </c>
      <c r="B485" s="3" t="str">
        <f>HYPERLINK("https://www.suredividend.com/sure-analysis-research-database/","Enova International Inc.")</f>
        <v>Enova International Inc.</v>
      </c>
      <c r="C485" s="2" t="s">
        <v>22</v>
      </c>
      <c r="D485" s="4">
        <v>54.04</v>
      </c>
      <c r="E485" s="5">
        <v>0.0</v>
      </c>
      <c r="F485" s="5" t="s">
        <v>15</v>
      </c>
      <c r="G485" s="5" t="s">
        <v>15</v>
      </c>
      <c r="H485" s="4">
        <v>0.0</v>
      </c>
      <c r="I485" s="4">
        <v>1764.1</v>
      </c>
      <c r="J485" s="6">
        <v>9.22525820368675</v>
      </c>
      <c r="K485" s="5">
        <v>0.0</v>
      </c>
      <c r="L485" s="7">
        <v>1.48923749888185</v>
      </c>
      <c r="M485" s="4">
        <v>59.2</v>
      </c>
      <c r="N485" s="2">
        <v>35.3</v>
      </c>
    </row>
    <row r="486">
      <c r="A486" s="2" t="s">
        <v>511</v>
      </c>
      <c r="B486" s="3" t="str">
        <f>HYPERLINK("https://www.suredividend.com/sure-analysis-research-database/","Enovix Corporation")</f>
        <v>Enovix Corporation</v>
      </c>
      <c r="C486" s="2" t="s">
        <v>15</v>
      </c>
      <c r="D486" s="4">
        <v>9.14</v>
      </c>
      <c r="E486" s="5">
        <v>0.0</v>
      </c>
      <c r="F486" s="5" t="s">
        <v>15</v>
      </c>
      <c r="G486" s="5" t="s">
        <v>15</v>
      </c>
      <c r="H486" s="4">
        <v>0.0</v>
      </c>
      <c r="I486" s="4">
        <v>1679.419071</v>
      </c>
      <c r="J486" s="6" t="s">
        <v>15</v>
      </c>
      <c r="K486" s="5">
        <v>0.0</v>
      </c>
      <c r="L486" s="7">
        <v>2.67525108203219</v>
      </c>
      <c r="M486" s="4">
        <v>23.9</v>
      </c>
      <c r="N486" s="2">
        <v>7.57</v>
      </c>
    </row>
    <row r="487">
      <c r="A487" s="2" t="s">
        <v>512</v>
      </c>
      <c r="B487" s="3" t="str">
        <f>HYPERLINK("https://www.suredividend.com/sure-analysis-research-database/","Evolus Inc")</f>
        <v>Evolus Inc</v>
      </c>
      <c r="C487" s="2" t="s">
        <v>30</v>
      </c>
      <c r="D487" s="4">
        <v>12.77</v>
      </c>
      <c r="E487" s="5">
        <v>0.0</v>
      </c>
      <c r="F487" s="5" t="s">
        <v>15</v>
      </c>
      <c r="G487" s="5" t="s">
        <v>15</v>
      </c>
      <c r="H487" s="4">
        <v>0.0</v>
      </c>
      <c r="I487" s="4">
        <v>770.484</v>
      </c>
      <c r="J487" s="6" t="s">
        <v>15</v>
      </c>
      <c r="K487" s="5">
        <v>0.0</v>
      </c>
      <c r="L487" s="7">
        <v>0.707325569250989</v>
      </c>
      <c r="M487" s="4">
        <v>13.74</v>
      </c>
      <c r="N487" s="2">
        <v>7.07</v>
      </c>
    </row>
    <row r="488">
      <c r="A488" s="2" t="s">
        <v>513</v>
      </c>
      <c r="B488" s="3" t="str">
        <f>HYPERLINK("https://www.suredividend.com/sure-analysis-research-database/","Empire Petroleum Corporation")</f>
        <v>Empire Petroleum Corporation</v>
      </c>
      <c r="C488" s="2" t="s">
        <v>15</v>
      </c>
      <c r="D488" s="4">
        <v>6.22</v>
      </c>
      <c r="E488" s="5">
        <v>0.0</v>
      </c>
      <c r="F488" s="5" t="s">
        <v>15</v>
      </c>
      <c r="G488" s="5" t="s">
        <v>15</v>
      </c>
      <c r="H488" s="4">
        <v>0.0</v>
      </c>
      <c r="I488" s="4">
        <v>159.788114</v>
      </c>
      <c r="J488" s="6">
        <v>0.0</v>
      </c>
      <c r="K488" s="5" t="s">
        <v>15</v>
      </c>
      <c r="L488" s="7">
        <v>0.79922188265418</v>
      </c>
      <c r="M488" s="4">
        <v>13.4</v>
      </c>
      <c r="N488" s="2">
        <v>5.66</v>
      </c>
    </row>
    <row r="489">
      <c r="A489" s="2" t="s">
        <v>514</v>
      </c>
      <c r="B489" s="3" t="str">
        <f>HYPERLINK("https://www.suredividend.com/sure-analysis-research-database/","Enerpac Tool Group Corp")</f>
        <v>Enerpac Tool Group Corp</v>
      </c>
      <c r="C489" s="2" t="s">
        <v>17</v>
      </c>
      <c r="D489" s="4">
        <v>31.28</v>
      </c>
      <c r="E489" s="5">
        <v>0.001253525512564</v>
      </c>
      <c r="F489" s="5" t="s">
        <v>15</v>
      </c>
      <c r="G489" s="5" t="s">
        <v>15</v>
      </c>
      <c r="H489" s="4">
        <v>0.03999999910593</v>
      </c>
      <c r="I489" s="4">
        <v>1727.268292</v>
      </c>
      <c r="J489" s="6">
        <v>30.3850454285262</v>
      </c>
      <c r="K489" s="5">
        <v>0.0396039595108217</v>
      </c>
      <c r="L489" s="7">
        <v>0.901926851269046</v>
      </c>
      <c r="M489" s="4">
        <v>32.94</v>
      </c>
      <c r="N489" s="2">
        <v>22.91</v>
      </c>
    </row>
    <row r="490">
      <c r="A490" s="2" t="s">
        <v>515</v>
      </c>
      <c r="B490" s="3" t="str">
        <f>HYPERLINK("https://www.suredividend.com/sure-analysis-research-database/","Edgewell Personal Care Co")</f>
        <v>Edgewell Personal Care Co</v>
      </c>
      <c r="C490" s="2" t="s">
        <v>89</v>
      </c>
      <c r="D490" s="4">
        <v>37.04</v>
      </c>
      <c r="E490" s="5">
        <v>0.015567124299446</v>
      </c>
      <c r="F490" s="5" t="s">
        <v>15</v>
      </c>
      <c r="G490" s="5" t="s">
        <v>15</v>
      </c>
      <c r="H490" s="4">
        <v>0.596376531911803</v>
      </c>
      <c r="I490" s="4">
        <v>1916.317191</v>
      </c>
      <c r="J490" s="6">
        <v>16.7072117751525</v>
      </c>
      <c r="K490" s="5">
        <v>0.269853634349232</v>
      </c>
      <c r="L490" s="7">
        <v>0.709157956987193</v>
      </c>
      <c r="M490" s="4">
        <v>45.59</v>
      </c>
      <c r="N490" s="2">
        <v>33.56</v>
      </c>
    </row>
    <row r="491">
      <c r="A491" s="2" t="s">
        <v>516</v>
      </c>
      <c r="B491" s="3" t="str">
        <f>HYPERLINK("https://www.suredividend.com/sure-analysis-EPRT/","Essential Properties Realty Trust Inc")</f>
        <v>Essential Properties Realty Trust Inc</v>
      </c>
      <c r="C491" s="2" t="s">
        <v>20</v>
      </c>
      <c r="D491" s="4">
        <v>24.29</v>
      </c>
      <c r="E491" s="5">
        <v>0.046932894195142</v>
      </c>
      <c r="F491" s="5">
        <v>0.0363636363636363</v>
      </c>
      <c r="G491" s="5">
        <v>0.0629800482623446</v>
      </c>
      <c r="H491" s="4">
        <v>1.10053820026544</v>
      </c>
      <c r="I491" s="4">
        <v>4169.536203</v>
      </c>
      <c r="J491" s="6">
        <v>23.574282530192</v>
      </c>
      <c r="K491" s="5">
        <v>0.93265949175038</v>
      </c>
      <c r="L491" s="7">
        <v>0.862022735140261</v>
      </c>
      <c r="M491" s="4">
        <v>26.39</v>
      </c>
      <c r="N491" s="2">
        <v>20.27</v>
      </c>
    </row>
    <row r="492">
      <c r="A492" s="2" t="s">
        <v>517</v>
      </c>
      <c r="B492" s="3" t="str">
        <f>HYPERLINK("https://www.suredividend.com/sure-analysis-research-database/","Equity Bancshares Inc")</f>
        <v>Equity Bancshares Inc</v>
      </c>
      <c r="C492" s="2" t="s">
        <v>22</v>
      </c>
      <c r="D492" s="4">
        <v>32.29</v>
      </c>
      <c r="E492" s="5">
        <v>0.009844219463539</v>
      </c>
      <c r="F492" s="5" t="s">
        <v>15</v>
      </c>
      <c r="G492" s="5" t="s">
        <v>15</v>
      </c>
      <c r="H492" s="4">
        <v>0.338739591740384</v>
      </c>
      <c r="I492" s="4">
        <v>530.363532</v>
      </c>
      <c r="J492" s="6">
        <v>11.112209441837</v>
      </c>
      <c r="K492" s="5">
        <v>0.112538070345642</v>
      </c>
      <c r="L492" s="7">
        <v>1.24404724673865</v>
      </c>
      <c r="M492" s="4">
        <v>34.99</v>
      </c>
      <c r="N492" s="2">
        <v>20.15</v>
      </c>
    </row>
    <row r="493">
      <c r="A493" s="2" t="s">
        <v>518</v>
      </c>
      <c r="B493" s="3" t="str">
        <f>HYPERLINK("https://www.suredividend.com/sure-analysis-research-database/","Equity Commonwealth")</f>
        <v>Equity Commonwealth</v>
      </c>
      <c r="C493" s="2" t="s">
        <v>20</v>
      </c>
      <c r="D493" s="4">
        <v>18.79</v>
      </c>
      <c r="E493" s="5">
        <v>0.0</v>
      </c>
      <c r="F493" s="5" t="s">
        <v>15</v>
      </c>
      <c r="G493" s="5" t="s">
        <v>15</v>
      </c>
      <c r="H493" s="4">
        <v>0.0</v>
      </c>
      <c r="I493" s="4">
        <v>2065.945211</v>
      </c>
      <c r="J493" s="6">
        <v>26.6566696415576</v>
      </c>
      <c r="K493" s="5">
        <v>0.0</v>
      </c>
      <c r="L493" s="7">
        <v>0.400700566562667</v>
      </c>
      <c r="M493" s="4">
        <v>22.08</v>
      </c>
      <c r="N493" s="2">
        <v>18.1</v>
      </c>
    </row>
    <row r="494">
      <c r="A494" s="2" t="s">
        <v>519</v>
      </c>
      <c r="B494" s="3" t="str">
        <f>HYPERLINK("https://www.suredividend.com/sure-analysis-research-database/","EQRx Inc")</f>
        <v>EQRx Inc</v>
      </c>
      <c r="C494" s="2" t="s">
        <v>15</v>
      </c>
      <c r="D494" s="4">
        <v>2.34</v>
      </c>
      <c r="E494" s="5">
        <v>0.0</v>
      </c>
      <c r="F494" s="5" t="s">
        <v>15</v>
      </c>
      <c r="G494" s="5" t="s">
        <v>15</v>
      </c>
      <c r="H494" s="4">
        <v>0.0</v>
      </c>
      <c r="I494" s="4">
        <v>0.0</v>
      </c>
      <c r="J494" s="6">
        <v>0.0</v>
      </c>
      <c r="K494" s="5" t="s">
        <v>15</v>
      </c>
      <c r="L494" s="7"/>
      <c r="M494" s="4" t="s">
        <v>49</v>
      </c>
      <c r="N494" s="2" t="s">
        <v>49</v>
      </c>
    </row>
    <row r="495">
      <c r="A495" s="2" t="s">
        <v>520</v>
      </c>
      <c r="B495" s="3" t="str">
        <f>HYPERLINK("https://www.suredividend.com/sure-analysis-research-database/","Erasca Inc")</f>
        <v>Erasca Inc</v>
      </c>
      <c r="C495" s="2" t="s">
        <v>15</v>
      </c>
      <c r="D495" s="4">
        <v>1.7</v>
      </c>
      <c r="E495" s="5">
        <v>0.0</v>
      </c>
      <c r="F495" s="5" t="s">
        <v>15</v>
      </c>
      <c r="G495" s="5" t="s">
        <v>15</v>
      </c>
      <c r="H495" s="4">
        <v>0.0</v>
      </c>
      <c r="I495" s="4">
        <v>273.467539</v>
      </c>
      <c r="J495" s="6">
        <v>0.0</v>
      </c>
      <c r="K495" s="5" t="s">
        <v>15</v>
      </c>
      <c r="L495" s="7">
        <v>1.7569302329827</v>
      </c>
      <c r="M495" s="4">
        <v>4.57</v>
      </c>
      <c r="N495" s="2">
        <v>1.51</v>
      </c>
    </row>
    <row r="496">
      <c r="A496" s="2" t="s">
        <v>521</v>
      </c>
      <c r="B496" s="3" t="str">
        <f>HYPERLINK("https://www.suredividend.com/sure-analysis-research-database/","Energy Recovery Inc")</f>
        <v>Energy Recovery Inc</v>
      </c>
      <c r="C496" s="2" t="s">
        <v>17</v>
      </c>
      <c r="D496" s="4">
        <v>14.53</v>
      </c>
      <c r="E496" s="5">
        <v>0.0</v>
      </c>
      <c r="F496" s="5" t="s">
        <v>15</v>
      </c>
      <c r="G496" s="5" t="s">
        <v>15</v>
      </c>
      <c r="H496" s="4">
        <v>0.0</v>
      </c>
      <c r="I496" s="4">
        <v>918.416411</v>
      </c>
      <c r="J496" s="6">
        <v>59.5446324721213</v>
      </c>
      <c r="K496" s="5">
        <v>0.0</v>
      </c>
      <c r="L496" s="7">
        <v>1.57914571890594</v>
      </c>
      <c r="M496" s="4">
        <v>30.76</v>
      </c>
      <c r="N496" s="2">
        <v>14.04</v>
      </c>
    </row>
    <row r="497">
      <c r="A497" s="2" t="s">
        <v>522</v>
      </c>
      <c r="B497" s="3" t="str">
        <f>HYPERLINK("https://www.suredividend.com/sure-analysis-research-database/","Esco Technologies, Inc.")</f>
        <v>Esco Technologies, Inc.</v>
      </c>
      <c r="C497" s="2" t="s">
        <v>40</v>
      </c>
      <c r="D497" s="4">
        <v>102.25</v>
      </c>
      <c r="E497" s="5">
        <v>0.003046598974484</v>
      </c>
      <c r="F497" s="5">
        <v>0.0</v>
      </c>
      <c r="G497" s="5">
        <v>0.0</v>
      </c>
      <c r="H497" s="4">
        <v>0.319649164402909</v>
      </c>
      <c r="I497" s="4">
        <v>2707.478646</v>
      </c>
      <c r="J497" s="6">
        <v>29.2558068641201</v>
      </c>
      <c r="K497" s="5">
        <v>0.089287476090198</v>
      </c>
      <c r="L497" s="7">
        <v>0.981381089918715</v>
      </c>
      <c r="M497" s="4">
        <v>118.52</v>
      </c>
      <c r="N497" s="2">
        <v>85.24</v>
      </c>
    </row>
    <row r="498">
      <c r="A498" s="2" t="s">
        <v>523</v>
      </c>
      <c r="B498" s="3" t="str">
        <f>HYPERLINK("https://www.suredividend.com/sure-analysis-research-database/","Enstar Group Limited")</f>
        <v>Enstar Group Limited</v>
      </c>
      <c r="C498" s="2" t="s">
        <v>22</v>
      </c>
      <c r="D498" s="4">
        <v>270.1</v>
      </c>
      <c r="E498" s="5">
        <v>0.0</v>
      </c>
      <c r="F498" s="5" t="s">
        <v>15</v>
      </c>
      <c r="G498" s="5" t="s">
        <v>15</v>
      </c>
      <c r="H498" s="4">
        <v>0.0</v>
      </c>
      <c r="I498" s="4">
        <v>4362.696128</v>
      </c>
      <c r="J498" s="6">
        <v>5.48077403015075</v>
      </c>
      <c r="K498" s="5">
        <v>0.0</v>
      </c>
      <c r="L498" s="7">
        <v>0.760026278684883</v>
      </c>
      <c r="M498" s="4">
        <v>300.98</v>
      </c>
      <c r="N498" s="2">
        <v>217.52</v>
      </c>
    </row>
    <row r="499">
      <c r="A499" s="2" t="s">
        <v>524</v>
      </c>
      <c r="B499" s="3" t="str">
        <f>HYPERLINK("https://www.suredividend.com/sure-analysis-research-database/","Engagesmart Inc")</f>
        <v>Engagesmart Inc</v>
      </c>
      <c r="C499" s="2" t="s">
        <v>15</v>
      </c>
      <c r="D499" s="4">
        <v>23.05</v>
      </c>
      <c r="E499" s="5">
        <v>0.0</v>
      </c>
      <c r="F499" s="5" t="s">
        <v>15</v>
      </c>
      <c r="G499" s="5" t="s">
        <v>15</v>
      </c>
      <c r="H499" s="4">
        <v>0.0</v>
      </c>
      <c r="I499" s="4">
        <v>3880.115319</v>
      </c>
      <c r="J499" s="6">
        <v>155.971994977288</v>
      </c>
      <c r="K499" s="5">
        <v>0.0</v>
      </c>
      <c r="L499" s="7">
        <v>0.87155827778486</v>
      </c>
      <c r="M499" s="4">
        <v>23.15</v>
      </c>
      <c r="N499" s="2">
        <v>15.45</v>
      </c>
    </row>
    <row r="500">
      <c r="A500" s="2" t="s">
        <v>525</v>
      </c>
      <c r="B500" s="3" t="str">
        <f>HYPERLINK("https://www.suredividend.com/sure-analysis-research-database/","Essent Group Ltd")</f>
        <v>Essent Group Ltd</v>
      </c>
      <c r="C500" s="2" t="s">
        <v>22</v>
      </c>
      <c r="D500" s="4">
        <v>53.55</v>
      </c>
      <c r="E500" s="5">
        <v>0.017830489099422</v>
      </c>
      <c r="F500" s="5" t="s">
        <v>15</v>
      </c>
      <c r="G500" s="5" t="s">
        <v>15</v>
      </c>
      <c r="H500" s="4">
        <v>0.992266718382848</v>
      </c>
      <c r="I500" s="4">
        <v>5941.192553</v>
      </c>
      <c r="J500" s="6">
        <v>8.88887774725644</v>
      </c>
      <c r="K500" s="5">
        <v>0.159272346449895</v>
      </c>
      <c r="L500" s="7">
        <v>1.05478706671729</v>
      </c>
      <c r="M500" s="4">
        <v>55.99</v>
      </c>
      <c r="N500" s="2">
        <v>35.96</v>
      </c>
    </row>
    <row r="501">
      <c r="A501" s="2" t="s">
        <v>526</v>
      </c>
      <c r="B501" s="3" t="str">
        <f>HYPERLINK("https://www.suredividend.com/sure-analysis-research-database/","Esperion Therapeutics Inc.")</f>
        <v>Esperion Therapeutics Inc.</v>
      </c>
      <c r="C501" s="2" t="s">
        <v>30</v>
      </c>
      <c r="D501" s="4">
        <v>2.38</v>
      </c>
      <c r="E501" s="5">
        <v>0.0</v>
      </c>
      <c r="F501" s="5" t="s">
        <v>15</v>
      </c>
      <c r="G501" s="5" t="s">
        <v>15</v>
      </c>
      <c r="H501" s="4">
        <v>0.0</v>
      </c>
      <c r="I501" s="4">
        <v>246.767593</v>
      </c>
      <c r="J501" s="6" t="s">
        <v>15</v>
      </c>
      <c r="K501" s="5">
        <v>0.0</v>
      </c>
      <c r="L501" s="7">
        <v>1.30754764436528</v>
      </c>
      <c r="M501" s="4">
        <v>6.75</v>
      </c>
      <c r="N501" s="2">
        <v>0.7</v>
      </c>
    </row>
    <row r="502">
      <c r="A502" s="2" t="s">
        <v>527</v>
      </c>
      <c r="B502" s="3" t="str">
        <f>HYPERLINK("https://www.suredividend.com/sure-analysis-research-database/","Esquire Financial Holdings Inc")</f>
        <v>Esquire Financial Holdings Inc</v>
      </c>
      <c r="C502" s="2" t="s">
        <v>22</v>
      </c>
      <c r="D502" s="4">
        <v>49.32</v>
      </c>
      <c r="E502" s="5">
        <v>0.008700779268199</v>
      </c>
      <c r="F502" s="5" t="s">
        <v>15</v>
      </c>
      <c r="G502" s="5" t="s">
        <v>15</v>
      </c>
      <c r="H502" s="4">
        <v>0.471669244129107</v>
      </c>
      <c r="I502" s="4">
        <v>444.748923</v>
      </c>
      <c r="J502" s="6">
        <v>11.0515846994508</v>
      </c>
      <c r="K502" s="5">
        <v>0.0974523231671708</v>
      </c>
      <c r="L502" s="7">
        <v>1.22873997244808</v>
      </c>
      <c r="M502" s="4">
        <v>54.8</v>
      </c>
      <c r="N502" s="2">
        <v>34.28</v>
      </c>
    </row>
    <row r="503">
      <c r="A503" s="2" t="s">
        <v>528</v>
      </c>
      <c r="B503" s="3" t="str">
        <f>HYPERLINK("https://www.suredividend.com/sure-analysis-ESRT/","Empire State Realty Trust Inc")</f>
        <v>Empire State Realty Trust Inc</v>
      </c>
      <c r="C503" s="2" t="s">
        <v>20</v>
      </c>
      <c r="D503" s="4">
        <v>9.37</v>
      </c>
      <c r="E503" s="5">
        <v>0.0149413020277481</v>
      </c>
      <c r="F503" s="5" t="s">
        <v>15</v>
      </c>
      <c r="G503" s="5" t="s">
        <v>15</v>
      </c>
      <c r="H503" s="4">
        <v>0.139169088476736</v>
      </c>
      <c r="I503" s="4">
        <v>1647.240044</v>
      </c>
      <c r="J503" s="6">
        <v>31.3169460331945</v>
      </c>
      <c r="K503" s="5">
        <v>0.703940761136752</v>
      </c>
      <c r="L503" s="7">
        <v>1.29547254612519</v>
      </c>
      <c r="M503" s="4">
        <v>10.32</v>
      </c>
      <c r="N503" s="2">
        <v>5.32</v>
      </c>
    </row>
    <row r="504">
      <c r="A504" s="2" t="s">
        <v>529</v>
      </c>
      <c r="B504" s="3" t="str">
        <f>HYPERLINK("https://www.suredividend.com/sure-analysis-research-database/","Earthstone Energy Inc")</f>
        <v>Earthstone Energy Inc</v>
      </c>
      <c r="C504" s="2" t="s">
        <v>125</v>
      </c>
      <c r="D504" s="4">
        <v>21.17</v>
      </c>
      <c r="E504" s="5">
        <v>0.0</v>
      </c>
      <c r="F504" s="5" t="s">
        <v>15</v>
      </c>
      <c r="G504" s="5" t="s">
        <v>15</v>
      </c>
      <c r="H504" s="4">
        <v>0.0</v>
      </c>
      <c r="I504" s="4">
        <v>2251.0061</v>
      </c>
      <c r="J504" s="6">
        <v>0.0</v>
      </c>
      <c r="K504" s="5" t="s">
        <v>15</v>
      </c>
      <c r="L504" s="7">
        <v>1.35876725051854</v>
      </c>
      <c r="M504" s="4">
        <v>22.45</v>
      </c>
      <c r="N504" s="2">
        <v>11.32</v>
      </c>
    </row>
    <row r="505">
      <c r="A505" s="2" t="s">
        <v>530</v>
      </c>
      <c r="B505" s="3" t="str">
        <f>HYPERLINK("https://www.suredividend.com/sure-analysis-ETD/","Ethan Allen Interiors, Inc.")</f>
        <v>Ethan Allen Interiors, Inc.</v>
      </c>
      <c r="C505" s="2" t="s">
        <v>15</v>
      </c>
      <c r="D505" s="4">
        <v>29.34</v>
      </c>
      <c r="E505" s="5">
        <v>0.0490797546012269</v>
      </c>
      <c r="F505" s="5">
        <v>0.0</v>
      </c>
      <c r="G505" s="5">
        <v>0.113824178602879</v>
      </c>
      <c r="H505" s="4">
        <v>1.37489249630638</v>
      </c>
      <c r="I505" s="4">
        <v>782.053284</v>
      </c>
      <c r="J505" s="6">
        <v>9.76212110359376</v>
      </c>
      <c r="K505" s="5">
        <v>0.439262778372646</v>
      </c>
      <c r="L505" s="7">
        <v>1.01517024255773</v>
      </c>
      <c r="M505" s="4">
        <v>35.33</v>
      </c>
      <c r="N505" s="2">
        <v>24.17</v>
      </c>
    </row>
    <row r="506">
      <c r="A506" s="2" t="s">
        <v>531</v>
      </c>
      <c r="B506" s="3" t="str">
        <f>HYPERLINK("https://www.suredividend.com/sure-analysis-research-database/","Equitrans Midstream Corporation")</f>
        <v>Equitrans Midstream Corporation</v>
      </c>
      <c r="C506" s="2" t="s">
        <v>125</v>
      </c>
      <c r="D506" s="4">
        <v>10.03</v>
      </c>
      <c r="E506" s="5">
        <v>0.055572817986321</v>
      </c>
      <c r="F506" s="5">
        <v>0.0</v>
      </c>
      <c r="G506" s="5">
        <v>-0.197258438239769</v>
      </c>
      <c r="H506" s="4">
        <v>0.583514588856373</v>
      </c>
      <c r="I506" s="4">
        <v>4549.2405</v>
      </c>
      <c r="J506" s="6">
        <v>14.9625397149078</v>
      </c>
      <c r="K506" s="5">
        <v>0.835262795385589</v>
      </c>
      <c r="L506" s="7">
        <v>1.11237593778529</v>
      </c>
      <c r="M506" s="4">
        <v>11.0</v>
      </c>
      <c r="N506" s="2">
        <v>4.32</v>
      </c>
    </row>
    <row r="507">
      <c r="A507" s="2" t="s">
        <v>532</v>
      </c>
      <c r="B507" s="3" t="str">
        <f>HYPERLINK("https://www.suredividend.com/sure-analysis-research-database/","E2open Parent Holdings Inc")</f>
        <v>E2open Parent Holdings Inc</v>
      </c>
      <c r="C507" s="2" t="s">
        <v>15</v>
      </c>
      <c r="D507" s="4">
        <v>3.66</v>
      </c>
      <c r="E507" s="5">
        <v>0.0</v>
      </c>
      <c r="F507" s="5" t="s">
        <v>15</v>
      </c>
      <c r="G507" s="5" t="s">
        <v>15</v>
      </c>
      <c r="H507" s="4">
        <v>0.0</v>
      </c>
      <c r="I507" s="4">
        <v>1230.11727</v>
      </c>
      <c r="J507" s="6" t="s">
        <v>15</v>
      </c>
      <c r="K507" s="5">
        <v>0.0</v>
      </c>
      <c r="L507" s="7">
        <v>1.72704135651451</v>
      </c>
      <c r="M507" s="4">
        <v>7.21</v>
      </c>
      <c r="N507" s="2">
        <v>2.15</v>
      </c>
    </row>
    <row r="508">
      <c r="A508" s="2" t="s">
        <v>533</v>
      </c>
      <c r="B508" s="3" t="str">
        <f>HYPERLINK("https://www.suredividend.com/sure-analysis-research-database/","Everbridge Inc")</f>
        <v>Everbridge Inc</v>
      </c>
      <c r="C508" s="2" t="s">
        <v>40</v>
      </c>
      <c r="D508" s="4">
        <v>28.17</v>
      </c>
      <c r="E508" s="5">
        <v>0.0</v>
      </c>
      <c r="F508" s="5" t="s">
        <v>15</v>
      </c>
      <c r="G508" s="5" t="s">
        <v>15</v>
      </c>
      <c r="H508" s="4">
        <v>0.0</v>
      </c>
      <c r="I508" s="4">
        <v>941.713729</v>
      </c>
      <c r="J508" s="6" t="s">
        <v>15</v>
      </c>
      <c r="K508" s="5">
        <v>0.0</v>
      </c>
      <c r="L508" s="7">
        <v>1.94855274586979</v>
      </c>
      <c r="M508" s="4">
        <v>35.55</v>
      </c>
      <c r="N508" s="2">
        <v>18.5</v>
      </c>
    </row>
    <row r="509">
      <c r="A509" s="2" t="s">
        <v>534</v>
      </c>
      <c r="B509" s="3" t="str">
        <f>HYPERLINK("https://www.suredividend.com/sure-analysis-research-database/","Entravision Communications Corp.")</f>
        <v>Entravision Communications Corp.</v>
      </c>
      <c r="C509" s="2" t="s">
        <v>114</v>
      </c>
      <c r="D509" s="4">
        <v>3.81</v>
      </c>
      <c r="E509" s="5">
        <v>0.045241795987892</v>
      </c>
      <c r="F509" s="5">
        <v>1.0</v>
      </c>
      <c r="G509" s="5">
        <v>0.0</v>
      </c>
      <c r="H509" s="4">
        <v>0.196349394587452</v>
      </c>
      <c r="I509" s="4">
        <v>341.315012</v>
      </c>
      <c r="J509" s="6">
        <v>298.613308906386</v>
      </c>
      <c r="K509" s="5">
        <v>15.2208833013528</v>
      </c>
      <c r="L509" s="7">
        <v>1.61893187957382</v>
      </c>
      <c r="M509" s="4">
        <v>7.01</v>
      </c>
      <c r="N509" s="2">
        <v>3.31</v>
      </c>
    </row>
    <row r="510">
      <c r="A510" s="2" t="s">
        <v>535</v>
      </c>
      <c r="B510" s="3" t="str">
        <f>HYPERLINK("https://www.suredividend.com/sure-analysis-research-database/","EverCommerce Inc")</f>
        <v>EverCommerce Inc</v>
      </c>
      <c r="C510" s="2" t="s">
        <v>15</v>
      </c>
      <c r="D510" s="4">
        <v>9.69</v>
      </c>
      <c r="E510" s="5">
        <v>0.0</v>
      </c>
      <c r="F510" s="5" t="s">
        <v>15</v>
      </c>
      <c r="G510" s="5" t="s">
        <v>15</v>
      </c>
      <c r="H510" s="4">
        <v>0.0</v>
      </c>
      <c r="I510" s="4">
        <v>1951.158</v>
      </c>
      <c r="J510" s="6" t="s">
        <v>15</v>
      </c>
      <c r="K510" s="5">
        <v>0.0</v>
      </c>
      <c r="L510" s="7">
        <v>1.37904152890513</v>
      </c>
      <c r="M510" s="4">
        <v>13.47</v>
      </c>
      <c r="N510" s="2">
        <v>7.63</v>
      </c>
    </row>
    <row r="511">
      <c r="A511" s="2" t="s">
        <v>536</v>
      </c>
      <c r="B511" s="3" t="str">
        <f>HYPERLINK("https://www.suredividend.com/sure-analysis-research-database/","EverQuote Inc")</f>
        <v>EverQuote Inc</v>
      </c>
      <c r="C511" s="2" t="s">
        <v>114</v>
      </c>
      <c r="D511" s="4">
        <v>13.15</v>
      </c>
      <c r="E511" s="5">
        <v>0.0</v>
      </c>
      <c r="F511" s="5" t="s">
        <v>15</v>
      </c>
      <c r="G511" s="5" t="s">
        <v>15</v>
      </c>
      <c r="H511" s="4">
        <v>0.0</v>
      </c>
      <c r="I511" s="4">
        <v>371.583543</v>
      </c>
      <c r="J511" s="6" t="s">
        <v>15</v>
      </c>
      <c r="K511" s="5">
        <v>0.0</v>
      </c>
      <c r="L511" s="7">
        <v>1.48634915650817</v>
      </c>
      <c r="M511" s="4">
        <v>17.92</v>
      </c>
      <c r="N511" s="2">
        <v>5.36</v>
      </c>
    </row>
    <row r="512">
      <c r="A512" s="2" t="s">
        <v>537</v>
      </c>
      <c r="B512" s="3" t="str">
        <f>HYPERLINK("https://www.suredividend.com/sure-analysis-research-database/","EVgo Inc")</f>
        <v>EVgo Inc</v>
      </c>
      <c r="C512" s="2" t="s">
        <v>15</v>
      </c>
      <c r="D512" s="4">
        <v>1.96</v>
      </c>
      <c r="E512" s="5">
        <v>0.0</v>
      </c>
      <c r="F512" s="5" t="s">
        <v>15</v>
      </c>
      <c r="G512" s="5" t="s">
        <v>15</v>
      </c>
      <c r="H512" s="4">
        <v>0.0</v>
      </c>
      <c r="I512" s="4">
        <v>266.133518</v>
      </c>
      <c r="J512" s="6" t="s">
        <v>15</v>
      </c>
      <c r="K512" s="5">
        <v>0.0</v>
      </c>
      <c r="L512" s="7">
        <v>2.06708669975127</v>
      </c>
      <c r="M512" s="4">
        <v>8.16</v>
      </c>
      <c r="N512" s="2">
        <v>1.88</v>
      </c>
    </row>
    <row r="513">
      <c r="A513" s="2" t="s">
        <v>538</v>
      </c>
      <c r="B513" s="3" t="str">
        <f>HYPERLINK("https://www.suredividend.com/sure-analysis-research-database/","Evolent Health Inc")</f>
        <v>Evolent Health Inc</v>
      </c>
      <c r="C513" s="2" t="s">
        <v>30</v>
      </c>
      <c r="D513" s="4">
        <v>29.43</v>
      </c>
      <c r="E513" s="5">
        <v>0.0</v>
      </c>
      <c r="F513" s="5" t="s">
        <v>15</v>
      </c>
      <c r="G513" s="5" t="s">
        <v>15</v>
      </c>
      <c r="H513" s="4">
        <v>0.0</v>
      </c>
      <c r="I513" s="4">
        <v>3502.821724</v>
      </c>
      <c r="J513" s="6" t="s">
        <v>15</v>
      </c>
      <c r="K513" s="5">
        <v>0.0</v>
      </c>
      <c r="L513" s="7">
        <v>1.24814334451436</v>
      </c>
      <c r="M513" s="4">
        <v>36.7</v>
      </c>
      <c r="N513" s="2">
        <v>23.33</v>
      </c>
    </row>
    <row r="514">
      <c r="A514" s="2" t="s">
        <v>539</v>
      </c>
      <c r="B514" s="3" t="str">
        <f>HYPERLINK("https://www.suredividend.com/sure-analysis-research-database/","Evolv Technologies Holdings Inc")</f>
        <v>Evolv Technologies Holdings Inc</v>
      </c>
      <c r="C514" s="2" t="s">
        <v>15</v>
      </c>
      <c r="D514" s="4">
        <v>4.38</v>
      </c>
      <c r="E514" s="5">
        <v>0.0</v>
      </c>
      <c r="F514" s="5" t="s">
        <v>15</v>
      </c>
      <c r="G514" s="5" t="s">
        <v>15</v>
      </c>
      <c r="H514" s="4">
        <v>0.0</v>
      </c>
      <c r="I514" s="4">
        <v>717.889455</v>
      </c>
      <c r="J514" s="6" t="s">
        <v>15</v>
      </c>
      <c r="K514" s="5">
        <v>0.0</v>
      </c>
      <c r="L514" s="7">
        <v>2.0704255045256</v>
      </c>
      <c r="M514" s="4">
        <v>8.3</v>
      </c>
      <c r="N514" s="2">
        <v>2.41</v>
      </c>
    </row>
    <row r="515">
      <c r="A515" s="2" t="s">
        <v>540</v>
      </c>
      <c r="B515" s="3" t="str">
        <f>HYPERLINK("https://www.suredividend.com/sure-analysis-research-database/","Everi Holdings Inc")</f>
        <v>Everi Holdings Inc</v>
      </c>
      <c r="C515" s="2" t="s">
        <v>25</v>
      </c>
      <c r="D515" s="4">
        <v>10.14</v>
      </c>
      <c r="E515" s="5">
        <v>0.0</v>
      </c>
      <c r="F515" s="5" t="s">
        <v>15</v>
      </c>
      <c r="G515" s="5" t="s">
        <v>15</v>
      </c>
      <c r="H515" s="4">
        <v>0.0</v>
      </c>
      <c r="I515" s="4">
        <v>933.531224</v>
      </c>
      <c r="J515" s="6">
        <v>8.55336372936174</v>
      </c>
      <c r="K515" s="5">
        <v>0.0</v>
      </c>
      <c r="L515" s="7">
        <v>1.50947679679435</v>
      </c>
      <c r="M515" s="4">
        <v>19.85</v>
      </c>
      <c r="N515" s="2">
        <v>9.94</v>
      </c>
    </row>
    <row r="516">
      <c r="A516" s="2" t="s">
        <v>541</v>
      </c>
      <c r="B516" s="3" t="str">
        <f>HYPERLINK("https://www.suredividend.com/sure-analysis-research-database/","Evertec Inc")</f>
        <v>Evertec Inc</v>
      </c>
      <c r="C516" s="2" t="s">
        <v>40</v>
      </c>
      <c r="D516" s="4">
        <v>40.09</v>
      </c>
      <c r="E516" s="5">
        <v>0.004845442781285</v>
      </c>
      <c r="F516" s="5" t="s">
        <v>15</v>
      </c>
      <c r="G516" s="5" t="s">
        <v>15</v>
      </c>
      <c r="H516" s="4">
        <v>0.199583788161152</v>
      </c>
      <c r="I516" s="4">
        <v>2662.147677</v>
      </c>
      <c r="J516" s="6">
        <v>27.4586923000278</v>
      </c>
      <c r="K516" s="5">
        <v>0.134853910919697</v>
      </c>
      <c r="L516" s="7">
        <v>1.03979886441464</v>
      </c>
      <c r="M516" s="4">
        <v>41.92</v>
      </c>
      <c r="N516" s="2">
        <v>31.42</v>
      </c>
    </row>
    <row r="517">
      <c r="A517" s="2" t="s">
        <v>542</v>
      </c>
      <c r="B517" s="3" t="str">
        <f>HYPERLINK("https://www.suredividend.com/sure-analysis-research-database/","European Wax Center Inc")</f>
        <v>European Wax Center Inc</v>
      </c>
      <c r="C517" s="2" t="s">
        <v>15</v>
      </c>
      <c r="D517" s="4">
        <v>14.745</v>
      </c>
      <c r="E517" s="5">
        <v>0.0</v>
      </c>
      <c r="F517" s="5" t="s">
        <v>15</v>
      </c>
      <c r="G517" s="5" t="s">
        <v>15</v>
      </c>
      <c r="H517" s="4">
        <v>0.0</v>
      </c>
      <c r="I517" s="4">
        <v>775.092001</v>
      </c>
      <c r="J517" s="6">
        <v>105.497754296992</v>
      </c>
      <c r="K517" s="5">
        <v>0.0</v>
      </c>
      <c r="L517" s="7">
        <v>1.52654603735755</v>
      </c>
      <c r="M517" s="4">
        <v>20.7</v>
      </c>
      <c r="N517" s="2">
        <v>11.97</v>
      </c>
    </row>
    <row r="518">
      <c r="A518" s="2" t="s">
        <v>543</v>
      </c>
      <c r="B518" s="3" t="str">
        <f>HYPERLINK("https://www.suredividend.com/sure-analysis-research-database/","Edgewise Therapeutics Inc")</f>
        <v>Edgewise Therapeutics Inc</v>
      </c>
      <c r="C518" s="2" t="s">
        <v>15</v>
      </c>
      <c r="D518" s="4">
        <v>18.76</v>
      </c>
      <c r="E518" s="5">
        <v>0.0</v>
      </c>
      <c r="F518" s="5" t="s">
        <v>15</v>
      </c>
      <c r="G518" s="5" t="s">
        <v>15</v>
      </c>
      <c r="H518" s="4">
        <v>0.0</v>
      </c>
      <c r="I518" s="4">
        <v>1113.116604</v>
      </c>
      <c r="J518" s="6">
        <v>0.0</v>
      </c>
      <c r="K518" s="5" t="s">
        <v>15</v>
      </c>
      <c r="L518" s="7">
        <v>1.50483287532718</v>
      </c>
      <c r="M518" s="4">
        <v>17.57</v>
      </c>
      <c r="N518" s="2">
        <v>5.12</v>
      </c>
    </row>
    <row r="519">
      <c r="A519" s="2" t="s">
        <v>544</v>
      </c>
      <c r="B519" s="3" t="str">
        <f>HYPERLINK("https://www.suredividend.com/sure-analysis-research-database/","ExlService Holdings Inc")</f>
        <v>ExlService Holdings Inc</v>
      </c>
      <c r="C519" s="2" t="s">
        <v>40</v>
      </c>
      <c r="D519" s="4">
        <v>30.59</v>
      </c>
      <c r="E519" s="5">
        <v>0.0</v>
      </c>
      <c r="F519" s="5" t="s">
        <v>15</v>
      </c>
      <c r="G519" s="5" t="s">
        <v>15</v>
      </c>
      <c r="H519" s="4">
        <v>0.0</v>
      </c>
      <c r="I519" s="4">
        <v>5373.183749</v>
      </c>
      <c r="J519" s="6">
        <v>30.50795887477</v>
      </c>
      <c r="K519" s="5">
        <v>0.0</v>
      </c>
      <c r="L519" s="7">
        <v>1.0513028671192</v>
      </c>
      <c r="M519" s="4">
        <v>35.94</v>
      </c>
      <c r="N519" s="2">
        <v>25.17</v>
      </c>
    </row>
    <row r="520">
      <c r="A520" s="2" t="s">
        <v>545</v>
      </c>
      <c r="B520" s="3" t="str">
        <f>HYPERLINK("https://www.suredividend.com/sure-analysis-research-database/","eXp World Holdings Inc")</f>
        <v>eXp World Holdings Inc</v>
      </c>
      <c r="C520" s="2" t="s">
        <v>20</v>
      </c>
      <c r="D520" s="4">
        <v>12.07</v>
      </c>
      <c r="E520" s="5">
        <v>0.014208289868872</v>
      </c>
      <c r="F520" s="5" t="s">
        <v>15</v>
      </c>
      <c r="G520" s="5" t="s">
        <v>15</v>
      </c>
      <c r="H520" s="4">
        <v>0.188544006559932</v>
      </c>
      <c r="I520" s="4">
        <v>2040.910275</v>
      </c>
      <c r="J520" s="6">
        <v>406.313015140354</v>
      </c>
      <c r="K520" s="5">
        <v>5.87364506417233</v>
      </c>
      <c r="L520" s="7">
        <v>2.08916990349685</v>
      </c>
      <c r="M520" s="4">
        <v>25.13</v>
      </c>
      <c r="N520" s="2">
        <v>10.47</v>
      </c>
    </row>
    <row r="521">
      <c r="A521" s="2" t="s">
        <v>546</v>
      </c>
      <c r="B521" s="3" t="str">
        <f>HYPERLINK("https://www.suredividend.com/sure-analysis-EXPO/","Exponent Inc.")</f>
        <v>Exponent Inc.</v>
      </c>
      <c r="C521" s="2" t="s">
        <v>17</v>
      </c>
      <c r="D521" s="4">
        <v>77.76</v>
      </c>
      <c r="E521" s="5">
        <v>0.0133744855967078</v>
      </c>
      <c r="F521" s="5">
        <v>0.0833333333333334</v>
      </c>
      <c r="G521" s="5">
        <v>0.10197228772148</v>
      </c>
      <c r="H521" s="4">
        <v>1.03138811686838</v>
      </c>
      <c r="I521" s="4">
        <v>4580.818</v>
      </c>
      <c r="J521" s="6">
        <v>44.9390586065493</v>
      </c>
      <c r="K521" s="5">
        <v>0.523547267445878</v>
      </c>
      <c r="L521" s="7">
        <v>0.995627626792262</v>
      </c>
      <c r="M521" s="4">
        <v>110.81</v>
      </c>
      <c r="N521" s="2">
        <v>64.2</v>
      </c>
    </row>
    <row r="522">
      <c r="A522" s="2" t="s">
        <v>547</v>
      </c>
      <c r="B522" s="3" t="str">
        <f>HYPERLINK("https://www.suredividend.com/sure-analysis-research-database/","Express Inc.")</f>
        <v>Express Inc.</v>
      </c>
      <c r="C522" s="2" t="s">
        <v>25</v>
      </c>
      <c r="D522" s="4">
        <v>4.05</v>
      </c>
      <c r="E522" s="5">
        <v>0.0</v>
      </c>
      <c r="F522" s="5" t="s">
        <v>15</v>
      </c>
      <c r="G522" s="5" t="s">
        <v>15</v>
      </c>
      <c r="H522" s="4">
        <v>0.0</v>
      </c>
      <c r="I522" s="4">
        <v>26.748282</v>
      </c>
      <c r="J522" s="6">
        <v>0.149543692596692</v>
      </c>
      <c r="K522" s="5">
        <v>0.0</v>
      </c>
      <c r="L522" s="7">
        <v>1.26857170875142</v>
      </c>
      <c r="M522" s="4">
        <v>29.4</v>
      </c>
      <c r="N522" s="2">
        <v>7.0</v>
      </c>
    </row>
    <row r="523">
      <c r="A523" s="2" t="s">
        <v>548</v>
      </c>
      <c r="B523" s="3" t="str">
        <f>HYPERLINK("https://www.suredividend.com/sure-analysis-research-database/","Extreme Networks Inc.")</f>
        <v>Extreme Networks Inc.</v>
      </c>
      <c r="C523" s="2" t="s">
        <v>40</v>
      </c>
      <c r="D523" s="4">
        <v>12.33</v>
      </c>
      <c r="E523" s="5">
        <v>0.0</v>
      </c>
      <c r="F523" s="5" t="s">
        <v>15</v>
      </c>
      <c r="G523" s="5" t="s">
        <v>15</v>
      </c>
      <c r="H523" s="4">
        <v>0.0</v>
      </c>
      <c r="I523" s="4">
        <v>2212.508061</v>
      </c>
      <c r="J523" s="6">
        <v>23.4960766848616</v>
      </c>
      <c r="K523" s="5">
        <v>0.0</v>
      </c>
      <c r="L523" s="7">
        <v>1.11976935059433</v>
      </c>
      <c r="M523" s="4">
        <v>32.73</v>
      </c>
      <c r="N523" s="2">
        <v>14.67</v>
      </c>
    </row>
    <row r="524">
      <c r="A524" s="2" t="s">
        <v>549</v>
      </c>
      <c r="B524" s="3" t="str">
        <f>HYPERLINK("https://www.suredividend.com/sure-analysis-research-database/","National Vision Holdings Inc")</f>
        <v>National Vision Holdings Inc</v>
      </c>
      <c r="C524" s="2" t="s">
        <v>25</v>
      </c>
      <c r="D524" s="4">
        <v>19.83</v>
      </c>
      <c r="E524" s="5">
        <v>0.0</v>
      </c>
      <c r="F524" s="5" t="s">
        <v>15</v>
      </c>
      <c r="G524" s="5" t="s">
        <v>15</v>
      </c>
      <c r="H524" s="4">
        <v>0.0</v>
      </c>
      <c r="I524" s="4">
        <v>1536.743957</v>
      </c>
      <c r="J524" s="6" t="s">
        <v>15</v>
      </c>
      <c r="K524" s="5">
        <v>0.0</v>
      </c>
      <c r="L524" s="7">
        <v>1.62488950821777</v>
      </c>
      <c r="M524" s="4">
        <v>43.82</v>
      </c>
      <c r="N524" s="2">
        <v>13.71</v>
      </c>
    </row>
    <row r="525">
      <c r="A525" s="2" t="s">
        <v>550</v>
      </c>
      <c r="B525" s="3" t="str">
        <f>HYPERLINK("https://www.suredividend.com/sure-analysis-research-database/","EyePoint Pharmaceuticals Inc")</f>
        <v>EyePoint Pharmaceuticals Inc</v>
      </c>
      <c r="C525" s="2" t="s">
        <v>30</v>
      </c>
      <c r="D525" s="4">
        <v>27.79</v>
      </c>
      <c r="E525" s="5">
        <v>0.0</v>
      </c>
      <c r="F525" s="5" t="s">
        <v>15</v>
      </c>
      <c r="G525" s="5" t="s">
        <v>15</v>
      </c>
      <c r="H525" s="4">
        <v>0.0</v>
      </c>
      <c r="I525" s="4">
        <v>1304.485497</v>
      </c>
      <c r="J525" s="6">
        <v>0.0</v>
      </c>
      <c r="K525" s="5" t="s">
        <v>15</v>
      </c>
      <c r="L525" s="7">
        <v>1.1051303604881</v>
      </c>
      <c r="M525" s="4">
        <v>27.23</v>
      </c>
      <c r="N525" s="2">
        <v>2.21</v>
      </c>
    </row>
    <row r="526">
      <c r="A526" s="2" t="s">
        <v>551</v>
      </c>
      <c r="B526" s="3" t="str">
        <f>HYPERLINK("https://www.suredividend.com/sure-analysis-research-database/","EZCorp, Inc.")</f>
        <v>EZCorp, Inc.</v>
      </c>
      <c r="C526" s="2" t="s">
        <v>22</v>
      </c>
      <c r="D526" s="4">
        <v>10.31</v>
      </c>
      <c r="E526" s="5">
        <v>0.0</v>
      </c>
      <c r="F526" s="5" t="s">
        <v>15</v>
      </c>
      <c r="G526" s="5" t="s">
        <v>15</v>
      </c>
      <c r="H526" s="4">
        <v>0.0</v>
      </c>
      <c r="I526" s="4">
        <v>454.337712</v>
      </c>
      <c r="J526" s="6">
        <v>11.8123316371577</v>
      </c>
      <c r="K526" s="5">
        <v>0.0</v>
      </c>
      <c r="L526" s="7">
        <v>0.59143437554361</v>
      </c>
      <c r="M526" s="4">
        <v>9.73</v>
      </c>
      <c r="N526" s="2">
        <v>7.7</v>
      </c>
    </row>
    <row r="527">
      <c r="A527" s="2" t="s">
        <v>552</v>
      </c>
      <c r="B527" s="3" t="str">
        <f>HYPERLINK("https://www.suredividend.com/sure-analysis-research-database/","First Advantage Corp.")</f>
        <v>First Advantage Corp.</v>
      </c>
      <c r="C527" s="2" t="s">
        <v>15</v>
      </c>
      <c r="D527" s="4">
        <v>16.59</v>
      </c>
      <c r="E527" s="5">
        <v>0.0</v>
      </c>
      <c r="F527" s="5" t="s">
        <v>15</v>
      </c>
      <c r="G527" s="5" t="s">
        <v>15</v>
      </c>
      <c r="H527" s="4">
        <v>0.0</v>
      </c>
      <c r="I527" s="4">
        <v>2420.601717</v>
      </c>
      <c r="J527" s="6">
        <v>56.7869778248017</v>
      </c>
      <c r="K527" s="5">
        <v>0.0</v>
      </c>
      <c r="L527" s="7">
        <v>1.05964480771577</v>
      </c>
      <c r="M527" s="4">
        <v>16.77</v>
      </c>
      <c r="N527" s="2">
        <v>10.9</v>
      </c>
    </row>
    <row r="528">
      <c r="A528" s="2" t="s">
        <v>553</v>
      </c>
      <c r="B528" s="3" t="str">
        <f>HYPERLINK("https://www.suredividend.com/sure-analysis-research-database/","Faro Technologies Inc.")</f>
        <v>Faro Technologies Inc.</v>
      </c>
      <c r="C528" s="2" t="s">
        <v>40</v>
      </c>
      <c r="D528" s="4">
        <v>22.29</v>
      </c>
      <c r="E528" s="5">
        <v>0.0</v>
      </c>
      <c r="F528" s="5" t="s">
        <v>15</v>
      </c>
      <c r="G528" s="5" t="s">
        <v>15</v>
      </c>
      <c r="H528" s="4">
        <v>0.0</v>
      </c>
      <c r="I528" s="4">
        <v>448.647263</v>
      </c>
      <c r="J528" s="6" t="s">
        <v>15</v>
      </c>
      <c r="K528" s="5">
        <v>0.0</v>
      </c>
      <c r="L528" s="7">
        <v>2.0086352580317</v>
      </c>
      <c r="M528" s="4">
        <v>30.58</v>
      </c>
      <c r="N528" s="2">
        <v>10.3</v>
      </c>
    </row>
    <row r="529">
      <c r="A529" s="2" t="s">
        <v>554</v>
      </c>
      <c r="B529" s="3" t="str">
        <f>HYPERLINK("https://www.suredividend.com/sure-analysis-research-database/","Fate Therapeutics Inc")</f>
        <v>Fate Therapeutics Inc</v>
      </c>
      <c r="C529" s="2" t="s">
        <v>30</v>
      </c>
      <c r="D529" s="4">
        <v>6.36</v>
      </c>
      <c r="E529" s="5">
        <v>0.0</v>
      </c>
      <c r="F529" s="5" t="s">
        <v>15</v>
      </c>
      <c r="G529" s="5" t="s">
        <v>15</v>
      </c>
      <c r="H529" s="4">
        <v>0.0</v>
      </c>
      <c r="I529" s="4">
        <v>564.003246</v>
      </c>
      <c r="J529" s="6" t="s">
        <v>15</v>
      </c>
      <c r="K529" s="5">
        <v>0.0</v>
      </c>
      <c r="L529" s="7">
        <v>2.90556245844742</v>
      </c>
      <c r="M529" s="4">
        <v>7.08</v>
      </c>
      <c r="N529" s="2">
        <v>1.63</v>
      </c>
    </row>
    <row r="530">
      <c r="A530" s="2" t="s">
        <v>555</v>
      </c>
      <c r="B530" s="3" t="str">
        <f>HYPERLINK("https://www.suredividend.com/sure-analysis-research-database/","First Business Financial Services Inc")</f>
        <v>First Business Financial Services Inc</v>
      </c>
      <c r="C530" s="2" t="s">
        <v>22</v>
      </c>
      <c r="D530" s="4">
        <v>34.52</v>
      </c>
      <c r="E530" s="5">
        <v>0.02295093341433</v>
      </c>
      <c r="F530" s="5" t="s">
        <v>15</v>
      </c>
      <c r="G530" s="5" t="s">
        <v>15</v>
      </c>
      <c r="H530" s="4">
        <v>0.890037197807726</v>
      </c>
      <c r="I530" s="4">
        <v>322.451861</v>
      </c>
      <c r="J530" s="6">
        <v>9.06221855938396</v>
      </c>
      <c r="K530" s="5">
        <v>0.203669839315269</v>
      </c>
      <c r="L530" s="7">
        <v>1.0360627782065</v>
      </c>
      <c r="M530" s="4">
        <v>41.03</v>
      </c>
      <c r="N530" s="2">
        <v>23.87</v>
      </c>
    </row>
    <row r="531">
      <c r="A531" s="2" t="s">
        <v>556</v>
      </c>
      <c r="B531" s="3" t="str">
        <f>HYPERLINK("https://www.suredividend.com/sure-analysis-research-database/","FB Financial Corp")</f>
        <v>FB Financial Corp</v>
      </c>
      <c r="C531" s="2" t="s">
        <v>22</v>
      </c>
      <c r="D531" s="4">
        <v>35.95</v>
      </c>
      <c r="E531" s="5">
        <v>0.015129541302007</v>
      </c>
      <c r="F531" s="5" t="s">
        <v>15</v>
      </c>
      <c r="G531" s="5" t="s">
        <v>15</v>
      </c>
      <c r="H531" s="4">
        <v>0.595801336473067</v>
      </c>
      <c r="I531" s="4">
        <v>1844.693092</v>
      </c>
      <c r="J531" s="6">
        <v>14.3001681576458</v>
      </c>
      <c r="K531" s="5">
        <v>0.216655031444751</v>
      </c>
      <c r="L531" s="7">
        <v>1.62916780570255</v>
      </c>
      <c r="M531" s="4">
        <v>41.0</v>
      </c>
      <c r="N531" s="2">
        <v>23.99</v>
      </c>
    </row>
    <row r="532">
      <c r="A532" s="2" t="s">
        <v>557</v>
      </c>
      <c r="B532" s="3" t="str">
        <f>HYPERLINK("https://www.suredividend.com/sure-analysis-research-database/","First Bancshares Inc Miss")</f>
        <v>First Bancshares Inc Miss</v>
      </c>
      <c r="C532" s="2" t="s">
        <v>22</v>
      </c>
      <c r="D532" s="4">
        <v>24.59</v>
      </c>
      <c r="E532" s="5">
        <v>0.033027976688317</v>
      </c>
      <c r="F532" s="5">
        <v>0.19047619047619</v>
      </c>
      <c r="G532" s="5">
        <v>0.25594321575479</v>
      </c>
      <c r="H532" s="4">
        <v>0.878213900142362</v>
      </c>
      <c r="I532" s="4">
        <v>826.689269</v>
      </c>
      <c r="J532" s="6">
        <v>10.2434732959952</v>
      </c>
      <c r="K532" s="5">
        <v>0.324064169794229</v>
      </c>
      <c r="L532" s="7">
        <v>1.53850559771021</v>
      </c>
      <c r="M532" s="4">
        <v>31.39</v>
      </c>
      <c r="N532" s="2">
        <v>21.68</v>
      </c>
    </row>
    <row r="533">
      <c r="A533" s="2" t="s">
        <v>558</v>
      </c>
      <c r="B533" s="3" t="str">
        <f>HYPERLINK("https://www.suredividend.com/sure-analysis-research-database/","First Bancorp")</f>
        <v>First Bancorp</v>
      </c>
      <c r="C533" s="2" t="s">
        <v>22</v>
      </c>
      <c r="D533" s="4">
        <v>34.33</v>
      </c>
      <c r="E533" s="5">
        <v>0.023670199884495</v>
      </c>
      <c r="F533" s="5">
        <v>0.0</v>
      </c>
      <c r="G533" s="5">
        <v>0.128881320730197</v>
      </c>
      <c r="H533" s="4">
        <v>0.862542083791006</v>
      </c>
      <c r="I533" s="4">
        <v>1497.349408</v>
      </c>
      <c r="J533" s="6">
        <v>13.3485723651859</v>
      </c>
      <c r="K533" s="5">
        <v>0.305865987159931</v>
      </c>
      <c r="L533" s="7">
        <v>1.31960520036804</v>
      </c>
      <c r="M533" s="4">
        <v>41.44</v>
      </c>
      <c r="N533" s="2">
        <v>25.18</v>
      </c>
    </row>
    <row r="534">
      <c r="A534" s="2" t="s">
        <v>559</v>
      </c>
      <c r="B534" s="3" t="str">
        <f>HYPERLINK("https://www.suredividend.com/sure-analysis-research-database/","First Bancorp PR")</f>
        <v>First Bancorp PR</v>
      </c>
      <c r="C534" s="2" t="s">
        <v>22</v>
      </c>
      <c r="D534" s="4">
        <v>16.47</v>
      </c>
      <c r="E534" s="5">
        <v>0.031736142231892</v>
      </c>
      <c r="F534" s="5">
        <v>0.166666666666666</v>
      </c>
      <c r="G534" s="5">
        <v>0.360822107858738</v>
      </c>
      <c r="H534" s="4">
        <v>0.551574151990286</v>
      </c>
      <c r="I534" s="4">
        <v>2998.956993</v>
      </c>
      <c r="J534" s="6">
        <v>10.1128548492154</v>
      </c>
      <c r="K534" s="5">
        <v>0.336325702433101</v>
      </c>
      <c r="L534" s="7">
        <v>1.46126341657234</v>
      </c>
      <c r="M534" s="4">
        <v>17.45</v>
      </c>
      <c r="N534" s="2">
        <v>9.86</v>
      </c>
    </row>
    <row r="535">
      <c r="A535" s="2" t="s">
        <v>560</v>
      </c>
      <c r="B535" s="3" t="str">
        <f>HYPERLINK("https://www.suredividend.com/sure-analysis-research-database/","Franklin BSP Realty Trust Inc.")</f>
        <v>Franklin BSP Realty Trust Inc.</v>
      </c>
      <c r="C535" s="2" t="s">
        <v>15</v>
      </c>
      <c r="D535" s="4">
        <v>12.62</v>
      </c>
      <c r="E535" s="5">
        <v>0.101661526752854</v>
      </c>
      <c r="F535" s="5" t="s">
        <v>15</v>
      </c>
      <c r="G535" s="5" t="s">
        <v>15</v>
      </c>
      <c r="H535" s="4">
        <v>1.36734753482589</v>
      </c>
      <c r="I535" s="4">
        <v>1103.884271</v>
      </c>
      <c r="J535" s="6">
        <v>9.69527192643468</v>
      </c>
      <c r="K535" s="5">
        <v>0.990831546975283</v>
      </c>
      <c r="L535" s="7">
        <v>1.29259272646157</v>
      </c>
      <c r="M535" s="4">
        <v>14.3</v>
      </c>
      <c r="N535" s="2">
        <v>9.96</v>
      </c>
    </row>
    <row r="536">
      <c r="A536" s="2" t="s">
        <v>561</v>
      </c>
      <c r="B536" s="3" t="str">
        <f>HYPERLINK("https://www.suredividend.com/sure-analysis-research-database/","Franklin Covey Co.")</f>
        <v>Franklin Covey Co.</v>
      </c>
      <c r="C536" s="2" t="s">
        <v>17</v>
      </c>
      <c r="D536" s="4">
        <v>39.15</v>
      </c>
      <c r="E536" s="5">
        <v>0.0</v>
      </c>
      <c r="F536" s="5" t="s">
        <v>15</v>
      </c>
      <c r="G536" s="5" t="s">
        <v>15</v>
      </c>
      <c r="H536" s="4">
        <v>0.0</v>
      </c>
      <c r="I536" s="4">
        <v>569.711055</v>
      </c>
      <c r="J536" s="6">
        <v>31.7122769473977</v>
      </c>
      <c r="K536" s="5">
        <v>0.0</v>
      </c>
      <c r="L536" s="7">
        <v>0.736770106648962</v>
      </c>
      <c r="M536" s="4">
        <v>49.77</v>
      </c>
      <c r="N536" s="2">
        <v>32.19</v>
      </c>
    </row>
    <row r="537">
      <c r="A537" s="2" t="s">
        <v>562</v>
      </c>
      <c r="B537" s="3" t="str">
        <f>HYPERLINK("https://www.suredividend.com/sure-analysis-research-database/","First Community Bankshares Inc.")</f>
        <v>First Community Bankshares Inc.</v>
      </c>
      <c r="C537" s="2" t="s">
        <v>22</v>
      </c>
      <c r="D537" s="4">
        <v>33.35</v>
      </c>
      <c r="E537" s="5">
        <v>0.031085624180085</v>
      </c>
      <c r="F537" s="5" t="s">
        <v>15</v>
      </c>
      <c r="G537" s="5" t="s">
        <v>15</v>
      </c>
      <c r="H537" s="4">
        <v>1.13182757639692</v>
      </c>
      <c r="I537" s="4">
        <v>674.887386</v>
      </c>
      <c r="J537" s="6">
        <v>13.8242771400479</v>
      </c>
      <c r="K537" s="5">
        <v>0.404224134427472</v>
      </c>
      <c r="L537" s="7">
        <v>0.814359903157312</v>
      </c>
      <c r="M537" s="4">
        <v>39.23</v>
      </c>
      <c r="N537" s="2">
        <v>21.52</v>
      </c>
    </row>
    <row r="538">
      <c r="A538" s="2" t="s">
        <v>563</v>
      </c>
      <c r="B538" s="3" t="str">
        <f>HYPERLINK("https://www.suredividend.com/sure-analysis-research-database/","Fuelcell Energy Inc")</f>
        <v>Fuelcell Energy Inc</v>
      </c>
      <c r="C538" s="2" t="s">
        <v>17</v>
      </c>
      <c r="D538" s="4">
        <v>1.17</v>
      </c>
      <c r="E538" s="5">
        <v>0.0</v>
      </c>
      <c r="F538" s="5" t="s">
        <v>15</v>
      </c>
      <c r="G538" s="5" t="s">
        <v>15</v>
      </c>
      <c r="H538" s="4">
        <v>0.0</v>
      </c>
      <c r="I538" s="4">
        <v>569.273403</v>
      </c>
      <c r="J538" s="6" t="s">
        <v>15</v>
      </c>
      <c r="K538" s="5">
        <v>0.0</v>
      </c>
      <c r="L538" s="7">
        <v>2.85579668681015</v>
      </c>
      <c r="M538" s="4">
        <v>4.36</v>
      </c>
      <c r="N538" s="2">
        <v>0.981</v>
      </c>
    </row>
    <row r="539">
      <c r="A539" s="2" t="s">
        <v>564</v>
      </c>
      <c r="B539" s="3" t="str">
        <f>HYPERLINK("https://www.suredividend.com/sure-analysis-research-database/","First Commonwealth Financial Corp.")</f>
        <v>First Commonwealth Financial Corp.</v>
      </c>
      <c r="C539" s="2" t="s">
        <v>22</v>
      </c>
      <c r="D539" s="4">
        <v>13.22</v>
      </c>
      <c r="E539" s="5">
        <v>0.032416667579711</v>
      </c>
      <c r="F539" s="5">
        <v>0.0416666666666667</v>
      </c>
      <c r="G539" s="5">
        <v>0.0456395525912731</v>
      </c>
      <c r="H539" s="4">
        <v>0.487870847074659</v>
      </c>
      <c r="I539" s="4">
        <v>1536.777157</v>
      </c>
      <c r="J539" s="6">
        <v>10.38580484392</v>
      </c>
      <c r="K539" s="5">
        <v>0.327430098707824</v>
      </c>
      <c r="L539" s="7">
        <v>1.2428449104706</v>
      </c>
      <c r="M539" s="4">
        <v>16.05</v>
      </c>
      <c r="N539" s="2">
        <v>11.05</v>
      </c>
    </row>
    <row r="540">
      <c r="A540" s="2" t="s">
        <v>565</v>
      </c>
      <c r="B540" s="3" t="str">
        <f>HYPERLINK("https://www.suredividend.com/sure-analysis-research-database/","FirstCash Holdings Inc")</f>
        <v>FirstCash Holdings Inc</v>
      </c>
      <c r="C540" s="2" t="s">
        <v>22</v>
      </c>
      <c r="D540" s="4">
        <v>117.32</v>
      </c>
      <c r="E540" s="5">
        <v>0.011563814854425</v>
      </c>
      <c r="F540" s="5">
        <v>0.0606060606060605</v>
      </c>
      <c r="G540" s="5">
        <v>0.0696103757250687</v>
      </c>
      <c r="H540" s="4">
        <v>1.34764698313478</v>
      </c>
      <c r="I540" s="4">
        <v>5256.88632</v>
      </c>
      <c r="J540" s="6">
        <v>22.8781098277467</v>
      </c>
      <c r="K540" s="5">
        <v>0.269529396626957</v>
      </c>
      <c r="L540" s="7">
        <v>0.690248821153704</v>
      </c>
      <c r="M540" s="4">
        <v>116.83</v>
      </c>
      <c r="N540" s="2">
        <v>84.35</v>
      </c>
    </row>
    <row r="541">
      <c r="A541" s="2" t="s">
        <v>566</v>
      </c>
      <c r="B541" s="3" t="str">
        <f>HYPERLINK("https://www.suredividend.com/sure-analysis-FCPT/","Four Corners Property Trust Inc")</f>
        <v>Four Corners Property Trust Inc</v>
      </c>
      <c r="C541" s="2" t="s">
        <v>20</v>
      </c>
      <c r="D541" s="4">
        <v>22.95</v>
      </c>
      <c r="E541" s="5">
        <v>0.0601307189542483</v>
      </c>
      <c r="F541" s="5">
        <v>0.0147058823529411</v>
      </c>
      <c r="G541" s="5">
        <v>0.0371372893366481</v>
      </c>
      <c r="H541" s="4">
        <v>1.33663036921833</v>
      </c>
      <c r="I541" s="4">
        <v>2171.753376</v>
      </c>
      <c r="J541" s="6">
        <v>23.158205740091</v>
      </c>
      <c r="K541" s="5">
        <v>1.23762071223919</v>
      </c>
      <c r="L541" s="7">
        <v>0.794662378691967</v>
      </c>
      <c r="M541" s="4">
        <v>27.73</v>
      </c>
      <c r="N541" s="2">
        <v>20.23</v>
      </c>
    </row>
    <row r="542">
      <c r="A542" s="2" t="s">
        <v>567</v>
      </c>
      <c r="B542" s="3" t="str">
        <f>HYPERLINK("https://www.suredividend.com/sure-analysis-research-database/","Focus Universal Inc")</f>
        <v>Focus Universal Inc</v>
      </c>
      <c r="C542" s="2" t="s">
        <v>40</v>
      </c>
      <c r="D542" s="4">
        <v>1.16</v>
      </c>
      <c r="E542" s="5">
        <v>0.0</v>
      </c>
      <c r="F542" s="5" t="s">
        <v>15</v>
      </c>
      <c r="G542" s="5" t="s">
        <v>15</v>
      </c>
      <c r="H542" s="4">
        <v>0.0</v>
      </c>
      <c r="I542" s="4">
        <v>99.825598</v>
      </c>
      <c r="J542" s="6">
        <v>0.0</v>
      </c>
      <c r="K542" s="5" t="s">
        <v>15</v>
      </c>
      <c r="L542" s="7">
        <v>1.86572418725694</v>
      </c>
      <c r="M542" s="4">
        <v>5.14</v>
      </c>
      <c r="N542" s="2">
        <v>1.35</v>
      </c>
    </row>
    <row r="543">
      <c r="A543" s="2" t="s">
        <v>568</v>
      </c>
      <c r="B543" s="3" t="str">
        <f>HYPERLINK("https://www.suredividend.com/sure-analysis-research-database/","4D Molecular Therapeutics Inc")</f>
        <v>4D Molecular Therapeutics Inc</v>
      </c>
      <c r="C543" s="2" t="s">
        <v>15</v>
      </c>
      <c r="D543" s="4">
        <v>32.29</v>
      </c>
      <c r="E543" s="5">
        <v>0.0</v>
      </c>
      <c r="F543" s="5" t="s">
        <v>15</v>
      </c>
      <c r="G543" s="5" t="s">
        <v>15</v>
      </c>
      <c r="H543" s="4">
        <v>0.0</v>
      </c>
      <c r="I543" s="4">
        <v>770.419998</v>
      </c>
      <c r="J543" s="6" t="s">
        <v>15</v>
      </c>
      <c r="K543" s="5">
        <v>0.0</v>
      </c>
      <c r="L543" s="7">
        <v>1.28631112473268</v>
      </c>
      <c r="M543" s="4">
        <v>24.1</v>
      </c>
      <c r="N543" s="2">
        <v>9.44</v>
      </c>
    </row>
    <row r="544">
      <c r="A544" s="2" t="s">
        <v>569</v>
      </c>
      <c r="B544" s="3" t="str">
        <f>HYPERLINK("https://www.suredividend.com/sure-analysis-research-database/","Fresh Del Monte Produce Inc")</f>
        <v>Fresh Del Monte Produce Inc</v>
      </c>
      <c r="C544" s="2" t="s">
        <v>89</v>
      </c>
      <c r="D544" s="4">
        <v>23.79</v>
      </c>
      <c r="E544" s="5">
        <v>0.029619443313277</v>
      </c>
      <c r="F544" s="5" t="s">
        <v>15</v>
      </c>
      <c r="G544" s="5" t="s">
        <v>15</v>
      </c>
      <c r="H544" s="4">
        <v>0.741670860564456</v>
      </c>
      <c r="I544" s="4">
        <v>1205.113501</v>
      </c>
      <c r="J544" s="6">
        <v>10.6271031873015</v>
      </c>
      <c r="K544" s="5">
        <v>0.315604621516789</v>
      </c>
      <c r="L544" s="7">
        <v>0.411911859753467</v>
      </c>
      <c r="M544" s="4">
        <v>31.59</v>
      </c>
      <c r="N544" s="2">
        <v>21.23</v>
      </c>
    </row>
    <row r="545">
      <c r="A545" s="2" t="s">
        <v>570</v>
      </c>
      <c r="B545" s="3" t="str">
        <f>HYPERLINK("https://www.suredividend.com/sure-analysis-research-database/","5E Advanced Materials Inc")</f>
        <v>5E Advanced Materials Inc</v>
      </c>
      <c r="C545" s="2" t="s">
        <v>15</v>
      </c>
      <c r="D545" s="4">
        <v>1.27</v>
      </c>
      <c r="E545" s="5">
        <v>0.0</v>
      </c>
      <c r="F545" s="5" t="s">
        <v>15</v>
      </c>
      <c r="G545" s="5" t="s">
        <v>15</v>
      </c>
      <c r="H545" s="4">
        <v>0.0</v>
      </c>
      <c r="I545" s="4">
        <v>65.91321</v>
      </c>
      <c r="J545" s="6">
        <v>0.0</v>
      </c>
      <c r="K545" s="5" t="s">
        <v>15</v>
      </c>
      <c r="L545" s="7">
        <v>1.05027572552912</v>
      </c>
      <c r="M545" s="4">
        <v>9.99</v>
      </c>
      <c r="N545" s="2">
        <v>1.11</v>
      </c>
    </row>
    <row r="546">
      <c r="A546" s="2" t="s">
        <v>571</v>
      </c>
      <c r="B546" s="3" t="str">
        <f>HYPERLINK("https://www.suredividend.com/sure-analysis-FELE/","Franklin Electric Co., Inc.")</f>
        <v>Franklin Electric Co., Inc.</v>
      </c>
      <c r="C546" s="2" t="s">
        <v>17</v>
      </c>
      <c r="D546" s="4">
        <v>94.92</v>
      </c>
      <c r="E546" s="5">
        <v>0.0105351875263379</v>
      </c>
      <c r="F546" s="5">
        <v>0.111111111111111</v>
      </c>
      <c r="G546" s="5">
        <v>0.115101503266381</v>
      </c>
      <c r="H546" s="4">
        <v>0.893410397751854</v>
      </c>
      <c r="I546" s="4">
        <v>4462.941</v>
      </c>
      <c r="J546" s="6">
        <v>22.3142587148257</v>
      </c>
      <c r="K546" s="5">
        <v>0.209720750645975</v>
      </c>
      <c r="L546" s="7">
        <v>0.995825773465204</v>
      </c>
      <c r="M546" s="4">
        <v>106.31</v>
      </c>
      <c r="N546" s="2">
        <v>82.18</v>
      </c>
    </row>
    <row r="547">
      <c r="A547" s="2" t="s">
        <v>572</v>
      </c>
      <c r="B547" s="3" t="str">
        <f>HYPERLINK("https://www.suredividend.com/sure-analysis-research-database/","Futurefuel Corp")</f>
        <v>Futurefuel Corp</v>
      </c>
      <c r="C547" s="2" t="s">
        <v>130</v>
      </c>
      <c r="D547" s="4">
        <v>5.37</v>
      </c>
      <c r="E547" s="5">
        <v>0.040621628723313</v>
      </c>
      <c r="F547" s="5">
        <v>0.0</v>
      </c>
      <c r="G547" s="5">
        <v>0.0</v>
      </c>
      <c r="H547" s="4">
        <v>0.236824095456917</v>
      </c>
      <c r="I547" s="4">
        <v>255.139707</v>
      </c>
      <c r="J547" s="6">
        <v>8.81890382945629</v>
      </c>
      <c r="K547" s="5">
        <v>0.35822734148679</v>
      </c>
      <c r="L547" s="7">
        <v>0.814446797571185</v>
      </c>
      <c r="M547" s="4">
        <v>10.12</v>
      </c>
      <c r="N547" s="2">
        <v>5.22</v>
      </c>
    </row>
    <row r="548">
      <c r="A548" s="2" t="s">
        <v>573</v>
      </c>
      <c r="B548" s="3" t="str">
        <f>HYPERLINK("https://www.suredividend.com/sure-analysis-research-database/","First Financial Bancorp")</f>
        <v>First Financial Bancorp</v>
      </c>
      <c r="C548" s="2" t="s">
        <v>22</v>
      </c>
      <c r="D548" s="4">
        <v>21.85</v>
      </c>
      <c r="E548" s="5">
        <v>0.037810234171769</v>
      </c>
      <c r="F548" s="5">
        <v>0.0</v>
      </c>
      <c r="G548" s="5">
        <v>0.00892998907199627</v>
      </c>
      <c r="H548" s="4">
        <v>0.889674810061733</v>
      </c>
      <c r="I548" s="4">
        <v>2238.213295</v>
      </c>
      <c r="J548" s="6">
        <v>8.34478536077131</v>
      </c>
      <c r="K548" s="5">
        <v>0.315487521298486</v>
      </c>
      <c r="L548" s="7">
        <v>1.40214073570523</v>
      </c>
      <c r="M548" s="4">
        <v>24.61</v>
      </c>
      <c r="N548" s="2">
        <v>16.8</v>
      </c>
    </row>
    <row r="549">
      <c r="A549" s="2" t="s">
        <v>574</v>
      </c>
      <c r="B549" s="3" t="str">
        <f>HYPERLINK("https://www.suredividend.com/sure-analysis-research-database/","Flushing Financial Corp.")</f>
        <v>Flushing Financial Corp.</v>
      </c>
      <c r="C549" s="2" t="s">
        <v>22</v>
      </c>
      <c r="D549" s="4">
        <v>15.08</v>
      </c>
      <c r="E549" s="5">
        <v>0.047951131667588</v>
      </c>
      <c r="F549" s="5">
        <v>0.0</v>
      </c>
      <c r="G549" s="5">
        <v>0.00934741990956888</v>
      </c>
      <c r="H549" s="4">
        <v>0.839624315499481</v>
      </c>
      <c r="I549" s="4">
        <v>505.769784</v>
      </c>
      <c r="J549" s="6">
        <v>15.1274087381109</v>
      </c>
      <c r="K549" s="5">
        <v>0.756418302251784</v>
      </c>
      <c r="L549" s="7">
        <v>1.65271992568894</v>
      </c>
      <c r="M549" s="4">
        <v>18.29</v>
      </c>
      <c r="N549" s="2">
        <v>8.4</v>
      </c>
    </row>
    <row r="550">
      <c r="A550" s="2" t="s">
        <v>575</v>
      </c>
      <c r="B550" s="3" t="str">
        <f>HYPERLINK("https://www.suredividend.com/sure-analysis-research-database/","Faraday Future Intelligent Electric Inc")</f>
        <v>Faraday Future Intelligent Electric Inc</v>
      </c>
      <c r="C550" s="2" t="s">
        <v>15</v>
      </c>
      <c r="D550" s="4">
        <v>0.1068</v>
      </c>
      <c r="E550" s="5">
        <v>0.0</v>
      </c>
      <c r="F550" s="5" t="s">
        <v>15</v>
      </c>
      <c r="G550" s="5" t="s">
        <v>15</v>
      </c>
      <c r="H550" s="4">
        <v>0.0</v>
      </c>
      <c r="I550" s="4">
        <v>2.7249</v>
      </c>
      <c r="J550" s="6">
        <v>0.0</v>
      </c>
      <c r="K550" s="5" t="s">
        <v>15</v>
      </c>
      <c r="L550" s="7">
        <v>1.29345044121168</v>
      </c>
      <c r="M550" s="4">
        <v>105.6</v>
      </c>
      <c r="N550" s="2">
        <v>0.1313</v>
      </c>
    </row>
    <row r="551">
      <c r="A551" s="2" t="s">
        <v>576</v>
      </c>
      <c r="B551" s="3" t="str">
        <f>HYPERLINK("https://www.suredividend.com/sure-analysis-FFIN/","First Financial Bankshares, Inc.")</f>
        <v>First Financial Bankshares, Inc.</v>
      </c>
      <c r="C551" s="2" t="s">
        <v>22</v>
      </c>
      <c r="D551" s="4">
        <v>30.81</v>
      </c>
      <c r="E551" s="5">
        <v>0.0233690360272638</v>
      </c>
      <c r="F551" s="5">
        <v>0.0588235294117645</v>
      </c>
      <c r="G551" s="5">
        <v>-0.0303597339044209</v>
      </c>
      <c r="H551" s="4">
        <v>0.699278996422786</v>
      </c>
      <c r="I551" s="4">
        <v>4715.115735</v>
      </c>
      <c r="J551" s="6">
        <v>22.2763127326671</v>
      </c>
      <c r="K551" s="5">
        <v>0.472485808393774</v>
      </c>
      <c r="L551" s="7">
        <v>1.61252225306453</v>
      </c>
      <c r="M551" s="4">
        <v>36.7</v>
      </c>
      <c r="N551" s="2">
        <v>22.56</v>
      </c>
    </row>
    <row r="552">
      <c r="A552" s="2" t="s">
        <v>577</v>
      </c>
      <c r="B552" s="3" t="str">
        <f>HYPERLINK("https://www.suredividend.com/sure-analysis-research-database/","First Foundation Inc")</f>
        <v>First Foundation Inc</v>
      </c>
      <c r="C552" s="2" t="s">
        <v>22</v>
      </c>
      <c r="D552" s="4">
        <v>8.42</v>
      </c>
      <c r="E552" s="5">
        <v>0.014014841570821</v>
      </c>
      <c r="F552" s="5">
        <v>-0.909090909090909</v>
      </c>
      <c r="G552" s="5">
        <v>-0.275220336322304</v>
      </c>
      <c r="H552" s="4">
        <v>0.149117914313544</v>
      </c>
      <c r="I552" s="4">
        <v>600.561755</v>
      </c>
      <c r="J552" s="6" t="s">
        <v>15</v>
      </c>
      <c r="K552" s="5" t="s">
        <v>15</v>
      </c>
      <c r="L552" s="7">
        <v>2.66584386637004</v>
      </c>
      <c r="M552" s="4">
        <v>16.46</v>
      </c>
      <c r="N552" s="2">
        <v>3.68</v>
      </c>
    </row>
    <row r="553">
      <c r="A553" s="2" t="s">
        <v>578</v>
      </c>
      <c r="B553" s="3" t="str">
        <f>HYPERLINK("https://www.suredividend.com/sure-analysis-research-database/","First Guaranty Bancshares Inc")</f>
        <v>First Guaranty Bancshares Inc</v>
      </c>
      <c r="C553" s="2" t="s">
        <v>22</v>
      </c>
      <c r="D553" s="4">
        <v>12.4</v>
      </c>
      <c r="E553" s="5">
        <v>0.04723860477128</v>
      </c>
      <c r="F553" s="5">
        <v>0.0</v>
      </c>
      <c r="G553" s="5">
        <v>0.0</v>
      </c>
      <c r="H553" s="4">
        <v>0.614574248074362</v>
      </c>
      <c r="I553" s="4">
        <v>148.71839</v>
      </c>
      <c r="J553" s="6">
        <v>0.0</v>
      </c>
      <c r="K553" s="5" t="s">
        <v>15</v>
      </c>
      <c r="L553" s="7">
        <v>0.477716128100391</v>
      </c>
      <c r="M553" s="4">
        <v>20.88</v>
      </c>
      <c r="N553" s="2">
        <v>8.99</v>
      </c>
    </row>
    <row r="554">
      <c r="A554" s="2" t="s">
        <v>579</v>
      </c>
      <c r="B554" s="3" t="str">
        <f>HYPERLINK("https://www.suredividend.com/sure-analysis-research-database/","FibroGen Inc")</f>
        <v>FibroGen Inc</v>
      </c>
      <c r="C554" s="2" t="s">
        <v>30</v>
      </c>
      <c r="D554" s="4">
        <v>2.025</v>
      </c>
      <c r="E554" s="5">
        <v>0.0</v>
      </c>
      <c r="F554" s="5" t="s">
        <v>15</v>
      </c>
      <c r="G554" s="5" t="s">
        <v>15</v>
      </c>
      <c r="H554" s="4">
        <v>0.0</v>
      </c>
      <c r="I554" s="4">
        <v>168.161774</v>
      </c>
      <c r="J554" s="6" t="s">
        <v>15</v>
      </c>
      <c r="K554" s="5">
        <v>0.0</v>
      </c>
      <c r="L554" s="7">
        <v>2.74784367419997</v>
      </c>
      <c r="M554" s="4">
        <v>25.69</v>
      </c>
      <c r="N554" s="2">
        <v>0.3333</v>
      </c>
    </row>
    <row r="555">
      <c r="A555" s="2" t="s">
        <v>580</v>
      </c>
      <c r="B555" s="3" t="str">
        <f>HYPERLINK("https://www.suredividend.com/sure-analysis-research-database/","Federated Hermes Inc")</f>
        <v>Federated Hermes Inc</v>
      </c>
      <c r="C555" s="2" t="s">
        <v>22</v>
      </c>
      <c r="D555" s="4">
        <v>35.69</v>
      </c>
      <c r="E555" s="5">
        <v>0.030788891138885</v>
      </c>
      <c r="F555" s="5">
        <v>0.0370370370370369</v>
      </c>
      <c r="G555" s="5">
        <v>0.00730004519521165</v>
      </c>
      <c r="H555" s="4">
        <v>1.09639241345572</v>
      </c>
      <c r="I555" s="4">
        <v>3071.214719</v>
      </c>
      <c r="J555" s="6">
        <v>11.7810538856347</v>
      </c>
      <c r="K555" s="5">
        <v>0.355971562810299</v>
      </c>
      <c r="L555" s="7">
        <v>0.693611725831542</v>
      </c>
      <c r="M555" s="4">
        <v>44.46</v>
      </c>
      <c r="N555" s="2">
        <v>29.97</v>
      </c>
    </row>
    <row r="556">
      <c r="A556" s="2" t="s">
        <v>581</v>
      </c>
      <c r="B556" s="3" t="str">
        <f>HYPERLINK("https://www.suredividend.com/sure-analysis-research-database/","Foghorn Therapeutics Inc")</f>
        <v>Foghorn Therapeutics Inc</v>
      </c>
      <c r="C556" s="2" t="s">
        <v>15</v>
      </c>
      <c r="D556" s="4">
        <v>2.82</v>
      </c>
      <c r="E556" s="5">
        <v>0.0</v>
      </c>
      <c r="F556" s="5" t="s">
        <v>15</v>
      </c>
      <c r="G556" s="5" t="s">
        <v>15</v>
      </c>
      <c r="H556" s="4">
        <v>0.0</v>
      </c>
      <c r="I556" s="4">
        <v>158.314223</v>
      </c>
      <c r="J556" s="6" t="s">
        <v>15</v>
      </c>
      <c r="K556" s="5">
        <v>0.0</v>
      </c>
      <c r="L556" s="7">
        <v>1.39724458016403</v>
      </c>
      <c r="M556" s="4">
        <v>9.97</v>
      </c>
      <c r="N556" s="2">
        <v>2.84</v>
      </c>
    </row>
    <row r="557">
      <c r="A557" s="2" t="s">
        <v>582</v>
      </c>
      <c r="B557" s="3" t="str">
        <f>HYPERLINK("https://www.suredividend.com/sure-analysis-research-database/","First Interstate BancSystem Inc.")</f>
        <v>First Interstate BancSystem Inc.</v>
      </c>
      <c r="C557" s="2" t="s">
        <v>22</v>
      </c>
      <c r="D557" s="4">
        <v>26.09</v>
      </c>
      <c r="E557" s="5">
        <v>0.060552750170621</v>
      </c>
      <c r="F557" s="5">
        <v>0.0</v>
      </c>
      <c r="G557" s="5">
        <v>0.0867940018314228</v>
      </c>
      <c r="H557" s="4">
        <v>1.78025085501628</v>
      </c>
      <c r="I557" s="4">
        <v>3086.93726</v>
      </c>
      <c r="J557" s="6">
        <v>10.9543550759403</v>
      </c>
      <c r="K557" s="5">
        <v>0.656919134692355</v>
      </c>
      <c r="L557" s="7">
        <v>1.54268900935137</v>
      </c>
      <c r="M557" s="4">
        <v>33.39</v>
      </c>
      <c r="N557" s="2">
        <v>19.59</v>
      </c>
    </row>
    <row r="558">
      <c r="A558" s="2" t="s">
        <v>583</v>
      </c>
      <c r="B558" s="3" t="str">
        <f>HYPERLINK("https://www.suredividend.com/sure-analysis-research-database/","Figs Inc")</f>
        <v>Figs Inc</v>
      </c>
      <c r="C558" s="2" t="s">
        <v>15</v>
      </c>
      <c r="D558" s="4">
        <v>5.85</v>
      </c>
      <c r="E558" s="5">
        <v>0.0</v>
      </c>
      <c r="F558" s="5" t="s">
        <v>15</v>
      </c>
      <c r="G558" s="5" t="s">
        <v>15</v>
      </c>
      <c r="H558" s="4">
        <v>0.0</v>
      </c>
      <c r="I558" s="4">
        <v>997.323874</v>
      </c>
      <c r="J558" s="6">
        <v>62.2238503880708</v>
      </c>
      <c r="K558" s="5">
        <v>0.0</v>
      </c>
      <c r="L558" s="7">
        <v>1.97450553601551</v>
      </c>
      <c r="M558" s="4">
        <v>10.2</v>
      </c>
      <c r="N558" s="2">
        <v>5.16</v>
      </c>
    </row>
    <row r="559">
      <c r="A559" s="2" t="s">
        <v>584</v>
      </c>
      <c r="B559" s="3" t="str">
        <f>HYPERLINK("https://www.suredividend.com/sure-analysis-FISI/","Financial Institutions Inc.")</f>
        <v>Financial Institutions Inc.</v>
      </c>
      <c r="C559" s="2" t="s">
        <v>22</v>
      </c>
      <c r="D559" s="4">
        <v>19.51</v>
      </c>
      <c r="E559" s="5">
        <v>0.0615069195284469</v>
      </c>
      <c r="F559" s="5">
        <v>0.0344827586206899</v>
      </c>
      <c r="G559" s="5">
        <v>0.0371372893366481</v>
      </c>
      <c r="H559" s="4">
        <v>1.1433635161324</v>
      </c>
      <c r="I559" s="4">
        <v>333.315726</v>
      </c>
      <c r="J559" s="6">
        <v>6.52102606722228</v>
      </c>
      <c r="K559" s="5">
        <v>0.345427044148764</v>
      </c>
      <c r="L559" s="7">
        <v>1.27591774276034</v>
      </c>
      <c r="M559" s="4">
        <v>23.11</v>
      </c>
      <c r="N559" s="2">
        <v>12.52</v>
      </c>
    </row>
    <row r="560">
      <c r="A560" s="2" t="s">
        <v>585</v>
      </c>
      <c r="B560" s="3" t="str">
        <f>HYPERLINK("https://www.suredividend.com/sure-analysis-research-database/","Comfort Systems USA, Inc.")</f>
        <v>Comfort Systems USA, Inc.</v>
      </c>
      <c r="C560" s="2" t="s">
        <v>17</v>
      </c>
      <c r="D560" s="4">
        <v>224.07</v>
      </c>
      <c r="E560" s="5">
        <v>0.003983818239602</v>
      </c>
      <c r="F560" s="5">
        <v>0.666666666666666</v>
      </c>
      <c r="G560" s="5">
        <v>0.213509779718209</v>
      </c>
      <c r="H560" s="4">
        <v>0.848553285035392</v>
      </c>
      <c r="I560" s="4">
        <v>7607.255595</v>
      </c>
      <c r="J560" s="6">
        <v>26.4838779805111</v>
      </c>
      <c r="K560" s="5">
        <v>0.106069160629424</v>
      </c>
      <c r="L560" s="7">
        <v>1.24504136295426</v>
      </c>
      <c r="M560" s="4">
        <v>213.12</v>
      </c>
      <c r="N560" s="2">
        <v>117.13</v>
      </c>
    </row>
    <row r="561">
      <c r="A561" s="2" t="s">
        <v>586</v>
      </c>
      <c r="B561" s="3" t="str">
        <f>HYPERLINK("https://www.suredividend.com/sure-analysis-research-database/","National Beverage Corp.")</f>
        <v>National Beverage Corp.</v>
      </c>
      <c r="C561" s="2" t="s">
        <v>89</v>
      </c>
      <c r="D561" s="4">
        <v>46.13</v>
      </c>
      <c r="E561" s="5">
        <v>0.0</v>
      </c>
      <c r="F561" s="5" t="s">
        <v>15</v>
      </c>
      <c r="G561" s="5" t="s">
        <v>15</v>
      </c>
      <c r="H561" s="4">
        <v>0.0</v>
      </c>
      <c r="I561" s="4">
        <v>4432.419725</v>
      </c>
      <c r="J561" s="6">
        <v>27.0132781894528</v>
      </c>
      <c r="K561" s="5">
        <v>0.0</v>
      </c>
      <c r="L561" s="7">
        <v>0.43443384571166</v>
      </c>
      <c r="M561" s="4">
        <v>55.12</v>
      </c>
      <c r="N561" s="2">
        <v>43.51</v>
      </c>
    </row>
    <row r="562">
      <c r="A562" s="2" t="s">
        <v>587</v>
      </c>
      <c r="B562" s="3" t="str">
        <f>HYPERLINK("https://www.suredividend.com/sure-analysis-research-database/","Foot Locker Inc")</f>
        <v>Foot Locker Inc</v>
      </c>
      <c r="C562" s="2" t="s">
        <v>25</v>
      </c>
      <c r="D562" s="4">
        <v>28.24</v>
      </c>
      <c r="E562" s="5">
        <v>0.040407363217453</v>
      </c>
      <c r="F562" s="5" t="s">
        <v>15</v>
      </c>
      <c r="G562" s="5" t="s">
        <v>15</v>
      </c>
      <c r="H562" s="4">
        <v>1.17868278505312</v>
      </c>
      <c r="I562" s="4">
        <v>2746.69991</v>
      </c>
      <c r="J562" s="6">
        <v>35.2141014126923</v>
      </c>
      <c r="K562" s="5">
        <v>1.4318303997244</v>
      </c>
      <c r="L562" s="7">
        <v>1.2400111100251</v>
      </c>
      <c r="M562" s="4">
        <v>45.15</v>
      </c>
      <c r="N562" s="2">
        <v>14.56</v>
      </c>
    </row>
    <row r="563">
      <c r="A563" s="2" t="s">
        <v>588</v>
      </c>
      <c r="B563" s="3" t="str">
        <f>HYPERLINK("https://www.suredividend.com/sure-analysis-research-database/","Fulgent Genetics Inc")</f>
        <v>Fulgent Genetics Inc</v>
      </c>
      <c r="C563" s="2" t="s">
        <v>30</v>
      </c>
      <c r="D563" s="4">
        <v>24.54</v>
      </c>
      <c r="E563" s="5">
        <v>0.0</v>
      </c>
      <c r="F563" s="5" t="s">
        <v>15</v>
      </c>
      <c r="G563" s="5" t="s">
        <v>15</v>
      </c>
      <c r="H563" s="4">
        <v>0.0</v>
      </c>
      <c r="I563" s="4">
        <v>777.571416</v>
      </c>
      <c r="J563" s="6" t="s">
        <v>15</v>
      </c>
      <c r="K563" s="5">
        <v>0.0</v>
      </c>
      <c r="L563" s="7">
        <v>1.29420900943826</v>
      </c>
      <c r="M563" s="4">
        <v>44.09</v>
      </c>
      <c r="N563" s="2">
        <v>23.09</v>
      </c>
    </row>
    <row r="564">
      <c r="A564" s="2" t="s">
        <v>589</v>
      </c>
      <c r="B564" s="3" t="str">
        <f>HYPERLINK("https://www.suredividend.com/sure-analysis-FLIC/","First Of Long Island Corp.")</f>
        <v>First Of Long Island Corp.</v>
      </c>
      <c r="C564" s="2" t="s">
        <v>22</v>
      </c>
      <c r="D564" s="4">
        <v>11.79</v>
      </c>
      <c r="E564" s="5">
        <v>0.0712468193384223</v>
      </c>
      <c r="F564" s="5">
        <v>0.0</v>
      </c>
      <c r="G564" s="5">
        <v>0.0431675638101349</v>
      </c>
      <c r="H564" s="4">
        <v>0.806618488393066</v>
      </c>
      <c r="I564" s="4">
        <v>285.74364</v>
      </c>
      <c r="J564" s="6">
        <v>9.49819304281345</v>
      </c>
      <c r="K564" s="5">
        <v>0.606480066460951</v>
      </c>
      <c r="L564" s="7">
        <v>1.27589516578933</v>
      </c>
      <c r="M564" s="4">
        <v>16.16</v>
      </c>
      <c r="N564" s="2">
        <v>8.08</v>
      </c>
    </row>
    <row r="565">
      <c r="A565" s="2" t="s">
        <v>590</v>
      </c>
      <c r="B565" s="3" t="str">
        <f>HYPERLINK("https://www.suredividend.com/sure-analysis-research-database/","Full House Resorts, Inc.")</f>
        <v>Full House Resorts, Inc.</v>
      </c>
      <c r="C565" s="2" t="s">
        <v>25</v>
      </c>
      <c r="D565" s="4">
        <v>4.54</v>
      </c>
      <c r="E565" s="5">
        <v>0.0</v>
      </c>
      <c r="F565" s="5" t="s">
        <v>15</v>
      </c>
      <c r="G565" s="5" t="s">
        <v>15</v>
      </c>
      <c r="H565" s="4">
        <v>0.0</v>
      </c>
      <c r="I565" s="4">
        <v>171.89913</v>
      </c>
      <c r="J565" s="6">
        <v>0.0</v>
      </c>
      <c r="K565" s="5" t="s">
        <v>15</v>
      </c>
      <c r="L565" s="7">
        <v>1.86526100625461</v>
      </c>
      <c r="M565" s="4">
        <v>10.13</v>
      </c>
      <c r="N565" s="2">
        <v>3.4</v>
      </c>
    </row>
    <row r="566">
      <c r="A566" s="2" t="s">
        <v>591</v>
      </c>
      <c r="B566" s="3" t="str">
        <f>HYPERLINK("https://www.suredividend.com/sure-analysis-research-database/","Fluence Energy Inc")</f>
        <v>Fluence Energy Inc</v>
      </c>
      <c r="C566" s="2" t="s">
        <v>15</v>
      </c>
      <c r="D566" s="4">
        <v>18.48</v>
      </c>
      <c r="E566" s="5">
        <v>0.0</v>
      </c>
      <c r="F566" s="5" t="s">
        <v>15</v>
      </c>
      <c r="G566" s="5" t="s">
        <v>15</v>
      </c>
      <c r="H566" s="4">
        <v>0.0</v>
      </c>
      <c r="I566" s="4">
        <v>2667.650313</v>
      </c>
      <c r="J566" s="6" t="s">
        <v>15</v>
      </c>
      <c r="K566" s="5">
        <v>0.0</v>
      </c>
      <c r="L566" s="7">
        <v>2.62536852261969</v>
      </c>
      <c r="M566" s="4">
        <v>31.32</v>
      </c>
      <c r="N566" s="2">
        <v>14.7</v>
      </c>
    </row>
    <row r="567">
      <c r="A567" s="2" t="s">
        <v>592</v>
      </c>
      <c r="B567" s="3" t="str">
        <f>HYPERLINK("https://www.suredividend.com/sure-analysis-research-database/","Flex Lng Ltd")</f>
        <v>Flex Lng Ltd</v>
      </c>
      <c r="C567" s="2" t="s">
        <v>125</v>
      </c>
      <c r="D567" s="4">
        <v>28.48</v>
      </c>
      <c r="E567" s="5">
        <v>0.095501498624969</v>
      </c>
      <c r="F567" s="5" t="s">
        <v>15</v>
      </c>
      <c r="G567" s="5" t="s">
        <v>15</v>
      </c>
      <c r="H567" s="4">
        <v>2.89465042332283</v>
      </c>
      <c r="I567" s="4">
        <v>1652.511051</v>
      </c>
      <c r="J567" s="6">
        <v>0.0</v>
      </c>
      <c r="K567" s="5" t="s">
        <v>15</v>
      </c>
      <c r="L567" s="7">
        <v>0.707515057646877</v>
      </c>
      <c r="M567" s="4">
        <v>33.36</v>
      </c>
      <c r="N567" s="2">
        <v>27.1</v>
      </c>
    </row>
    <row r="568">
      <c r="A568" s="2" t="s">
        <v>593</v>
      </c>
      <c r="B568" s="3" t="str">
        <f>HYPERLINK("https://www.suredividend.com/sure-analysis-research-database/","Fluor Corporation")</f>
        <v>Fluor Corporation</v>
      </c>
      <c r="C568" s="2" t="s">
        <v>17</v>
      </c>
      <c r="D568" s="4">
        <v>37.76</v>
      </c>
      <c r="E568" s="5">
        <v>0.0</v>
      </c>
      <c r="F568" s="5" t="s">
        <v>15</v>
      </c>
      <c r="G568" s="5" t="s">
        <v>15</v>
      </c>
      <c r="H568" s="4">
        <v>0.0</v>
      </c>
      <c r="I568" s="4">
        <v>6542.403456</v>
      </c>
      <c r="J568" s="6">
        <v>63.5184801553398</v>
      </c>
      <c r="K568" s="5">
        <v>0.0</v>
      </c>
      <c r="L568" s="7">
        <v>1.16020018864133</v>
      </c>
      <c r="M568" s="4">
        <v>40.77</v>
      </c>
      <c r="N568" s="2">
        <v>25.69</v>
      </c>
    </row>
    <row r="569">
      <c r="A569" s="2" t="s">
        <v>594</v>
      </c>
      <c r="B569" s="3" t="str">
        <f>HYPERLINK("https://www.suredividend.com/sure-analysis-research-database/","1-800 Flowers.com Inc.")</f>
        <v>1-800 Flowers.com Inc.</v>
      </c>
      <c r="C569" s="2" t="s">
        <v>25</v>
      </c>
      <c r="D569" s="4">
        <v>10.09</v>
      </c>
      <c r="E569" s="5">
        <v>0.0</v>
      </c>
      <c r="F569" s="5" t="s">
        <v>15</v>
      </c>
      <c r="G569" s="5" t="s">
        <v>15</v>
      </c>
      <c r="H569" s="4">
        <v>0.0</v>
      </c>
      <c r="I569" s="4">
        <v>407.050768</v>
      </c>
      <c r="J569" s="6" t="s">
        <v>15</v>
      </c>
      <c r="K569" s="5">
        <v>0.0</v>
      </c>
      <c r="L569" s="7">
        <v>1.85380087555514</v>
      </c>
      <c r="M569" s="4">
        <v>13.29</v>
      </c>
      <c r="N569" s="2">
        <v>5.98</v>
      </c>
    </row>
    <row r="570">
      <c r="A570" s="2" t="s">
        <v>595</v>
      </c>
      <c r="B570" s="3" t="str">
        <f>HYPERLINK("https://www.suredividend.com/sure-analysis-research-database/","Flywire Corp")</f>
        <v>Flywire Corp</v>
      </c>
      <c r="C570" s="2" t="s">
        <v>15</v>
      </c>
      <c r="D570" s="4">
        <v>21.47</v>
      </c>
      <c r="E570" s="5">
        <v>0.0</v>
      </c>
      <c r="F570" s="5" t="s">
        <v>15</v>
      </c>
      <c r="G570" s="5" t="s">
        <v>15</v>
      </c>
      <c r="H570" s="4">
        <v>0.0</v>
      </c>
      <c r="I570" s="4">
        <v>2650.198874</v>
      </c>
      <c r="J570" s="6" t="s">
        <v>15</v>
      </c>
      <c r="K570" s="5">
        <v>0.0</v>
      </c>
      <c r="L570" s="7">
        <v>1.85366910967867</v>
      </c>
      <c r="M570" s="4">
        <v>35.8</v>
      </c>
      <c r="N570" s="2">
        <v>18.65</v>
      </c>
    </row>
    <row r="571">
      <c r="A571" s="2" t="s">
        <v>596</v>
      </c>
      <c r="B571" s="3" t="str">
        <f>HYPERLINK("https://www.suredividend.com/sure-analysis-FMAO/","Farmers &amp; Merchants Bancorp Inc.")</f>
        <v>Farmers &amp; Merchants Bancorp Inc.</v>
      </c>
      <c r="C571" s="2" t="s">
        <v>22</v>
      </c>
      <c r="D571" s="4">
        <v>22.12</v>
      </c>
      <c r="E571" s="5">
        <v>0.0397830018083182</v>
      </c>
      <c r="F571" s="5">
        <v>0.0476190476190476</v>
      </c>
      <c r="G571" s="5">
        <v>0.0796084730466029</v>
      </c>
      <c r="H571" s="4">
        <v>0.826302802220188</v>
      </c>
      <c r="I571" s="4">
        <v>327.988368</v>
      </c>
      <c r="J571" s="6">
        <v>0.0</v>
      </c>
      <c r="K571" s="5" t="s">
        <v>15</v>
      </c>
      <c r="L571" s="7">
        <v>1.25548249133895</v>
      </c>
      <c r="M571" s="4">
        <v>27.86</v>
      </c>
      <c r="N571" s="2">
        <v>16.34</v>
      </c>
    </row>
    <row r="572">
      <c r="A572" s="2" t="s">
        <v>597</v>
      </c>
      <c r="B572" s="3" t="str">
        <f>HYPERLINK("https://www.suredividend.com/sure-analysis-FMBH/","First Mid Bancshares Inc.")</f>
        <v>First Mid Bancshares Inc.</v>
      </c>
      <c r="C572" s="2" t="s">
        <v>22</v>
      </c>
      <c r="D572" s="4">
        <v>30.71</v>
      </c>
      <c r="E572" s="5">
        <v>0.0299576685118853</v>
      </c>
      <c r="F572" s="5" t="s">
        <v>15</v>
      </c>
      <c r="G572" s="5" t="s">
        <v>15</v>
      </c>
      <c r="H572" s="4">
        <v>0.898454106690438</v>
      </c>
      <c r="I572" s="4">
        <v>798.648878</v>
      </c>
      <c r="J572" s="6">
        <v>0.0</v>
      </c>
      <c r="K572" s="5" t="s">
        <v>15</v>
      </c>
      <c r="L572" s="7">
        <v>1.24897691449161</v>
      </c>
      <c r="M572" s="4">
        <v>35.83</v>
      </c>
      <c r="N572" s="2">
        <v>20.7</v>
      </c>
    </row>
    <row r="573">
      <c r="A573" s="2" t="s">
        <v>598</v>
      </c>
      <c r="B573" s="3" t="str">
        <f>HYPERLINK("https://www.suredividend.com/sure-analysis-research-database/","Farmers National Banc Corp.")</f>
        <v>Farmers National Banc Corp.</v>
      </c>
      <c r="C573" s="2" t="s">
        <v>22</v>
      </c>
      <c r="D573" s="4">
        <v>13.67</v>
      </c>
      <c r="E573" s="5">
        <v>0.046036375332121</v>
      </c>
      <c r="F573" s="5">
        <v>0.0</v>
      </c>
      <c r="G573" s="5">
        <v>0.135641572496077</v>
      </c>
      <c r="H573" s="4">
        <v>0.653716529716123</v>
      </c>
      <c r="I573" s="4">
        <v>532.350559</v>
      </c>
      <c r="J573" s="6">
        <v>0.0</v>
      </c>
      <c r="K573" s="5" t="s">
        <v>15</v>
      </c>
      <c r="L573" s="7">
        <v>1.15447205269316</v>
      </c>
      <c r="M573" s="4">
        <v>14.75</v>
      </c>
      <c r="N573" s="2">
        <v>9.99</v>
      </c>
    </row>
    <row r="574">
      <c r="A574" s="2" t="s">
        <v>599</v>
      </c>
      <c r="B574" s="3" t="str">
        <f>HYPERLINK("https://www.suredividend.com/sure-analysis-research-database/","Fabrinet")</f>
        <v>Fabrinet</v>
      </c>
      <c r="C574" s="2" t="s">
        <v>40</v>
      </c>
      <c r="D574" s="4">
        <v>223.6</v>
      </c>
      <c r="E574" s="5">
        <v>0.0</v>
      </c>
      <c r="F574" s="5" t="s">
        <v>15</v>
      </c>
      <c r="G574" s="5" t="s">
        <v>15</v>
      </c>
      <c r="H574" s="4">
        <v>0.0</v>
      </c>
      <c r="I574" s="4">
        <v>7719.944016</v>
      </c>
      <c r="J574" s="6">
        <v>31.0803062012907</v>
      </c>
      <c r="K574" s="5">
        <v>0.0</v>
      </c>
      <c r="L574" s="7">
        <v>1.17827544002859</v>
      </c>
      <c r="M574" s="4">
        <v>213.73</v>
      </c>
      <c r="N574" s="2">
        <v>90.19</v>
      </c>
    </row>
    <row r="575">
      <c r="A575" s="2" t="s">
        <v>600</v>
      </c>
      <c r="B575" s="3" t="str">
        <f>HYPERLINK("https://www.suredividend.com/sure-analysis-research-database/","Paragon 28 Inc")</f>
        <v>Paragon 28 Inc</v>
      </c>
      <c r="C575" s="2" t="s">
        <v>15</v>
      </c>
      <c r="D575" s="4">
        <v>13.2</v>
      </c>
      <c r="E575" s="5">
        <v>0.0</v>
      </c>
      <c r="F575" s="5" t="s">
        <v>15</v>
      </c>
      <c r="G575" s="5" t="s">
        <v>15</v>
      </c>
      <c r="H575" s="4">
        <v>0.0</v>
      </c>
      <c r="I575" s="4">
        <v>1052.786365</v>
      </c>
      <c r="J575" s="6" t="s">
        <v>15</v>
      </c>
      <c r="K575" s="5">
        <v>0.0</v>
      </c>
      <c r="L575" s="7">
        <v>1.17874222014893</v>
      </c>
      <c r="M575" s="4">
        <v>19.72</v>
      </c>
      <c r="N575" s="2">
        <v>7.95</v>
      </c>
    </row>
    <row r="576">
      <c r="A576" s="2" t="s">
        <v>601</v>
      </c>
      <c r="B576" s="3" t="str">
        <f>HYPERLINK("https://www.suredividend.com/sure-analysis-research-database/","Funko Inc")</f>
        <v>Funko Inc</v>
      </c>
      <c r="C576" s="2" t="s">
        <v>25</v>
      </c>
      <c r="D576" s="4">
        <v>7.51</v>
      </c>
      <c r="E576" s="5">
        <v>0.0</v>
      </c>
      <c r="F576" s="5" t="s">
        <v>15</v>
      </c>
      <c r="G576" s="5" t="s">
        <v>15</v>
      </c>
      <c r="H576" s="4">
        <v>0.0</v>
      </c>
      <c r="I576" s="4">
        <v>377.031479</v>
      </c>
      <c r="J576" s="6" t="s">
        <v>15</v>
      </c>
      <c r="K576" s="5">
        <v>0.0</v>
      </c>
      <c r="L576" s="7">
        <v>2.11896005846503</v>
      </c>
      <c r="M576" s="4">
        <v>13.42</v>
      </c>
      <c r="N576" s="2">
        <v>5.27</v>
      </c>
    </row>
    <row r="577">
      <c r="A577" s="2" t="s">
        <v>602</v>
      </c>
      <c r="B577" s="3" t="str">
        <f>HYPERLINK("https://www.suredividend.com/sure-analysis-research-database/","First Bancorp Inc (ME)")</f>
        <v>First Bancorp Inc (ME)</v>
      </c>
      <c r="C577" s="2" t="s">
        <v>22</v>
      </c>
      <c r="D577" s="4">
        <v>24.3</v>
      </c>
      <c r="E577" s="5">
        <v>0.050943551927387</v>
      </c>
      <c r="F577" s="5">
        <v>0.0294117647058824</v>
      </c>
      <c r="G577" s="5">
        <v>0.0383266700886169</v>
      </c>
      <c r="H577" s="4">
        <v>1.33573993153609</v>
      </c>
      <c r="I577" s="4">
        <v>290.883762</v>
      </c>
      <c r="J577" s="6">
        <v>9.07990268135847</v>
      </c>
      <c r="K577" s="5">
        <v>0.460599976391755</v>
      </c>
      <c r="L577" s="7">
        <v>0.677473880313726</v>
      </c>
      <c r="M577" s="4">
        <v>28.62</v>
      </c>
      <c r="N577" s="2">
        <v>20.71</v>
      </c>
    </row>
    <row r="578">
      <c r="A578" s="2" t="s">
        <v>603</v>
      </c>
      <c r="B578" s="3" t="str">
        <f>HYPERLINK("https://www.suredividend.com/sure-analysis-research-database/","Finance of America Companies Inc")</f>
        <v>Finance of America Companies Inc</v>
      </c>
      <c r="C578" s="2" t="s">
        <v>15</v>
      </c>
      <c r="D578" s="4">
        <v>0.75</v>
      </c>
      <c r="E578" s="5">
        <v>0.0</v>
      </c>
      <c r="F578" s="5" t="s">
        <v>15</v>
      </c>
      <c r="G578" s="5" t="s">
        <v>15</v>
      </c>
      <c r="H578" s="4">
        <v>0.0</v>
      </c>
      <c r="I578" s="4">
        <v>79.325426</v>
      </c>
      <c r="J578" s="6">
        <v>0.0</v>
      </c>
      <c r="K578" s="5" t="s">
        <v>15</v>
      </c>
      <c r="L578" s="7">
        <v>1.3674833300047</v>
      </c>
      <c r="M578" s="4">
        <v>2.25</v>
      </c>
      <c r="N578" s="2">
        <v>0.681</v>
      </c>
    </row>
    <row r="579">
      <c r="A579" s="2" t="s">
        <v>604</v>
      </c>
      <c r="B579" s="3" t="str">
        <f>HYPERLINK("https://www.suredividend.com/sure-analysis-research-database/","Focus Financial Partners Inc")</f>
        <v>Focus Financial Partners Inc</v>
      </c>
      <c r="C579" s="2" t="s">
        <v>22</v>
      </c>
      <c r="D579" s="4">
        <v>52.99</v>
      </c>
      <c r="E579" s="5">
        <v>0.0</v>
      </c>
      <c r="F579" s="5" t="s">
        <v>15</v>
      </c>
      <c r="G579" s="5" t="s">
        <v>15</v>
      </c>
      <c r="H579" s="4">
        <v>0.0</v>
      </c>
      <c r="I579" s="4">
        <v>0.0</v>
      </c>
      <c r="J579" s="6">
        <v>0.0</v>
      </c>
      <c r="K579" s="5" t="s">
        <v>15</v>
      </c>
      <c r="L579" s="7"/>
      <c r="M579" s="4" t="s">
        <v>49</v>
      </c>
      <c r="N579" s="2" t="s">
        <v>49</v>
      </c>
    </row>
    <row r="580">
      <c r="A580" s="2" t="s">
        <v>605</v>
      </c>
      <c r="B580" s="3" t="str">
        <f>HYPERLINK("https://www.suredividend.com/sure-analysis-research-database/","Amicus Therapeutics Inc")</f>
        <v>Amicus Therapeutics Inc</v>
      </c>
      <c r="C580" s="2" t="s">
        <v>30</v>
      </c>
      <c r="D580" s="4">
        <v>12.7</v>
      </c>
      <c r="E580" s="5">
        <v>0.0</v>
      </c>
      <c r="F580" s="5" t="s">
        <v>15</v>
      </c>
      <c r="G580" s="5" t="s">
        <v>15</v>
      </c>
      <c r="H580" s="4">
        <v>0.0</v>
      </c>
      <c r="I580" s="4">
        <v>3803.397222</v>
      </c>
      <c r="J580" s="6" t="s">
        <v>15</v>
      </c>
      <c r="K580" s="5">
        <v>0.0</v>
      </c>
      <c r="L580" s="7">
        <v>0.963649449936327</v>
      </c>
      <c r="M580" s="4">
        <v>14.57</v>
      </c>
      <c r="N580" s="2">
        <v>9.7</v>
      </c>
    </row>
    <row r="581">
      <c r="A581" s="2" t="s">
        <v>606</v>
      </c>
      <c r="B581" s="3" t="str">
        <f>HYPERLINK("https://www.suredividend.com/sure-analysis-research-database/","Forestar Group Inc")</f>
        <v>Forestar Group Inc</v>
      </c>
      <c r="C581" s="2" t="s">
        <v>20</v>
      </c>
      <c r="D581" s="4">
        <v>30.43</v>
      </c>
      <c r="E581" s="5">
        <v>0.0</v>
      </c>
      <c r="F581" s="5" t="s">
        <v>15</v>
      </c>
      <c r="G581" s="5" t="s">
        <v>15</v>
      </c>
      <c r="H581" s="4">
        <v>0.0</v>
      </c>
      <c r="I581" s="4">
        <v>1593.735596</v>
      </c>
      <c r="J581" s="6">
        <v>8.64750730542593</v>
      </c>
      <c r="K581" s="5">
        <v>0.0</v>
      </c>
      <c r="L581" s="7">
        <v>1.05474735130943</v>
      </c>
      <c r="M581" s="4">
        <v>38.73</v>
      </c>
      <c r="N581" s="2">
        <v>13.72</v>
      </c>
    </row>
    <row r="582">
      <c r="A582" s="2" t="s">
        <v>607</v>
      </c>
      <c r="B582" s="3" t="str">
        <f>HYPERLINK("https://www.suredividend.com/sure-analysis-research-database/","ForgeRock Inc")</f>
        <v>ForgeRock Inc</v>
      </c>
      <c r="C582" s="2" t="s">
        <v>15</v>
      </c>
      <c r="D582" s="4">
        <v>23.21</v>
      </c>
      <c r="E582" s="5">
        <v>0.0</v>
      </c>
      <c r="F582" s="5" t="s">
        <v>15</v>
      </c>
      <c r="G582" s="5" t="s">
        <v>15</v>
      </c>
      <c r="H582" s="4">
        <v>0.0</v>
      </c>
      <c r="I582" s="4">
        <v>1226.711678</v>
      </c>
      <c r="J582" s="6" t="s">
        <v>15</v>
      </c>
      <c r="K582" s="5">
        <v>0.0</v>
      </c>
      <c r="L582" s="7">
        <v>0.214752795501325</v>
      </c>
      <c r="M582" s="4">
        <v>23.8</v>
      </c>
      <c r="N582" s="2">
        <v>14.13</v>
      </c>
    </row>
    <row r="583">
      <c r="A583" s="2" t="s">
        <v>608</v>
      </c>
      <c r="B583" s="3" t="str">
        <f>HYPERLINK("https://www.suredividend.com/sure-analysis-research-database/","FormFactor Inc.")</f>
        <v>FormFactor Inc.</v>
      </c>
      <c r="C583" s="2" t="s">
        <v>40</v>
      </c>
      <c r="D583" s="4">
        <v>39.29</v>
      </c>
      <c r="E583" s="5">
        <v>0.0</v>
      </c>
      <c r="F583" s="5" t="s">
        <v>15</v>
      </c>
      <c r="G583" s="5" t="s">
        <v>15</v>
      </c>
      <c r="H583" s="4">
        <v>0.0</v>
      </c>
      <c r="I583" s="4">
        <v>3266.822</v>
      </c>
      <c r="J583" s="6" t="s">
        <v>15</v>
      </c>
      <c r="K583" s="5">
        <v>0.0</v>
      </c>
      <c r="L583" s="7">
        <v>1.66319521773212</v>
      </c>
      <c r="M583" s="4">
        <v>45.15</v>
      </c>
      <c r="N583" s="2">
        <v>24.88</v>
      </c>
    </row>
    <row r="584">
      <c r="A584" s="2" t="s">
        <v>609</v>
      </c>
      <c r="B584" s="3" t="str">
        <f>HYPERLINK("https://www.suredividend.com/sure-analysis-research-database/","Forrester Research Inc.")</f>
        <v>Forrester Research Inc.</v>
      </c>
      <c r="C584" s="2" t="s">
        <v>17</v>
      </c>
      <c r="D584" s="4">
        <v>24.53</v>
      </c>
      <c r="E584" s="5">
        <v>0.0</v>
      </c>
      <c r="F584" s="5" t="s">
        <v>15</v>
      </c>
      <c r="G584" s="5" t="s">
        <v>15</v>
      </c>
      <c r="H584" s="4">
        <v>0.0</v>
      </c>
      <c r="I584" s="4">
        <v>520.41495</v>
      </c>
      <c r="J584" s="6">
        <v>249.839150264042</v>
      </c>
      <c r="K584" s="5">
        <v>0.0</v>
      </c>
      <c r="L584" s="7">
        <v>0.932601629207472</v>
      </c>
      <c r="M584" s="4">
        <v>39.09</v>
      </c>
      <c r="N584" s="2">
        <v>22.27</v>
      </c>
    </row>
    <row r="585">
      <c r="A585" s="2" t="s">
        <v>610</v>
      </c>
      <c r="B585" s="3" t="str">
        <f>HYPERLINK("https://www.suredividend.com/sure-analysis-research-database/","Fossil Group Inc")</f>
        <v>Fossil Group Inc</v>
      </c>
      <c r="C585" s="2" t="s">
        <v>25</v>
      </c>
      <c r="D585" s="4">
        <v>1.08</v>
      </c>
      <c r="E585" s="5">
        <v>0.0</v>
      </c>
      <c r="F585" s="5" t="s">
        <v>15</v>
      </c>
      <c r="G585" s="5" t="s">
        <v>15</v>
      </c>
      <c r="H585" s="4">
        <v>0.0</v>
      </c>
      <c r="I585" s="4">
        <v>62.973046</v>
      </c>
      <c r="J585" s="6" t="s">
        <v>15</v>
      </c>
      <c r="K585" s="5">
        <v>0.0</v>
      </c>
      <c r="L585" s="7">
        <v>2.1641942722489</v>
      </c>
      <c r="M585" s="4">
        <v>6.08</v>
      </c>
      <c r="N585" s="2">
        <v>1.07</v>
      </c>
    </row>
    <row r="586">
      <c r="A586" s="2" t="s">
        <v>611</v>
      </c>
      <c r="B586" s="3" t="str">
        <f>HYPERLINK("https://www.suredividend.com/sure-analysis-research-database/","Fox Factory Holding Corp")</f>
        <v>Fox Factory Holding Corp</v>
      </c>
      <c r="C586" s="2" t="s">
        <v>25</v>
      </c>
      <c r="D586" s="4">
        <v>61.56</v>
      </c>
      <c r="E586" s="5">
        <v>0.0</v>
      </c>
      <c r="F586" s="5" t="s">
        <v>15</v>
      </c>
      <c r="G586" s="5" t="s">
        <v>15</v>
      </c>
      <c r="H586" s="4">
        <v>0.0</v>
      </c>
      <c r="I586" s="4">
        <v>2805.194021</v>
      </c>
      <c r="J586" s="6">
        <v>16.5250540279463</v>
      </c>
      <c r="K586" s="5">
        <v>0.0</v>
      </c>
      <c r="L586" s="7">
        <v>1.21783994335306</v>
      </c>
      <c r="M586" s="4">
        <v>127.54</v>
      </c>
      <c r="N586" s="2">
        <v>49.12</v>
      </c>
    </row>
    <row r="587">
      <c r="A587" s="2" t="s">
        <v>612</v>
      </c>
      <c r="B587" s="3" t="str">
        <f>HYPERLINK("https://www.suredividend.com/sure-analysis-research-database/","Farmland Partners Inc")</f>
        <v>Farmland Partners Inc</v>
      </c>
      <c r="C587" s="2" t="s">
        <v>20</v>
      </c>
      <c r="D587" s="4">
        <v>11.04</v>
      </c>
      <c r="E587" s="5">
        <v>0.02065787625723</v>
      </c>
      <c r="F587" s="5">
        <v>0.0</v>
      </c>
      <c r="G587" s="5">
        <v>0.0371372893366481</v>
      </c>
      <c r="H587" s="4">
        <v>0.23529321056986</v>
      </c>
      <c r="I587" s="4">
        <v>548.837959</v>
      </c>
      <c r="J587" s="6">
        <v>0.0</v>
      </c>
      <c r="K587" s="5" t="s">
        <v>15</v>
      </c>
      <c r="L587" s="7">
        <v>0.845020705725016</v>
      </c>
      <c r="M587" s="4">
        <v>12.92</v>
      </c>
      <c r="N587" s="2">
        <v>9.09</v>
      </c>
    </row>
    <row r="588">
      <c r="A588" s="2" t="s">
        <v>613</v>
      </c>
      <c r="B588" s="3" t="str">
        <f>HYPERLINK("https://www.suredividend.com/sure-analysis-research-database/","First Bank (NJ)")</f>
        <v>First Bank (NJ)</v>
      </c>
      <c r="C588" s="2" t="s">
        <v>22</v>
      </c>
      <c r="D588" s="4">
        <v>13.21</v>
      </c>
      <c r="E588" s="5">
        <v>0.016264102925767</v>
      </c>
      <c r="F588" s="5">
        <v>0.0</v>
      </c>
      <c r="G588" s="5">
        <v>0.148698354997035</v>
      </c>
      <c r="H588" s="4">
        <v>0.236642697569913</v>
      </c>
      <c r="I588" s="4">
        <v>284.73381</v>
      </c>
      <c r="J588" s="6">
        <v>0.0</v>
      </c>
      <c r="K588" s="5" t="s">
        <v>15</v>
      </c>
      <c r="L588" s="7">
        <v>1.0728010559379</v>
      </c>
      <c r="M588" s="4">
        <v>15.17</v>
      </c>
      <c r="N588" s="2">
        <v>8.37</v>
      </c>
    </row>
    <row r="589">
      <c r="A589" s="2" t="s">
        <v>614</v>
      </c>
      <c r="B589" s="3" t="str">
        <f>HYPERLINK("https://www.suredividend.com/sure-analysis-research-database/","Republic First Bancorp, Inc.")</f>
        <v>Republic First Bancorp, Inc.</v>
      </c>
      <c r="C589" s="2" t="s">
        <v>22</v>
      </c>
      <c r="D589" s="4">
        <v>0.0505</v>
      </c>
      <c r="E589" s="5">
        <v>0.0</v>
      </c>
      <c r="F589" s="5" t="s">
        <v>15</v>
      </c>
      <c r="G589" s="5" t="s">
        <v>15</v>
      </c>
      <c r="H589" s="4">
        <v>0.0</v>
      </c>
      <c r="I589" s="4">
        <v>3.50917</v>
      </c>
      <c r="J589" s="6">
        <v>0.230578247585255</v>
      </c>
      <c r="K589" s="5">
        <v>0.0</v>
      </c>
      <c r="L589" s="7"/>
      <c r="M589" s="4">
        <v>0.7</v>
      </c>
      <c r="N589" s="2">
        <v>3.0E-4</v>
      </c>
    </row>
    <row r="590">
      <c r="A590" s="2" t="s">
        <v>615</v>
      </c>
      <c r="B590" s="3" t="str">
        <f>HYPERLINK("https://www.suredividend.com/sure-analysis-research-database/","Whole Earth Brands Inc")</f>
        <v>Whole Earth Brands Inc</v>
      </c>
      <c r="C590" s="2" t="s">
        <v>15</v>
      </c>
      <c r="D590" s="4">
        <v>3.95</v>
      </c>
      <c r="E590" s="5">
        <v>0.0</v>
      </c>
      <c r="F590" s="5" t="s">
        <v>15</v>
      </c>
      <c r="G590" s="5" t="s">
        <v>15</v>
      </c>
      <c r="H590" s="4">
        <v>0.0</v>
      </c>
      <c r="I590" s="4">
        <v>167.118569</v>
      </c>
      <c r="J590" s="6" t="s">
        <v>15</v>
      </c>
      <c r="K590" s="5">
        <v>0.0</v>
      </c>
      <c r="L590" s="7">
        <v>0.969958603168877</v>
      </c>
      <c r="M590" s="4">
        <v>4.26</v>
      </c>
      <c r="N590" s="2">
        <v>2.09</v>
      </c>
    </row>
    <row r="591">
      <c r="A591" s="2" t="s">
        <v>616</v>
      </c>
      <c r="B591" s="3" t="str">
        <f>HYPERLINK("https://www.suredividend.com/sure-analysis-research-database/","Franchise Group Inc")</f>
        <v>Franchise Group Inc</v>
      </c>
      <c r="C591" s="2" t="s">
        <v>25</v>
      </c>
      <c r="D591" s="4">
        <v>29.88</v>
      </c>
      <c r="E591" s="5">
        <v>0.0</v>
      </c>
      <c r="F591" s="5" t="s">
        <v>15</v>
      </c>
      <c r="G591" s="5" t="s">
        <v>15</v>
      </c>
      <c r="H591" s="4">
        <v>1.875</v>
      </c>
      <c r="I591" s="4">
        <v>0.0</v>
      </c>
      <c r="J591" s="6">
        <v>0.0</v>
      </c>
      <c r="K591" s="5" t="s">
        <v>15</v>
      </c>
      <c r="L591" s="7"/>
      <c r="M591" s="4" t="s">
        <v>49</v>
      </c>
      <c r="N591" s="2" t="s">
        <v>49</v>
      </c>
    </row>
    <row r="592">
      <c r="A592" s="2" t="s">
        <v>617</v>
      </c>
      <c r="B592" s="3" t="str">
        <f>HYPERLINK("https://www.suredividend.com/sure-analysis-research-database/","First Merchants Corp.")</f>
        <v>First Merchants Corp.</v>
      </c>
      <c r="C592" s="2" t="s">
        <v>22</v>
      </c>
      <c r="D592" s="4">
        <v>33.24</v>
      </c>
      <c r="E592" s="5">
        <v>0.036805536754366</v>
      </c>
      <c r="F592" s="5">
        <v>0.0625</v>
      </c>
      <c r="G592" s="5">
        <v>0.0909660785014496</v>
      </c>
      <c r="H592" s="4">
        <v>1.29592294912124</v>
      </c>
      <c r="I592" s="4">
        <v>2091.404355</v>
      </c>
      <c r="J592" s="6">
        <v>8.35916414376101</v>
      </c>
      <c r="K592" s="5">
        <v>0.307820177938537</v>
      </c>
      <c r="L592" s="7">
        <v>1.37562480439631</v>
      </c>
      <c r="M592" s="4">
        <v>40.65</v>
      </c>
      <c r="N592" s="2">
        <v>22.85</v>
      </c>
    </row>
    <row r="593">
      <c r="A593" s="2" t="s">
        <v>618</v>
      </c>
      <c r="B593" s="3" t="str">
        <f>HYPERLINK("https://www.suredividend.com/sure-analysis-research-database/","Frontline Plc")</f>
        <v>Frontline Plc</v>
      </c>
      <c r="C593" s="2" t="s">
        <v>125</v>
      </c>
      <c r="D593" s="4">
        <v>21.72</v>
      </c>
      <c r="E593" s="5">
        <v>0.121294239674256</v>
      </c>
      <c r="F593" s="5" t="s">
        <v>15</v>
      </c>
      <c r="G593" s="5" t="s">
        <v>15</v>
      </c>
      <c r="H593" s="4">
        <v>2.70122271754569</v>
      </c>
      <c r="I593" s="4">
        <v>4957.811738</v>
      </c>
      <c r="J593" s="6">
        <v>6.34887582729326</v>
      </c>
      <c r="K593" s="5">
        <v>0.78070020738315</v>
      </c>
      <c r="L593" s="7">
        <v>0.53422794362283</v>
      </c>
      <c r="M593" s="4">
        <v>23.14</v>
      </c>
      <c r="N593" s="2">
        <v>11.54</v>
      </c>
    </row>
    <row r="594">
      <c r="A594" s="2" t="s">
        <v>619</v>
      </c>
      <c r="B594" s="3" t="str">
        <f>HYPERLINK("https://www.suredividend.com/sure-analysis-research-database/","FRP Holdings Inc")</f>
        <v>FRP Holdings Inc</v>
      </c>
      <c r="C594" s="2" t="s">
        <v>20</v>
      </c>
      <c r="D594" s="4">
        <v>58.22</v>
      </c>
      <c r="E594" s="5">
        <v>0.0</v>
      </c>
      <c r="F594" s="5" t="s">
        <v>15</v>
      </c>
      <c r="G594" s="5" t="s">
        <v>15</v>
      </c>
      <c r="H594" s="4">
        <v>0.0</v>
      </c>
      <c r="I594" s="4">
        <v>580.946475</v>
      </c>
      <c r="J594" s="6">
        <v>112.195147779065</v>
      </c>
      <c r="K594" s="5">
        <v>0.0</v>
      </c>
      <c r="L594" s="7">
        <v>0.853853706483766</v>
      </c>
      <c r="M594" s="4">
        <v>65.0</v>
      </c>
      <c r="N594" s="2">
        <v>52.45</v>
      </c>
    </row>
    <row r="595">
      <c r="A595" s="2" t="s">
        <v>620</v>
      </c>
      <c r="B595" s="3" t="str">
        <f>HYPERLINK("https://www.suredividend.com/sure-analysis-research-database/","Primis Financial Corp")</f>
        <v>Primis Financial Corp</v>
      </c>
      <c r="C595" s="2" t="s">
        <v>15</v>
      </c>
      <c r="D595" s="4">
        <v>12.68</v>
      </c>
      <c r="E595" s="5">
        <v>0.029104284994885</v>
      </c>
      <c r="F595" s="5">
        <v>0.0</v>
      </c>
      <c r="G595" s="5">
        <v>0.0212956876001351</v>
      </c>
      <c r="H595" s="4">
        <v>0.38854220468172</v>
      </c>
      <c r="I595" s="4">
        <v>329.501549</v>
      </c>
      <c r="J595" s="6">
        <v>0.0</v>
      </c>
      <c r="K595" s="5" t="s">
        <v>15</v>
      </c>
      <c r="L595" s="7">
        <v>1.21157187436227</v>
      </c>
      <c r="M595" s="4">
        <v>13.49</v>
      </c>
      <c r="N595" s="2">
        <v>6.64</v>
      </c>
    </row>
    <row r="596">
      <c r="A596" s="2" t="s">
        <v>621</v>
      </c>
      <c r="B596" s="3" t="str">
        <f>HYPERLINK("https://www.suredividend.com/sure-analysis-research-database/","Five Star Bancorp")</f>
        <v>Five Star Bancorp</v>
      </c>
      <c r="C596" s="2" t="s">
        <v>22</v>
      </c>
      <c r="D596" s="4">
        <v>22.81</v>
      </c>
      <c r="E596" s="5">
        <v>0.028644933454967</v>
      </c>
      <c r="F596" s="5" t="s">
        <v>15</v>
      </c>
      <c r="G596" s="5" t="s">
        <v>15</v>
      </c>
      <c r="H596" s="4">
        <v>0.730445803101661</v>
      </c>
      <c r="I596" s="4">
        <v>440.054087</v>
      </c>
      <c r="J596" s="6">
        <v>8.76305009259812</v>
      </c>
      <c r="K596" s="5">
        <v>0.250152672295089</v>
      </c>
      <c r="L596" s="7">
        <v>1.14489152152201</v>
      </c>
      <c r="M596" s="4">
        <v>28.25</v>
      </c>
      <c r="N596" s="2">
        <v>17.1</v>
      </c>
    </row>
    <row r="597">
      <c r="A597" s="2" t="s">
        <v>622</v>
      </c>
      <c r="B597" s="3" t="str">
        <f>HYPERLINK("https://www.suredividend.com/sure-analysis-research-database/","Fastly Inc")</f>
        <v>Fastly Inc</v>
      </c>
      <c r="C597" s="2" t="s">
        <v>40</v>
      </c>
      <c r="D597" s="4">
        <v>21.71</v>
      </c>
      <c r="E597" s="5">
        <v>0.0</v>
      </c>
      <c r="F597" s="5" t="s">
        <v>15</v>
      </c>
      <c r="G597" s="5" t="s">
        <v>15</v>
      </c>
      <c r="H597" s="4">
        <v>0.0</v>
      </c>
      <c r="I597" s="4">
        <v>2771.652</v>
      </c>
      <c r="J597" s="6" t="s">
        <v>15</v>
      </c>
      <c r="K597" s="5">
        <v>0.0</v>
      </c>
      <c r="L597" s="7">
        <v>2.87423652618897</v>
      </c>
      <c r="M597" s="4">
        <v>24.31</v>
      </c>
      <c r="N597" s="2">
        <v>9.72</v>
      </c>
    </row>
    <row r="598">
      <c r="A598" s="2" t="s">
        <v>623</v>
      </c>
      <c r="B598" s="3" t="str">
        <f>HYPERLINK("https://www.suredividend.com/sure-analysis-research-database/","Franklin Street Properties Corp.")</f>
        <v>Franklin Street Properties Corp.</v>
      </c>
      <c r="C598" s="2" t="s">
        <v>20</v>
      </c>
      <c r="D598" s="4">
        <v>2.45</v>
      </c>
      <c r="E598" s="5">
        <v>0.015850937296368</v>
      </c>
      <c r="F598" s="5">
        <v>0.0</v>
      </c>
      <c r="G598" s="5">
        <v>-0.355605985022745</v>
      </c>
      <c r="H598" s="4">
        <v>0.039468833867958</v>
      </c>
      <c r="I598" s="4">
        <v>257.541579</v>
      </c>
      <c r="J598" s="6" t="s">
        <v>15</v>
      </c>
      <c r="K598" s="5" t="s">
        <v>15</v>
      </c>
      <c r="L598" s="7">
        <v>1.51282227266274</v>
      </c>
      <c r="M598" s="4">
        <v>3.09</v>
      </c>
      <c r="N598" s="2">
        <v>1.1</v>
      </c>
    </row>
    <row r="599">
      <c r="A599" s="2" t="s">
        <v>624</v>
      </c>
      <c r="B599" s="3" t="str">
        <f>HYPERLINK("https://www.suredividend.com/sure-analysis-research-database/","Fisker Inc")</f>
        <v>Fisker Inc</v>
      </c>
      <c r="C599" s="2" t="s">
        <v>15</v>
      </c>
      <c r="D599" s="4">
        <v>0.76</v>
      </c>
      <c r="E599" s="5">
        <v>0.0</v>
      </c>
      <c r="F599" s="5" t="s">
        <v>15</v>
      </c>
      <c r="G599" s="5" t="s">
        <v>15</v>
      </c>
      <c r="H599" s="4">
        <v>0.0</v>
      </c>
      <c r="I599" s="4">
        <v>198.934268</v>
      </c>
      <c r="J599" s="6" t="s">
        <v>15</v>
      </c>
      <c r="K599" s="5">
        <v>0.0</v>
      </c>
      <c r="L599" s="7">
        <v>1.26773521656318</v>
      </c>
      <c r="M599" s="4">
        <v>8.59</v>
      </c>
      <c r="N599" s="2">
        <v>0.7255</v>
      </c>
    </row>
    <row r="600">
      <c r="A600" s="2" t="s">
        <v>625</v>
      </c>
      <c r="B600" s="3" t="str">
        <f>HYPERLINK("https://www.suredividend.com/sure-analysis-research-database/","Federal Signal Corp.")</f>
        <v>Federal Signal Corp.</v>
      </c>
      <c r="C600" s="2" t="s">
        <v>17</v>
      </c>
      <c r="D600" s="4">
        <v>78.25</v>
      </c>
      <c r="E600" s="5">
        <v>0.004964275670493</v>
      </c>
      <c r="F600" s="5">
        <v>0.111111111111111</v>
      </c>
      <c r="G600" s="5">
        <v>0.0456395525912731</v>
      </c>
      <c r="H600" s="4">
        <v>0.389099927053311</v>
      </c>
      <c r="I600" s="4">
        <v>4775.600363</v>
      </c>
      <c r="J600" s="6">
        <v>32.7994530421703</v>
      </c>
      <c r="K600" s="5">
        <v>0.164177184410679</v>
      </c>
      <c r="L600" s="7">
        <v>1.0344794020303</v>
      </c>
      <c r="M600" s="4">
        <v>78.54</v>
      </c>
      <c r="N600" s="2">
        <v>49.25</v>
      </c>
    </row>
    <row r="601">
      <c r="A601" s="2" t="s">
        <v>626</v>
      </c>
      <c r="B601" s="3" t="str">
        <f>HYPERLINK("https://www.suredividend.com/sure-analysis-research-database/","FTC Solar Inc")</f>
        <v>FTC Solar Inc</v>
      </c>
      <c r="C601" s="2" t="s">
        <v>15</v>
      </c>
      <c r="D601" s="4">
        <v>0.4619</v>
      </c>
      <c r="E601" s="5">
        <v>0.0</v>
      </c>
      <c r="F601" s="5" t="s">
        <v>15</v>
      </c>
      <c r="G601" s="5" t="s">
        <v>15</v>
      </c>
      <c r="H601" s="4">
        <v>0.0</v>
      </c>
      <c r="I601" s="4">
        <v>72.478374</v>
      </c>
      <c r="J601" s="6" t="s">
        <v>15</v>
      </c>
      <c r="K601" s="5">
        <v>0.0</v>
      </c>
      <c r="L601" s="7">
        <v>1.89262063538339</v>
      </c>
      <c r="M601" s="4">
        <v>3.87</v>
      </c>
      <c r="N601" s="2">
        <v>0.2821</v>
      </c>
    </row>
    <row r="602">
      <c r="A602" s="2" t="s">
        <v>627</v>
      </c>
      <c r="B602" s="3" t="str">
        <f>HYPERLINK("https://www.suredividend.com/sure-analysis-research-database/","Frontdoor Inc.")</f>
        <v>Frontdoor Inc.</v>
      </c>
      <c r="C602" s="2" t="s">
        <v>25</v>
      </c>
      <c r="D602" s="4">
        <v>32.4</v>
      </c>
      <c r="E602" s="5">
        <v>0.0</v>
      </c>
      <c r="F602" s="5" t="s">
        <v>15</v>
      </c>
      <c r="G602" s="5" t="s">
        <v>15</v>
      </c>
      <c r="H602" s="4">
        <v>0.0</v>
      </c>
      <c r="I602" s="4">
        <v>2675.29033</v>
      </c>
      <c r="J602" s="6">
        <v>15.6449726877193</v>
      </c>
      <c r="K602" s="5">
        <v>0.0</v>
      </c>
      <c r="L602" s="7">
        <v>0.96077232263511</v>
      </c>
      <c r="M602" s="4">
        <v>38.97</v>
      </c>
      <c r="N602" s="2">
        <v>24.98</v>
      </c>
    </row>
    <row r="603">
      <c r="A603" s="2" t="s">
        <v>628</v>
      </c>
      <c r="B603" s="3" t="str">
        <f>HYPERLINK("https://www.suredividend.com/sure-analysis-research-database/","fuboTV Inc")</f>
        <v>fuboTV Inc</v>
      </c>
      <c r="C603" s="2" t="s">
        <v>15</v>
      </c>
      <c r="D603" s="4">
        <v>2.42</v>
      </c>
      <c r="E603" s="5">
        <v>0.0</v>
      </c>
      <c r="F603" s="5" t="s">
        <v>15</v>
      </c>
      <c r="G603" s="5" t="s">
        <v>15</v>
      </c>
      <c r="H603" s="4">
        <v>0.0</v>
      </c>
      <c r="I603" s="4">
        <v>796.431017</v>
      </c>
      <c r="J603" s="6">
        <v>0.0</v>
      </c>
      <c r="K603" s="5" t="s">
        <v>15</v>
      </c>
      <c r="L603" s="7">
        <v>3.80405299018425</v>
      </c>
      <c r="M603" s="4">
        <v>3.87</v>
      </c>
      <c r="N603" s="2">
        <v>0.96</v>
      </c>
    </row>
    <row r="604">
      <c r="A604" s="2" t="s">
        <v>629</v>
      </c>
      <c r="B604" s="3" t="str">
        <f>HYPERLINK("https://www.suredividend.com/sure-analysis-FUL/","H.B. Fuller Company")</f>
        <v>H.B. Fuller Company</v>
      </c>
      <c r="C604" s="2" t="s">
        <v>130</v>
      </c>
      <c r="D604" s="4">
        <v>75.02</v>
      </c>
      <c r="E604" s="5">
        <v>0.0109304185550519</v>
      </c>
      <c r="F604" s="5">
        <v>0.0789473684210526</v>
      </c>
      <c r="G604" s="5">
        <v>0.0575098776307356</v>
      </c>
      <c r="H604" s="4">
        <v>0.801576306189842</v>
      </c>
      <c r="I604" s="4">
        <v>4229.305507</v>
      </c>
      <c r="J604" s="6">
        <v>29.186545121113</v>
      </c>
      <c r="K604" s="5">
        <v>0.309488921308819</v>
      </c>
      <c r="L604" s="7">
        <v>1.2119788033744</v>
      </c>
      <c r="M604" s="4">
        <v>83.64</v>
      </c>
      <c r="N604" s="2">
        <v>62.21</v>
      </c>
    </row>
    <row r="605">
      <c r="A605" s="2" t="s">
        <v>630</v>
      </c>
      <c r="B605" s="3" t="str">
        <f>HYPERLINK("https://www.suredividend.com/sure-analysis-research-database/","Fulcrum Therapeutics Inc")</f>
        <v>Fulcrum Therapeutics Inc</v>
      </c>
      <c r="C605" s="2" t="s">
        <v>30</v>
      </c>
      <c r="D605" s="4">
        <v>7.95</v>
      </c>
      <c r="E605" s="5">
        <v>0.0</v>
      </c>
      <c r="F605" s="5" t="s">
        <v>15</v>
      </c>
      <c r="G605" s="5" t="s">
        <v>15</v>
      </c>
      <c r="H605" s="4">
        <v>0.0</v>
      </c>
      <c r="I605" s="4">
        <v>463.050929</v>
      </c>
      <c r="J605" s="6" t="s">
        <v>15</v>
      </c>
      <c r="K605" s="5">
        <v>0.0</v>
      </c>
      <c r="L605" s="7">
        <v>2.15982359235115</v>
      </c>
      <c r="M605" s="4">
        <v>14.1</v>
      </c>
      <c r="N605" s="2">
        <v>2.25</v>
      </c>
    </row>
    <row r="606">
      <c r="A606" s="2" t="s">
        <v>631</v>
      </c>
      <c r="B606" s="3" t="str">
        <f>HYPERLINK("https://www.suredividend.com/sure-analysis-FULT/","Fulton Financial Corp.")</f>
        <v>Fulton Financial Corp.</v>
      </c>
      <c r="C606" s="2" t="s">
        <v>22</v>
      </c>
      <c r="D606" s="4">
        <v>15.31</v>
      </c>
      <c r="E606" s="5">
        <v>0.0444154147615937</v>
      </c>
      <c r="F606" s="5">
        <v>0.133333333333333</v>
      </c>
      <c r="G606" s="5">
        <v>0.0551181986832045</v>
      </c>
      <c r="H606" s="4">
        <v>0.623513442073568</v>
      </c>
      <c r="I606" s="4">
        <v>2702.577836</v>
      </c>
      <c r="J606" s="6">
        <v>9.26800422368768</v>
      </c>
      <c r="K606" s="5">
        <v>0.35834105866297</v>
      </c>
      <c r="L606" s="7">
        <v>1.40074639958937</v>
      </c>
      <c r="M606" s="4">
        <v>16.89</v>
      </c>
      <c r="N606" s="2">
        <v>9.05</v>
      </c>
    </row>
    <row r="607">
      <c r="A607" s="2" t="s">
        <v>632</v>
      </c>
      <c r="B607" s="3" t="str">
        <f>HYPERLINK("https://www.suredividend.com/sure-analysis-research-database/","FVCBankcorp Inc")</f>
        <v>FVCBankcorp Inc</v>
      </c>
      <c r="C607" s="2" t="s">
        <v>22</v>
      </c>
      <c r="D607" s="4">
        <v>11.4</v>
      </c>
      <c r="E607" s="5">
        <v>0.0</v>
      </c>
      <c r="F607" s="5" t="s">
        <v>15</v>
      </c>
      <c r="G607" s="5" t="s">
        <v>15</v>
      </c>
      <c r="H607" s="4">
        <v>0.0</v>
      </c>
      <c r="I607" s="4">
        <v>232.496379</v>
      </c>
      <c r="J607" s="6">
        <v>16.8524484908669</v>
      </c>
      <c r="K607" s="5">
        <v>0.0</v>
      </c>
      <c r="L607" s="7">
        <v>1.06330098208254</v>
      </c>
      <c r="M607" s="4">
        <v>15.39</v>
      </c>
      <c r="N607" s="2">
        <v>8.3</v>
      </c>
    </row>
    <row r="608">
      <c r="A608" s="2" t="s">
        <v>633</v>
      </c>
      <c r="B608" s="3" t="str">
        <f>HYPERLINK("https://www.suredividend.com/sure-analysis-research-database/","Forward Air Corp.")</f>
        <v>Forward Air Corp.</v>
      </c>
      <c r="C608" s="2" t="s">
        <v>17</v>
      </c>
      <c r="D608" s="4">
        <v>42.21</v>
      </c>
      <c r="E608" s="5">
        <v>0.020391714301491</v>
      </c>
      <c r="F608" s="5">
        <v>0.0</v>
      </c>
      <c r="G608" s="5">
        <v>0.0592238410488121</v>
      </c>
      <c r="H608" s="4">
        <v>0.951885223593625</v>
      </c>
      <c r="I608" s="4">
        <v>1199.475696</v>
      </c>
      <c r="J608" s="6">
        <v>10.9937738519774</v>
      </c>
      <c r="K608" s="5">
        <v>0.228818563363852</v>
      </c>
      <c r="L608" s="7">
        <v>1.08546580110939</v>
      </c>
      <c r="M608" s="4">
        <v>120.06</v>
      </c>
      <c r="N608" s="2">
        <v>45.81</v>
      </c>
    </row>
    <row r="609">
      <c r="A609" s="2" t="s">
        <v>634</v>
      </c>
      <c r="B609" s="3" t="str">
        <f>HYPERLINK("https://www.suredividend.com/sure-analysis-research-database/","First Watch Restaurant Group Inc")</f>
        <v>First Watch Restaurant Group Inc</v>
      </c>
      <c r="C609" s="2" t="s">
        <v>15</v>
      </c>
      <c r="D609" s="4">
        <v>21.43</v>
      </c>
      <c r="E609" s="5">
        <v>0.0</v>
      </c>
      <c r="F609" s="5" t="s">
        <v>15</v>
      </c>
      <c r="G609" s="5" t="s">
        <v>15</v>
      </c>
      <c r="H609" s="4">
        <v>0.0</v>
      </c>
      <c r="I609" s="4">
        <v>1290.864434</v>
      </c>
      <c r="J609" s="6">
        <v>58.0137716875646</v>
      </c>
      <c r="K609" s="5">
        <v>0.0</v>
      </c>
      <c r="L609" s="7">
        <v>0.897997194410421</v>
      </c>
      <c r="M609" s="4">
        <v>21.69</v>
      </c>
      <c r="N609" s="2">
        <v>14.34</v>
      </c>
    </row>
    <row r="610">
      <c r="A610" s="2" t="s">
        <v>635</v>
      </c>
      <c r="B610" s="3" t="str">
        <f>HYPERLINK("https://www.suredividend.com/sure-analysis-research-database/","F45 Training Holdings Inc")</f>
        <v>F45 Training Holdings Inc</v>
      </c>
      <c r="C610" s="2" t="s">
        <v>15</v>
      </c>
      <c r="D610" s="4">
        <v>0.0975</v>
      </c>
      <c r="E610" s="5">
        <v>0.0</v>
      </c>
      <c r="F610" s="5" t="s">
        <v>15</v>
      </c>
      <c r="G610" s="5" t="s">
        <v>15</v>
      </c>
      <c r="H610" s="4">
        <v>0.0</v>
      </c>
      <c r="I610" s="4">
        <v>0.0</v>
      </c>
      <c r="J610" s="6">
        <v>0.0</v>
      </c>
      <c r="K610" s="5" t="s">
        <v>15</v>
      </c>
      <c r="L610" s="7"/>
      <c r="M610" s="4" t="s">
        <v>49</v>
      </c>
      <c r="N610" s="2" t="s">
        <v>49</v>
      </c>
    </row>
    <row r="611">
      <c r="A611" s="2" t="s">
        <v>636</v>
      </c>
      <c r="B611" s="3" t="str">
        <f>HYPERLINK("https://www.suredividend.com/sure-analysis-research-database/","German American Bancorp Inc")</f>
        <v>German American Bancorp Inc</v>
      </c>
      <c r="C611" s="2" t="s">
        <v>22</v>
      </c>
      <c r="D611" s="4">
        <v>31.47</v>
      </c>
      <c r="E611" s="5">
        <v>0.029551993820481</v>
      </c>
      <c r="F611" s="5">
        <v>0.0869565217391303</v>
      </c>
      <c r="G611" s="5">
        <v>0.0801851873035635</v>
      </c>
      <c r="H611" s="4">
        <v>0.978466515396141</v>
      </c>
      <c r="I611" s="4">
        <v>979.243183</v>
      </c>
      <c r="J611" s="6">
        <v>11.0280100748907</v>
      </c>
      <c r="K611" s="5">
        <v>0.325071932025296</v>
      </c>
      <c r="L611" s="7">
        <v>1.01231291285436</v>
      </c>
      <c r="M611" s="4">
        <v>38.83</v>
      </c>
      <c r="N611" s="2">
        <v>24.41</v>
      </c>
    </row>
    <row r="612">
      <c r="A612" s="2" t="s">
        <v>637</v>
      </c>
      <c r="B612" s="3" t="str">
        <f>HYPERLINK("https://www.suredividend.com/sure-analysis-research-database/","Gambling.com Group Ltd")</f>
        <v>Gambling.com Group Ltd</v>
      </c>
      <c r="C612" s="2" t="s">
        <v>15</v>
      </c>
      <c r="D612" s="4">
        <v>9.01</v>
      </c>
      <c r="E612" s="5">
        <v>0.0</v>
      </c>
      <c r="F612" s="5" t="s">
        <v>15</v>
      </c>
      <c r="G612" s="5" t="s">
        <v>15</v>
      </c>
      <c r="H612" s="4">
        <v>0.0</v>
      </c>
      <c r="I612" s="4">
        <v>401.583974</v>
      </c>
      <c r="J612" s="6">
        <v>0.0</v>
      </c>
      <c r="K612" s="5" t="s">
        <v>15</v>
      </c>
      <c r="L612" s="7">
        <v>0.504012618073237</v>
      </c>
      <c r="M612" s="4">
        <v>14.83</v>
      </c>
      <c r="N612" s="2">
        <v>8.5</v>
      </c>
    </row>
    <row r="613">
      <c r="A613" s="2" t="s">
        <v>638</v>
      </c>
      <c r="B613" s="3" t="str">
        <f>HYPERLINK("https://www.suredividend.com/sure-analysis-GATX/","GATX Corp.")</f>
        <v>GATX Corp.</v>
      </c>
      <c r="C613" s="2" t="s">
        <v>17</v>
      </c>
      <c r="D613" s="4">
        <v>123.17</v>
      </c>
      <c r="E613" s="5">
        <v>0.0188357554599334</v>
      </c>
      <c r="F613" s="5">
        <v>0.0576923076923077</v>
      </c>
      <c r="G613" s="5">
        <v>0.0363846490013068</v>
      </c>
      <c r="H613" s="4">
        <v>2.18451250318956</v>
      </c>
      <c r="I613" s="4">
        <v>4535.835</v>
      </c>
      <c r="J613" s="6">
        <v>18.7741514900662</v>
      </c>
      <c r="K613" s="5">
        <v>0.323631481954009</v>
      </c>
      <c r="L613" s="7">
        <v>0.910521469860588</v>
      </c>
      <c r="M613" s="4">
        <v>131.86</v>
      </c>
      <c r="N613" s="2">
        <v>96.75</v>
      </c>
    </row>
    <row r="614">
      <c r="A614" s="2" t="s">
        <v>639</v>
      </c>
      <c r="B614" s="3" t="str">
        <f>HYPERLINK("https://www.suredividend.com/sure-analysis-research-database/","Glacier Bancorp, Inc.")</f>
        <v>Glacier Bancorp, Inc.</v>
      </c>
      <c r="C614" s="2" t="s">
        <v>22</v>
      </c>
      <c r="D614" s="4">
        <v>36.87</v>
      </c>
      <c r="E614" s="5">
        <v>0.031718638756219</v>
      </c>
      <c r="F614" s="5">
        <v>0.0</v>
      </c>
      <c r="G614" s="5">
        <v>0.105342296492869</v>
      </c>
      <c r="H614" s="4">
        <v>1.30014700261742</v>
      </c>
      <c r="I614" s="4">
        <v>4545.07056</v>
      </c>
      <c r="J614" s="6">
        <v>18.3056392566696</v>
      </c>
      <c r="K614" s="5">
        <v>0.580422769025633</v>
      </c>
      <c r="L614" s="7">
        <v>1.66901579337831</v>
      </c>
      <c r="M614" s="4">
        <v>46.38</v>
      </c>
      <c r="N614" s="2">
        <v>25.94</v>
      </c>
    </row>
    <row r="615">
      <c r="A615" s="2" t="s">
        <v>640</v>
      </c>
      <c r="B615" s="3" t="str">
        <f>HYPERLINK("https://www.suredividend.com/sure-analysis-research-database/","Generation Bio Co")</f>
        <v>Generation Bio Co</v>
      </c>
      <c r="C615" s="2" t="s">
        <v>15</v>
      </c>
      <c r="D615" s="4">
        <v>1.85</v>
      </c>
      <c r="E615" s="5">
        <v>0.0</v>
      </c>
      <c r="F615" s="5" t="s">
        <v>15</v>
      </c>
      <c r="G615" s="5" t="s">
        <v>15</v>
      </c>
      <c r="H615" s="4">
        <v>0.0</v>
      </c>
      <c r="I615" s="4">
        <v>125.548232</v>
      </c>
      <c r="J615" s="6">
        <v>0.0</v>
      </c>
      <c r="K615" s="5" t="s">
        <v>15</v>
      </c>
      <c r="L615" s="7">
        <v>2.55375886817809</v>
      </c>
      <c r="M615" s="4">
        <v>7.35</v>
      </c>
      <c r="N615" s="2">
        <v>0.86</v>
      </c>
    </row>
    <row r="616">
      <c r="A616" s="2" t="s">
        <v>641</v>
      </c>
      <c r="B616" s="3" t="str">
        <f>HYPERLINK("https://www.suredividend.com/sure-analysis-research-database/","Greenbrier Cos., Inc.")</f>
        <v>Greenbrier Cos., Inc.</v>
      </c>
      <c r="C616" s="2" t="s">
        <v>17</v>
      </c>
      <c r="D616" s="4">
        <v>46.33</v>
      </c>
      <c r="E616" s="5">
        <v>0.025248302090749</v>
      </c>
      <c r="F616" s="5">
        <v>0.111111111111111</v>
      </c>
      <c r="G616" s="5">
        <v>0.0371372893366481</v>
      </c>
      <c r="H616" s="4">
        <v>1.15788713388178</v>
      </c>
      <c r="I616" s="4">
        <v>1425.823767</v>
      </c>
      <c r="J616" s="6">
        <v>12.9150703530797</v>
      </c>
      <c r="K616" s="5">
        <v>0.355180102417724</v>
      </c>
      <c r="L616" s="7">
        <v>1.38520170781447</v>
      </c>
      <c r="M616" s="4">
        <v>50.42</v>
      </c>
      <c r="N616" s="2">
        <v>24.87</v>
      </c>
    </row>
    <row r="617">
      <c r="A617" s="2" t="s">
        <v>642</v>
      </c>
      <c r="B617" s="3" t="str">
        <f>HYPERLINK("https://www.suredividend.com/sure-analysis-research-database/","Greene County Bancorp Inc")</f>
        <v>Greene County Bancorp Inc</v>
      </c>
      <c r="C617" s="2" t="s">
        <v>22</v>
      </c>
      <c r="D617" s="4">
        <v>24.1</v>
      </c>
      <c r="E617" s="5">
        <v>0.009330064699381</v>
      </c>
      <c r="F617" s="5">
        <v>-0.428571428571428</v>
      </c>
      <c r="G617" s="5">
        <v>-0.043647500209963</v>
      </c>
      <c r="H617" s="4">
        <v>0.263107824522554</v>
      </c>
      <c r="I617" s="4">
        <v>480.15655</v>
      </c>
      <c r="J617" s="6">
        <v>0.0</v>
      </c>
      <c r="K617" s="5" t="s">
        <v>15</v>
      </c>
      <c r="L617" s="7">
        <v>0.520575885495551</v>
      </c>
      <c r="M617" s="4">
        <v>36.53</v>
      </c>
      <c r="N617" s="2">
        <v>11.66</v>
      </c>
    </row>
    <row r="618">
      <c r="A618" s="2" t="s">
        <v>643</v>
      </c>
      <c r="B618" s="3" t="str">
        <f>HYPERLINK("https://www.suredividend.com/sure-analysis-research-database/","New Media Investment Group Inc")</f>
        <v>New Media Investment Group Inc</v>
      </c>
      <c r="C618" s="2" t="s">
        <v>114</v>
      </c>
      <c r="D618" s="4">
        <v>2.35</v>
      </c>
      <c r="E618" s="5">
        <v>0.0</v>
      </c>
      <c r="F618" s="5" t="s">
        <v>15</v>
      </c>
      <c r="G618" s="5" t="s">
        <v>15</v>
      </c>
      <c r="H618" s="4">
        <v>0.0</v>
      </c>
      <c r="I618" s="4">
        <v>385.589047</v>
      </c>
      <c r="J618" s="6">
        <v>13.8362655088273</v>
      </c>
      <c r="K618" s="5">
        <v>0.0</v>
      </c>
      <c r="L618" s="7">
        <v>1.87795243994638</v>
      </c>
      <c r="M618" s="4">
        <v>3.6</v>
      </c>
      <c r="N618" s="2">
        <v>1.62</v>
      </c>
    </row>
    <row r="619">
      <c r="A619" s="2" t="s">
        <v>644</v>
      </c>
      <c r="B619" s="3" t="str">
        <f>HYPERLINK("https://www.suredividend.com/sure-analysis-research-database/","GCM Grosvenor Inc")</f>
        <v>GCM Grosvenor Inc</v>
      </c>
      <c r="C619" s="2" t="s">
        <v>15</v>
      </c>
      <c r="D619" s="4">
        <v>8.55</v>
      </c>
      <c r="E619" s="5">
        <v>0.047796673747435</v>
      </c>
      <c r="F619" s="5" t="s">
        <v>15</v>
      </c>
      <c r="G619" s="5" t="s">
        <v>15</v>
      </c>
      <c r="H619" s="4">
        <v>0.422044629189856</v>
      </c>
      <c r="I619" s="4">
        <v>379.59287</v>
      </c>
      <c r="J619" s="6">
        <v>27.2970566661872</v>
      </c>
      <c r="K619" s="5">
        <v>5.68793300794954</v>
      </c>
      <c r="L619" s="7">
        <v>0.934104657219221</v>
      </c>
      <c r="M619" s="4">
        <v>9.2</v>
      </c>
      <c r="N619" s="2">
        <v>6.21</v>
      </c>
    </row>
    <row r="620">
      <c r="A620" s="2" t="s">
        <v>645</v>
      </c>
      <c r="B620" s="3" t="str">
        <f>HYPERLINK("https://www.suredividend.com/sure-analysis-research-database/","Genesco Inc.")</f>
        <v>Genesco Inc.</v>
      </c>
      <c r="C620" s="2" t="s">
        <v>25</v>
      </c>
      <c r="D620" s="4">
        <v>28.06</v>
      </c>
      <c r="E620" s="5">
        <v>0.0</v>
      </c>
      <c r="F620" s="5" t="s">
        <v>15</v>
      </c>
      <c r="G620" s="5" t="s">
        <v>15</v>
      </c>
      <c r="H620" s="4">
        <v>0.0</v>
      </c>
      <c r="I620" s="4">
        <v>326.747643</v>
      </c>
      <c r="J620" s="6" t="s">
        <v>15</v>
      </c>
      <c r="K620" s="5">
        <v>0.0</v>
      </c>
      <c r="L620" s="7">
        <v>1.38766353938648</v>
      </c>
      <c r="M620" s="4">
        <v>51.04</v>
      </c>
      <c r="N620" s="2">
        <v>17.31</v>
      </c>
    </row>
    <row r="621">
      <c r="A621" s="2" t="s">
        <v>646</v>
      </c>
      <c r="B621" s="3" t="str">
        <f>HYPERLINK("https://www.suredividend.com/sure-analysis-research-database/","Golden Entertainment Inc")</f>
        <v>Golden Entertainment Inc</v>
      </c>
      <c r="C621" s="2" t="s">
        <v>25</v>
      </c>
      <c r="D621" s="4">
        <v>37.73</v>
      </c>
      <c r="E621" s="5">
        <v>0.0</v>
      </c>
      <c r="F621" s="5" t="s">
        <v>15</v>
      </c>
      <c r="G621" s="5" t="s">
        <v>15</v>
      </c>
      <c r="H621" s="4">
        <v>0.0</v>
      </c>
      <c r="I621" s="4">
        <v>1131.416</v>
      </c>
      <c r="J621" s="6">
        <v>4.09658743233702</v>
      </c>
      <c r="K621" s="5">
        <v>0.0</v>
      </c>
      <c r="L621" s="7">
        <v>1.42412886155318</v>
      </c>
      <c r="M621" s="4">
        <v>43.0</v>
      </c>
      <c r="N621" s="2">
        <v>29.97</v>
      </c>
    </row>
    <row r="622">
      <c r="A622" s="2" t="s">
        <v>647</v>
      </c>
      <c r="B622" s="3" t="str">
        <f>HYPERLINK("https://www.suredividend.com/sure-analysis-research-database/","Green Dot Corp.")</f>
        <v>Green Dot Corp.</v>
      </c>
      <c r="C622" s="2" t="s">
        <v>22</v>
      </c>
      <c r="D622" s="4">
        <v>8.46</v>
      </c>
      <c r="E622" s="5">
        <v>0.0</v>
      </c>
      <c r="F622" s="5" t="s">
        <v>15</v>
      </c>
      <c r="G622" s="5" t="s">
        <v>15</v>
      </c>
      <c r="H622" s="4">
        <v>0.0</v>
      </c>
      <c r="I622" s="4">
        <v>496.198853</v>
      </c>
      <c r="J622" s="6">
        <v>13.6750407220614</v>
      </c>
      <c r="K622" s="5">
        <v>0.0</v>
      </c>
      <c r="L622" s="7">
        <v>1.48216930224014</v>
      </c>
      <c r="M622" s="4">
        <v>21.37</v>
      </c>
      <c r="N622" s="2">
        <v>7.3</v>
      </c>
    </row>
    <row r="623">
      <c r="A623" s="2" t="s">
        <v>648</v>
      </c>
      <c r="B623" s="3" t="str">
        <f>HYPERLINK("https://www.suredividend.com/sure-analysis-research-database/","Grid Dynamics Holdings Inc")</f>
        <v>Grid Dynamics Holdings Inc</v>
      </c>
      <c r="C623" s="2" t="s">
        <v>40</v>
      </c>
      <c r="D623" s="4">
        <v>13.35</v>
      </c>
      <c r="E623" s="5">
        <v>0.0</v>
      </c>
      <c r="F623" s="5" t="s">
        <v>15</v>
      </c>
      <c r="G623" s="5" t="s">
        <v>15</v>
      </c>
      <c r="H623" s="4">
        <v>0.0</v>
      </c>
      <c r="I623" s="4">
        <v>1007.614073</v>
      </c>
      <c r="J623" s="6" t="s">
        <v>15</v>
      </c>
      <c r="K623" s="5">
        <v>0.0</v>
      </c>
      <c r="L623" s="7">
        <v>1.41417826849584</v>
      </c>
      <c r="M623" s="4">
        <v>14.24</v>
      </c>
      <c r="N623" s="2">
        <v>8.0</v>
      </c>
    </row>
    <row r="624">
      <c r="A624" s="2" t="s">
        <v>649</v>
      </c>
      <c r="B624" s="3" t="str">
        <f>HYPERLINK("https://www.suredividend.com/sure-analysis-GEF/","Greif Inc")</f>
        <v>Greif Inc</v>
      </c>
      <c r="C624" s="2" t="s">
        <v>25</v>
      </c>
      <c r="D624" s="4">
        <v>62.06</v>
      </c>
      <c r="E624" s="5">
        <v>0.0335159523042217</v>
      </c>
      <c r="F624" s="5">
        <v>0.04</v>
      </c>
      <c r="G624" s="5">
        <v>0.0339752265319501</v>
      </c>
      <c r="H624" s="4">
        <v>2.01695846978157</v>
      </c>
      <c r="I624" s="4">
        <v>2990.124238</v>
      </c>
      <c r="J624" s="6">
        <v>8.32439932616926</v>
      </c>
      <c r="K624" s="5">
        <v>0.326897645021324</v>
      </c>
      <c r="L624" s="7">
        <v>0.747210395433279</v>
      </c>
      <c r="M624" s="4">
        <v>74.83</v>
      </c>
      <c r="N624" s="2">
        <v>56.09</v>
      </c>
    </row>
    <row r="625">
      <c r="A625" s="2" t="s">
        <v>650</v>
      </c>
      <c r="B625" s="3" t="str">
        <f>HYPERLINK("https://www.suredividend.com/sure-analysis-research-database/","Geo Group, Inc.")</f>
        <v>Geo Group, Inc.</v>
      </c>
      <c r="C625" s="2" t="s">
        <v>20</v>
      </c>
      <c r="D625" s="4">
        <v>11.45</v>
      </c>
      <c r="E625" s="5">
        <v>0.0</v>
      </c>
      <c r="F625" s="5" t="s">
        <v>15</v>
      </c>
      <c r="G625" s="5" t="s">
        <v>15</v>
      </c>
      <c r="H625" s="4">
        <v>0.0</v>
      </c>
      <c r="I625" s="4">
        <v>1473.160043</v>
      </c>
      <c r="J625" s="6">
        <v>14.3599645463407</v>
      </c>
      <c r="K625" s="5">
        <v>0.0</v>
      </c>
      <c r="L625" s="7">
        <v>0.862206183795088</v>
      </c>
      <c r="M625" s="4">
        <v>12.42</v>
      </c>
      <c r="N625" s="2">
        <v>6.94</v>
      </c>
    </row>
    <row r="626">
      <c r="A626" s="2" t="s">
        <v>651</v>
      </c>
      <c r="B626" s="3" t="str">
        <f>HYPERLINK("https://www.suredividend.com/sure-analysis-research-database/","Geron Corp.")</f>
        <v>Geron Corp.</v>
      </c>
      <c r="C626" s="2" t="s">
        <v>30</v>
      </c>
      <c r="D626" s="4">
        <v>1.82</v>
      </c>
      <c r="E626" s="5">
        <v>0.0</v>
      </c>
      <c r="F626" s="5" t="s">
        <v>15</v>
      </c>
      <c r="G626" s="5" t="s">
        <v>15</v>
      </c>
      <c r="H626" s="4">
        <v>0.0</v>
      </c>
      <c r="I626" s="4">
        <v>1145.864935</v>
      </c>
      <c r="J626" s="6" t="s">
        <v>15</v>
      </c>
      <c r="K626" s="5">
        <v>0.0</v>
      </c>
      <c r="L626" s="7">
        <v>1.19253072266282</v>
      </c>
      <c r="M626" s="4">
        <v>3.74</v>
      </c>
      <c r="N626" s="2">
        <v>1.68</v>
      </c>
    </row>
    <row r="627">
      <c r="A627" s="2" t="s">
        <v>652</v>
      </c>
      <c r="B627" s="3" t="str">
        <f>HYPERLINK("https://www.suredividend.com/sure-analysis-research-database/","Guess Inc.")</f>
        <v>Guess Inc.</v>
      </c>
      <c r="C627" s="2" t="s">
        <v>25</v>
      </c>
      <c r="D627" s="4">
        <v>22.61</v>
      </c>
      <c r="E627" s="5">
        <v>0.047658708715231</v>
      </c>
      <c r="F627" s="5" t="s">
        <v>15</v>
      </c>
      <c r="G627" s="5" t="s">
        <v>15</v>
      </c>
      <c r="H627" s="4">
        <v>1.10425228093191</v>
      </c>
      <c r="I627" s="4">
        <v>1244.235812</v>
      </c>
      <c r="J627" s="6">
        <v>7.04514386005243</v>
      </c>
      <c r="K627" s="5">
        <v>0.41050270666614</v>
      </c>
      <c r="L627" s="7">
        <v>1.02215459907937</v>
      </c>
      <c r="M627" s="4">
        <v>24.6</v>
      </c>
      <c r="N627" s="2">
        <v>16.51</v>
      </c>
    </row>
    <row r="628">
      <c r="A628" s="2" t="s">
        <v>653</v>
      </c>
      <c r="B628" s="3" t="str">
        <f>HYPERLINK("https://www.suredividend.com/sure-analysis-research-database/","Gevo Inc")</f>
        <v>Gevo Inc</v>
      </c>
      <c r="C628" s="2" t="s">
        <v>130</v>
      </c>
      <c r="D628" s="4">
        <v>0.7912</v>
      </c>
      <c r="E628" s="5">
        <v>0.0</v>
      </c>
      <c r="F628" s="5" t="s">
        <v>15</v>
      </c>
      <c r="G628" s="5" t="s">
        <v>15</v>
      </c>
      <c r="H628" s="4">
        <v>0.0</v>
      </c>
      <c r="I628" s="4">
        <v>235.040487</v>
      </c>
      <c r="J628" s="6">
        <v>0.0</v>
      </c>
      <c r="K628" s="5" t="s">
        <v>15</v>
      </c>
      <c r="L628" s="7">
        <v>2.5068411531628</v>
      </c>
      <c r="M628" s="4">
        <v>2.3</v>
      </c>
      <c r="N628" s="2">
        <v>0.8053</v>
      </c>
    </row>
    <row r="629">
      <c r="A629" s="2" t="s">
        <v>654</v>
      </c>
      <c r="B629" s="3" t="str">
        <f>HYPERLINK("https://www.suredividend.com/sure-analysis-research-database/","Griffon Corp.")</f>
        <v>Griffon Corp.</v>
      </c>
      <c r="C629" s="2" t="s">
        <v>17</v>
      </c>
      <c r="D629" s="4">
        <v>59.81</v>
      </c>
      <c r="E629" s="5">
        <v>0.008176351338802</v>
      </c>
      <c r="F629" s="5">
        <v>0.499999999999999</v>
      </c>
      <c r="G629" s="5">
        <v>0.156513350432916</v>
      </c>
      <c r="H629" s="4">
        <v>0.491644006002182</v>
      </c>
      <c r="I629" s="4">
        <v>3136.665516</v>
      </c>
      <c r="J629" s="6">
        <v>40.4120942003684</v>
      </c>
      <c r="K629" s="5">
        <v>0.346228173240973</v>
      </c>
      <c r="L629" s="7">
        <v>1.3245973847911</v>
      </c>
      <c r="M629" s="4">
        <v>62.45</v>
      </c>
      <c r="N629" s="2">
        <v>24.11</v>
      </c>
    </row>
    <row r="630">
      <c r="A630" s="2" t="s">
        <v>655</v>
      </c>
      <c r="B630" s="3" t="str">
        <f>HYPERLINK("https://www.suredividend.com/sure-analysis-research-database/","Graham Holdings Co.")</f>
        <v>Graham Holdings Co.</v>
      </c>
      <c r="C630" s="2" t="s">
        <v>89</v>
      </c>
      <c r="D630" s="4">
        <v>707.15</v>
      </c>
      <c r="E630" s="5">
        <v>0.008908034201142</v>
      </c>
      <c r="F630" s="5">
        <v>0.0424242424242424</v>
      </c>
      <c r="G630" s="5">
        <v>0.0435246907558015</v>
      </c>
      <c r="H630" s="4">
        <v>6.57208039257709</v>
      </c>
      <c r="I630" s="4">
        <v>2641.463753</v>
      </c>
      <c r="J630" s="6">
        <v>16.7382532979532</v>
      </c>
      <c r="K630" s="5">
        <v>0.196651118868255</v>
      </c>
      <c r="L630" s="7">
        <v>0.872718399181883</v>
      </c>
      <c r="M630" s="4">
        <v>748.8</v>
      </c>
      <c r="N630" s="2">
        <v>540.39</v>
      </c>
    </row>
    <row r="631">
      <c r="A631" s="2" t="s">
        <v>656</v>
      </c>
      <c r="B631" s="3" t="str">
        <f>HYPERLINK("https://www.suredividend.com/sure-analysis-research-database/","Global Industrial Co")</f>
        <v>Global Industrial Co</v>
      </c>
      <c r="C631" s="2" t="s">
        <v>15</v>
      </c>
      <c r="D631" s="4">
        <v>43.28</v>
      </c>
      <c r="E631" s="5">
        <v>0.018785723899696</v>
      </c>
      <c r="F631" s="5">
        <v>0.111111111111111</v>
      </c>
      <c r="G631" s="5">
        <v>0.0739409237857793</v>
      </c>
      <c r="H631" s="4">
        <v>0.792569691328212</v>
      </c>
      <c r="I631" s="4">
        <v>1605.90514</v>
      </c>
      <c r="J631" s="6">
        <v>23.2067216815028</v>
      </c>
      <c r="K631" s="5">
        <v>0.437883807363653</v>
      </c>
      <c r="L631" s="7">
        <v>1.02209381169715</v>
      </c>
      <c r="M631" s="4">
        <v>42.26</v>
      </c>
      <c r="N631" s="2">
        <v>20.11</v>
      </c>
    </row>
    <row r="632">
      <c r="A632" s="2" t="s">
        <v>657</v>
      </c>
      <c r="B632" s="3" t="str">
        <f>HYPERLINK("https://www.suredividend.com/sure-analysis-research-database/","G-III Apparel Group Ltd.")</f>
        <v>G-III Apparel Group Ltd.</v>
      </c>
      <c r="C632" s="2" t="s">
        <v>25</v>
      </c>
      <c r="D632" s="4">
        <v>29.36</v>
      </c>
      <c r="E632" s="5">
        <v>0.0</v>
      </c>
      <c r="F632" s="5" t="s">
        <v>15</v>
      </c>
      <c r="G632" s="5" t="s">
        <v>15</v>
      </c>
      <c r="H632" s="4">
        <v>0.0</v>
      </c>
      <c r="I632" s="4">
        <v>1442.250459</v>
      </c>
      <c r="J632" s="6" t="s">
        <v>15</v>
      </c>
      <c r="K632" s="5">
        <v>0.0</v>
      </c>
      <c r="L632" s="7">
        <v>1.29329878114238</v>
      </c>
      <c r="M632" s="4">
        <v>35.68</v>
      </c>
      <c r="N632" s="2">
        <v>13.59</v>
      </c>
    </row>
    <row r="633">
      <c r="A633" s="2" t="s">
        <v>658</v>
      </c>
      <c r="B633" s="3" t="str">
        <f>HYPERLINK("https://www.suredividend.com/sure-analysis-research-database/","Glaukos Corporation")</f>
        <v>Glaukos Corporation</v>
      </c>
      <c r="C633" s="2" t="s">
        <v>30</v>
      </c>
      <c r="D633" s="4">
        <v>91.08</v>
      </c>
      <c r="E633" s="5">
        <v>0.0</v>
      </c>
      <c r="F633" s="5" t="s">
        <v>15</v>
      </c>
      <c r="G633" s="5" t="s">
        <v>15</v>
      </c>
      <c r="H633" s="4">
        <v>0.0</v>
      </c>
      <c r="I633" s="4">
        <v>4595.456543</v>
      </c>
      <c r="J633" s="6" t="s">
        <v>15</v>
      </c>
      <c r="K633" s="5">
        <v>0.0</v>
      </c>
      <c r="L633" s="7">
        <v>0.895134801675822</v>
      </c>
      <c r="M633" s="4">
        <v>94.24</v>
      </c>
      <c r="N633" s="2">
        <v>44.26</v>
      </c>
    </row>
    <row r="634">
      <c r="A634" s="2" t="s">
        <v>659</v>
      </c>
      <c r="B634" s="3" t="str">
        <f>HYPERLINK("https://www.suredividend.com/sure-analysis-research-database/","Great Lakes Dredge &amp; Dock Corporation")</f>
        <v>Great Lakes Dredge &amp; Dock Corporation</v>
      </c>
      <c r="C634" s="2" t="s">
        <v>17</v>
      </c>
      <c r="D634" s="4">
        <v>7.67</v>
      </c>
      <c r="E634" s="5">
        <v>0.0</v>
      </c>
      <c r="F634" s="5" t="s">
        <v>15</v>
      </c>
      <c r="G634" s="5" t="s">
        <v>15</v>
      </c>
      <c r="H634" s="4">
        <v>0.0</v>
      </c>
      <c r="I634" s="4">
        <v>524.240021</v>
      </c>
      <c r="J634" s="6" t="s">
        <v>15</v>
      </c>
      <c r="K634" s="5">
        <v>0.0</v>
      </c>
      <c r="L634" s="7">
        <v>1.17055503085847</v>
      </c>
      <c r="M634" s="4">
        <v>9.67</v>
      </c>
      <c r="N634" s="2">
        <v>4.75</v>
      </c>
    </row>
    <row r="635">
      <c r="A635" s="2" t="s">
        <v>660</v>
      </c>
      <c r="B635" s="3" t="str">
        <f>HYPERLINK("https://www.suredividend.com/sure-analysis-research-database/","Golar Lng")</f>
        <v>Golar Lng</v>
      </c>
      <c r="C635" s="2" t="s">
        <v>125</v>
      </c>
      <c r="D635" s="4">
        <v>21.16</v>
      </c>
      <c r="E635" s="5">
        <v>0.032670672116282</v>
      </c>
      <c r="F635" s="5" t="s">
        <v>15</v>
      </c>
      <c r="G635" s="5" t="s">
        <v>15</v>
      </c>
      <c r="H635" s="4">
        <v>0.735743536058675</v>
      </c>
      <c r="I635" s="4">
        <v>1808.327895</v>
      </c>
      <c r="J635" s="6">
        <v>2.29549361940559</v>
      </c>
      <c r="K635" s="5">
        <v>0.101342084856566</v>
      </c>
      <c r="L635" s="7">
        <v>0.9220527001954</v>
      </c>
      <c r="M635" s="4">
        <v>24.21</v>
      </c>
      <c r="N635" s="2">
        <v>18.7</v>
      </c>
    </row>
    <row r="636">
      <c r="A636" s="2" t="s">
        <v>661</v>
      </c>
      <c r="B636" s="3" t="str">
        <f>HYPERLINK("https://www.suredividend.com/sure-analysis-research-database/","Greenlight Capital Re Ltd")</f>
        <v>Greenlight Capital Re Ltd</v>
      </c>
      <c r="C636" s="2" t="s">
        <v>22</v>
      </c>
      <c r="D636" s="4">
        <v>11.12</v>
      </c>
      <c r="E636" s="5">
        <v>0.0</v>
      </c>
      <c r="F636" s="5" t="s">
        <v>15</v>
      </c>
      <c r="G636" s="5" t="s">
        <v>15</v>
      </c>
      <c r="H636" s="4">
        <v>0.0</v>
      </c>
      <c r="I636" s="4">
        <v>404.259936</v>
      </c>
      <c r="J636" s="6">
        <v>3.88808679169792</v>
      </c>
      <c r="K636" s="5">
        <v>0.0</v>
      </c>
      <c r="L636" s="7">
        <v>0.433962138363812</v>
      </c>
      <c r="M636" s="4">
        <v>11.72</v>
      </c>
      <c r="N636" s="2">
        <v>9.07</v>
      </c>
    </row>
    <row r="637">
      <c r="A637" s="2" t="s">
        <v>662</v>
      </c>
      <c r="B637" s="3" t="str">
        <f>HYPERLINK("https://www.suredividend.com/sure-analysis-research-database/","Glatfelter Corporation")</f>
        <v>Glatfelter Corporation</v>
      </c>
      <c r="C637" s="2" t="s">
        <v>130</v>
      </c>
      <c r="D637" s="4">
        <v>1.28</v>
      </c>
      <c r="E637" s="5">
        <v>0.0</v>
      </c>
      <c r="F637" s="5" t="s">
        <v>15</v>
      </c>
      <c r="G637" s="5" t="s">
        <v>15</v>
      </c>
      <c r="H637" s="4">
        <v>0.0</v>
      </c>
      <c r="I637" s="4">
        <v>73.942547</v>
      </c>
      <c r="J637" s="6" t="s">
        <v>15</v>
      </c>
      <c r="K637" s="5">
        <v>0.0</v>
      </c>
      <c r="L637" s="7">
        <v>1.5601566176969</v>
      </c>
      <c r="M637" s="4">
        <v>4.87</v>
      </c>
      <c r="N637" s="2">
        <v>1.3</v>
      </c>
    </row>
    <row r="638">
      <c r="A638" s="2" t="s">
        <v>663</v>
      </c>
      <c r="B638" s="3" t="str">
        <f>HYPERLINK("https://www.suredividend.com/sure-analysis-research-database/","Monte Rosa Therapeutics Inc")</f>
        <v>Monte Rosa Therapeutics Inc</v>
      </c>
      <c r="C638" s="2" t="s">
        <v>15</v>
      </c>
      <c r="D638" s="4">
        <v>4.81</v>
      </c>
      <c r="E638" s="5">
        <v>0.0</v>
      </c>
      <c r="F638" s="5" t="s">
        <v>15</v>
      </c>
      <c r="G638" s="5" t="s">
        <v>15</v>
      </c>
      <c r="H638" s="4">
        <v>0.0</v>
      </c>
      <c r="I638" s="4">
        <v>294.476415</v>
      </c>
      <c r="J638" s="6">
        <v>0.0</v>
      </c>
      <c r="K638" s="5" t="s">
        <v>15</v>
      </c>
      <c r="L638" s="7">
        <v>1.8543652017657</v>
      </c>
      <c r="M638" s="4">
        <v>8.83</v>
      </c>
      <c r="N638" s="2">
        <v>2.44</v>
      </c>
    </row>
    <row r="639">
      <c r="A639" s="2" t="s">
        <v>664</v>
      </c>
      <c r="B639" s="3" t="str">
        <f>HYPERLINK("https://www.suredividend.com/sure-analysis-GMRE/","Global Medical REIT Inc")</f>
        <v>Global Medical REIT Inc</v>
      </c>
      <c r="C639" s="2" t="s">
        <v>20</v>
      </c>
      <c r="D639" s="4">
        <v>9.57</v>
      </c>
      <c r="E639" s="5">
        <v>0.0877742946708464</v>
      </c>
      <c r="F639" s="5">
        <v>0.0</v>
      </c>
      <c r="G639" s="5">
        <v>0.00980579767348532</v>
      </c>
      <c r="H639" s="4">
        <v>0.814926503796547</v>
      </c>
      <c r="I639" s="4">
        <v>681.219758</v>
      </c>
      <c r="J639" s="6">
        <v>0.0</v>
      </c>
      <c r="K639" s="5" t="s">
        <v>15</v>
      </c>
      <c r="L639" s="7">
        <v>1.24358527220057</v>
      </c>
      <c r="M639" s="4">
        <v>11.46</v>
      </c>
      <c r="N639" s="2">
        <v>7.55</v>
      </c>
    </row>
    <row r="640">
      <c r="A640" s="2" t="s">
        <v>665</v>
      </c>
      <c r="B640" s="3" t="str">
        <f>HYPERLINK("https://www.suredividend.com/sure-analysis-research-database/","GMS Inc")</f>
        <v>GMS Inc</v>
      </c>
      <c r="C640" s="2" t="s">
        <v>17</v>
      </c>
      <c r="D640" s="4">
        <v>85.02</v>
      </c>
      <c r="E640" s="5">
        <v>0.0</v>
      </c>
      <c r="F640" s="5" t="s">
        <v>15</v>
      </c>
      <c r="G640" s="5" t="s">
        <v>15</v>
      </c>
      <c r="H640" s="4">
        <v>0.0</v>
      </c>
      <c r="I640" s="4">
        <v>3434.04942</v>
      </c>
      <c r="J640" s="6">
        <v>11.1439029709074</v>
      </c>
      <c r="K640" s="5">
        <v>0.0</v>
      </c>
      <c r="L640" s="7">
        <v>1.31695652429535</v>
      </c>
      <c r="M640" s="4">
        <v>85.39</v>
      </c>
      <c r="N640" s="2">
        <v>50.93</v>
      </c>
    </row>
    <row r="641">
      <c r="A641" s="2" t="s">
        <v>666</v>
      </c>
      <c r="B641" s="3" t="str">
        <f>HYPERLINK("https://www.suredividend.com/sure-analysis-research-database/","Genco Shipping &amp; Trading Limited")</f>
        <v>Genco Shipping &amp; Trading Limited</v>
      </c>
      <c r="C641" s="2" t="s">
        <v>17</v>
      </c>
      <c r="D641" s="4">
        <v>17.44</v>
      </c>
      <c r="E641" s="5">
        <v>0.052427431247378</v>
      </c>
      <c r="F641" s="5" t="s">
        <v>15</v>
      </c>
      <c r="G641" s="5" t="s">
        <v>15</v>
      </c>
      <c r="H641" s="4">
        <v>0.929538356016012</v>
      </c>
      <c r="I641" s="4">
        <v>754.21053</v>
      </c>
      <c r="J641" s="6">
        <v>0.0</v>
      </c>
      <c r="K641" s="5" t="s">
        <v>15</v>
      </c>
      <c r="L641" s="7">
        <v>0.955869238733815</v>
      </c>
      <c r="M641" s="4">
        <v>18.73</v>
      </c>
      <c r="N641" s="2">
        <v>12.13</v>
      </c>
    </row>
    <row r="642">
      <c r="A642" s="2" t="s">
        <v>667</v>
      </c>
      <c r="B642" s="3" t="str">
        <f>HYPERLINK("https://www.suredividend.com/sure-analysis-GNL/","Global Net Lease Inc")</f>
        <v>Global Net Lease Inc</v>
      </c>
      <c r="C642" s="2" t="s">
        <v>20</v>
      </c>
      <c r="D642" s="4">
        <v>8.08</v>
      </c>
      <c r="E642" s="5">
        <v>0.175742574257425</v>
      </c>
      <c r="F642" s="5">
        <v>-0.115</v>
      </c>
      <c r="G642" s="5">
        <v>0.148050470571745</v>
      </c>
      <c r="H642" s="4">
        <v>1.42210984232555</v>
      </c>
      <c r="I642" s="4">
        <v>2045.408668</v>
      </c>
      <c r="J642" s="6" t="s">
        <v>15</v>
      </c>
      <c r="K642" s="5" t="s">
        <v>15</v>
      </c>
      <c r="L642" s="7">
        <v>1.45108769627798</v>
      </c>
      <c r="M642" s="4">
        <v>13.19</v>
      </c>
      <c r="N642" s="2">
        <v>7.29</v>
      </c>
    </row>
    <row r="643">
      <c r="A643" s="2" t="s">
        <v>668</v>
      </c>
      <c r="B643" s="3" t="str">
        <f>HYPERLINK("https://www.suredividend.com/sure-analysis-research-database/","Guaranty Bancshares, Inc. (TX)")</f>
        <v>Guaranty Bancshares, Inc. (TX)</v>
      </c>
      <c r="C643" s="2" t="s">
        <v>22</v>
      </c>
      <c r="D643" s="4">
        <v>29.95</v>
      </c>
      <c r="E643" s="5">
        <v>0.006844769328174</v>
      </c>
      <c r="F643" s="5">
        <v>0.0454545454545454</v>
      </c>
      <c r="G643" s="5">
        <v>0.0623210396661646</v>
      </c>
      <c r="H643" s="4">
        <v>0.224645329350695</v>
      </c>
      <c r="I643" s="4">
        <v>378.391429</v>
      </c>
      <c r="J643" s="6">
        <v>0.0</v>
      </c>
      <c r="K643" s="5" t="s">
        <v>15</v>
      </c>
      <c r="L643" s="7">
        <v>1.06270702896311</v>
      </c>
      <c r="M643" s="4">
        <v>34.76</v>
      </c>
      <c r="N643" s="2">
        <v>21.61</v>
      </c>
    </row>
    <row r="644">
      <c r="A644" s="2" t="s">
        <v>669</v>
      </c>
      <c r="B644" s="3" t="str">
        <f>HYPERLINK("https://www.suredividend.com/sure-analysis-research-database/","Genworth Financial Inc")</f>
        <v>Genworth Financial Inc</v>
      </c>
      <c r="C644" s="2" t="s">
        <v>22</v>
      </c>
      <c r="D644" s="4">
        <v>6.09</v>
      </c>
      <c r="E644" s="5">
        <v>0.0</v>
      </c>
      <c r="F644" s="5" t="s">
        <v>15</v>
      </c>
      <c r="G644" s="5" t="s">
        <v>15</v>
      </c>
      <c r="H644" s="4">
        <v>0.0</v>
      </c>
      <c r="I644" s="4">
        <v>2823.289591</v>
      </c>
      <c r="J644" s="6">
        <v>7.00568136729528</v>
      </c>
      <c r="K644" s="5">
        <v>0.0</v>
      </c>
      <c r="L644" s="7">
        <v>1.17352308038479</v>
      </c>
      <c r="M644" s="4">
        <v>6.93</v>
      </c>
      <c r="N644" s="2">
        <v>4.51</v>
      </c>
    </row>
    <row r="645">
      <c r="A645" s="2" t="s">
        <v>670</v>
      </c>
      <c r="B645" s="3" t="str">
        <f>HYPERLINK("https://www.suredividend.com/sure-analysis-research-database/","Canoo Inc")</f>
        <v>Canoo Inc</v>
      </c>
      <c r="C645" s="2" t="s">
        <v>15</v>
      </c>
      <c r="D645" s="4">
        <v>0.1561</v>
      </c>
      <c r="E645" s="5">
        <v>0.0</v>
      </c>
      <c r="F645" s="5" t="s">
        <v>15</v>
      </c>
      <c r="G645" s="5" t="s">
        <v>15</v>
      </c>
      <c r="H645" s="4">
        <v>0.0</v>
      </c>
      <c r="I645" s="4">
        <v>135.746324</v>
      </c>
      <c r="J645" s="6">
        <v>0.0</v>
      </c>
      <c r="K645" s="5" t="s">
        <v>15</v>
      </c>
      <c r="L645" s="7">
        <v>2.29956776950923</v>
      </c>
      <c r="M645" s="4">
        <v>1.31</v>
      </c>
      <c r="N645" s="2">
        <v>0.155</v>
      </c>
    </row>
    <row r="646">
      <c r="A646" s="2" t="s">
        <v>671</v>
      </c>
      <c r="B646" s="3" t="str">
        <f>HYPERLINK("https://www.suredividend.com/sure-analysis-research-database/","Golden Ocean Group Limited")</f>
        <v>Golden Ocean Group Limited</v>
      </c>
      <c r="C646" s="2" t="s">
        <v>17</v>
      </c>
      <c r="D646" s="4">
        <v>10.66</v>
      </c>
      <c r="E646" s="5">
        <v>0.046360318282805</v>
      </c>
      <c r="F646" s="5" t="s">
        <v>15</v>
      </c>
      <c r="G646" s="5" t="s">
        <v>15</v>
      </c>
      <c r="H646" s="4">
        <v>0.485392532420976</v>
      </c>
      <c r="I646" s="4">
        <v>2099.084452</v>
      </c>
      <c r="J646" s="6">
        <v>17.0640624643937</v>
      </c>
      <c r="K646" s="5">
        <v>0.78861499987161</v>
      </c>
      <c r="L646" s="7">
        <v>0.904156521227877</v>
      </c>
      <c r="M646" s="4">
        <v>10.79</v>
      </c>
      <c r="N646" s="2">
        <v>6.64</v>
      </c>
    </row>
    <row r="647">
      <c r="A647" s="2" t="s">
        <v>672</v>
      </c>
      <c r="B647" s="3" t="str">
        <f>HYPERLINK("https://www.suredividend.com/sure-analysis-research-database/","Gogo Inc")</f>
        <v>Gogo Inc</v>
      </c>
      <c r="C647" s="2" t="s">
        <v>114</v>
      </c>
      <c r="D647" s="4">
        <v>8.95</v>
      </c>
      <c r="E647" s="5">
        <v>0.0</v>
      </c>
      <c r="F647" s="5" t="s">
        <v>15</v>
      </c>
      <c r="G647" s="5" t="s">
        <v>15</v>
      </c>
      <c r="H647" s="4">
        <v>0.0</v>
      </c>
      <c r="I647" s="4">
        <v>1164.735</v>
      </c>
      <c r="J647" s="6">
        <v>7.33086397995984</v>
      </c>
      <c r="K647" s="5">
        <v>0.0</v>
      </c>
      <c r="L647" s="7">
        <v>0.874320038337799</v>
      </c>
      <c r="M647" s="4">
        <v>17.94</v>
      </c>
      <c r="N647" s="2">
        <v>8.6</v>
      </c>
    </row>
    <row r="648">
      <c r="A648" s="2" t="s">
        <v>673</v>
      </c>
      <c r="B648" s="3" t="str">
        <f>HYPERLINK("https://www.suredividend.com/sure-analysis-research-database/","Acushnet Holdings Corp")</f>
        <v>Acushnet Holdings Corp</v>
      </c>
      <c r="C648" s="2" t="s">
        <v>25</v>
      </c>
      <c r="D648" s="4">
        <v>63.78</v>
      </c>
      <c r="E648" s="5">
        <v>0.011766098109748</v>
      </c>
      <c r="F648" s="5">
        <v>0.0833333333333334</v>
      </c>
      <c r="G648" s="5">
        <v>0.0685167022962101</v>
      </c>
      <c r="H648" s="4">
        <v>0.775856509356811</v>
      </c>
      <c r="I648" s="4">
        <v>4311.00811</v>
      </c>
      <c r="J648" s="6">
        <v>19.1448052867274</v>
      </c>
      <c r="K648" s="5">
        <v>0.23726498757089</v>
      </c>
      <c r="L648" s="7">
        <v>0.98659272000186</v>
      </c>
      <c r="M648" s="4">
        <v>67.73</v>
      </c>
      <c r="N648" s="2">
        <v>43.14</v>
      </c>
    </row>
    <row r="649">
      <c r="A649" s="2" t="s">
        <v>674</v>
      </c>
      <c r="B649" s="3" t="str">
        <f>HYPERLINK("https://www.suredividend.com/sure-analysis-GOOD/","Gladstone Commercial Corp")</f>
        <v>Gladstone Commercial Corp</v>
      </c>
      <c r="C649" s="2" t="s">
        <v>20</v>
      </c>
      <c r="D649" s="4">
        <v>12.34</v>
      </c>
      <c r="E649" s="5">
        <v>0.0972447325769854</v>
      </c>
      <c r="F649" s="5">
        <v>0.0</v>
      </c>
      <c r="G649" s="5">
        <v>-0.0442583933945588</v>
      </c>
      <c r="H649" s="4">
        <v>1.11193208867614</v>
      </c>
      <c r="I649" s="4">
        <v>532.917259</v>
      </c>
      <c r="J649" s="6" t="s">
        <v>15</v>
      </c>
      <c r="K649" s="5" t="s">
        <v>15</v>
      </c>
      <c r="L649" s="7">
        <v>1.09171785263131</v>
      </c>
      <c r="M649" s="4">
        <v>14.76</v>
      </c>
      <c r="N649" s="2">
        <v>9.57</v>
      </c>
    </row>
    <row r="650">
      <c r="A650" s="2" t="s">
        <v>675</v>
      </c>
      <c r="B650" s="3" t="str">
        <f>HYPERLINK("https://www.suredividend.com/sure-analysis-research-database/","Gossamer Bio Inc")</f>
        <v>Gossamer Bio Inc</v>
      </c>
      <c r="C650" s="2" t="s">
        <v>30</v>
      </c>
      <c r="D650" s="4">
        <v>0.8333</v>
      </c>
      <c r="E650" s="5">
        <v>0.0</v>
      </c>
      <c r="F650" s="5" t="s">
        <v>15</v>
      </c>
      <c r="G650" s="5" t="s">
        <v>15</v>
      </c>
      <c r="H650" s="4">
        <v>0.0</v>
      </c>
      <c r="I650" s="4">
        <v>194.731106</v>
      </c>
      <c r="J650" s="6">
        <v>0.0</v>
      </c>
      <c r="K650" s="5" t="s">
        <v>15</v>
      </c>
      <c r="L650" s="7">
        <v>2.43803934768028</v>
      </c>
      <c r="M650" s="4">
        <v>3.06</v>
      </c>
      <c r="N650" s="2">
        <v>0.4525</v>
      </c>
    </row>
    <row r="651">
      <c r="A651" s="2" t="s">
        <v>676</v>
      </c>
      <c r="B651" s="3" t="str">
        <f>HYPERLINK("https://www.suredividend.com/sure-analysis-research-database/","Group 1 Automotive, Inc.")</f>
        <v>Group 1 Automotive, Inc.</v>
      </c>
      <c r="C651" s="2" t="s">
        <v>25</v>
      </c>
      <c r="D651" s="4">
        <v>268.16</v>
      </c>
      <c r="E651" s="5">
        <v>0.00648759916131</v>
      </c>
      <c r="F651" s="5" t="s">
        <v>15</v>
      </c>
      <c r="G651" s="5" t="s">
        <v>15</v>
      </c>
      <c r="H651" s="4">
        <v>1.79544306789275</v>
      </c>
      <c r="I651" s="4">
        <v>3825.444125</v>
      </c>
      <c r="J651" s="6">
        <v>6.04240108237245</v>
      </c>
      <c r="K651" s="5">
        <v>0.0393996723259327</v>
      </c>
      <c r="L651" s="7">
        <v>1.15885011192603</v>
      </c>
      <c r="M651" s="4">
        <v>310.08</v>
      </c>
      <c r="N651" s="2">
        <v>193.31</v>
      </c>
    </row>
    <row r="652">
      <c r="A652" s="2" t="s">
        <v>677</v>
      </c>
      <c r="B652" s="3" t="str">
        <f>HYPERLINK("https://www.suredividend.com/sure-analysis-research-database/","Granite Point Mortgage Trust Inc")</f>
        <v>Granite Point Mortgage Trust Inc</v>
      </c>
      <c r="C652" s="2" t="s">
        <v>20</v>
      </c>
      <c r="D652" s="4">
        <v>5.41</v>
      </c>
      <c r="E652" s="5">
        <v>0.124609672373678</v>
      </c>
      <c r="F652" s="5" t="s">
        <v>15</v>
      </c>
      <c r="G652" s="5" t="s">
        <v>15</v>
      </c>
      <c r="H652" s="4">
        <v>0.758872904755699</v>
      </c>
      <c r="I652" s="4">
        <v>314.109052</v>
      </c>
      <c r="J652" s="6" t="s">
        <v>15</v>
      </c>
      <c r="K652" s="5" t="s">
        <v>15</v>
      </c>
      <c r="L652" s="7">
        <v>1.86586462496385</v>
      </c>
      <c r="M652" s="4">
        <v>6.2</v>
      </c>
      <c r="N652" s="2">
        <v>3.56</v>
      </c>
    </row>
    <row r="653">
      <c r="A653" s="2" t="s">
        <v>678</v>
      </c>
      <c r="B653" s="3" t="str">
        <f>HYPERLINK("https://www.suredividend.com/sure-analysis-research-database/","Gulfport Energy Corp.")</f>
        <v>Gulfport Energy Corp.</v>
      </c>
      <c r="C653" s="2" t="s">
        <v>125</v>
      </c>
      <c r="D653" s="4">
        <v>121.87</v>
      </c>
      <c r="E653" s="5">
        <v>0.0</v>
      </c>
      <c r="F653" s="5" t="s">
        <v>15</v>
      </c>
      <c r="G653" s="5" t="s">
        <v>15</v>
      </c>
      <c r="H653" s="4">
        <v>0.0</v>
      </c>
      <c r="I653" s="4">
        <v>2414.839378</v>
      </c>
      <c r="J653" s="6" t="s">
        <v>15</v>
      </c>
      <c r="K653" s="5">
        <v>0.0</v>
      </c>
      <c r="L653" s="7">
        <v>0.704059185655338</v>
      </c>
      <c r="M653" s="4">
        <v>140.83</v>
      </c>
      <c r="N653" s="2">
        <v>60.15</v>
      </c>
    </row>
    <row r="654">
      <c r="A654" s="2" t="s">
        <v>679</v>
      </c>
      <c r="B654" s="3" t="str">
        <f>HYPERLINK("https://www.suredividend.com/sure-analysis-research-database/","Green Plains Inc")</f>
        <v>Green Plains Inc</v>
      </c>
      <c r="C654" s="2" t="s">
        <v>130</v>
      </c>
      <c r="D654" s="4">
        <v>19.71</v>
      </c>
      <c r="E654" s="5">
        <v>0.0</v>
      </c>
      <c r="F654" s="5" t="s">
        <v>15</v>
      </c>
      <c r="G654" s="5" t="s">
        <v>15</v>
      </c>
      <c r="H654" s="4">
        <v>0.0</v>
      </c>
      <c r="I654" s="4">
        <v>1301.512984</v>
      </c>
      <c r="J654" s="6" t="s">
        <v>15</v>
      </c>
      <c r="K654" s="5">
        <v>0.0</v>
      </c>
      <c r="L654" s="7">
        <v>1.13799388138199</v>
      </c>
      <c r="M654" s="4">
        <v>37.49</v>
      </c>
      <c r="N654" s="2">
        <v>19.68</v>
      </c>
    </row>
    <row r="655">
      <c r="A655" s="2" t="s">
        <v>680</v>
      </c>
      <c r="B655" s="3" t="str">
        <f>HYPERLINK("https://www.suredividend.com/sure-analysis-research-database/","GoPro Inc.")</f>
        <v>GoPro Inc.</v>
      </c>
      <c r="C655" s="2" t="s">
        <v>40</v>
      </c>
      <c r="D655" s="4">
        <v>2.86</v>
      </c>
      <c r="E655" s="5">
        <v>0.0</v>
      </c>
      <c r="F655" s="5" t="s">
        <v>15</v>
      </c>
      <c r="G655" s="5" t="s">
        <v>15</v>
      </c>
      <c r="H655" s="4">
        <v>0.0</v>
      </c>
      <c r="I655" s="4">
        <v>405.017106</v>
      </c>
      <c r="J655" s="6" t="s">
        <v>15</v>
      </c>
      <c r="K655" s="5">
        <v>0.0</v>
      </c>
      <c r="L655" s="7">
        <v>1.83493374638983</v>
      </c>
      <c r="M655" s="4">
        <v>6.57</v>
      </c>
      <c r="N655" s="2">
        <v>2.41</v>
      </c>
    </row>
    <row r="656">
      <c r="A656" s="2" t="s">
        <v>681</v>
      </c>
      <c r="B656" s="3" t="str">
        <f>HYPERLINK("https://www.suredividend.com/sure-analysis-research-database/","Green Brick Partners Inc")</f>
        <v>Green Brick Partners Inc</v>
      </c>
      <c r="C656" s="2" t="s">
        <v>25</v>
      </c>
      <c r="D656" s="4">
        <v>52.29</v>
      </c>
      <c r="E656" s="5">
        <v>0.0</v>
      </c>
      <c r="F656" s="5" t="s">
        <v>15</v>
      </c>
      <c r="G656" s="5" t="s">
        <v>15</v>
      </c>
      <c r="H656" s="4">
        <v>0.0</v>
      </c>
      <c r="I656" s="4">
        <v>2342.884933</v>
      </c>
      <c r="J656" s="6">
        <v>8.86522878680783</v>
      </c>
      <c r="K656" s="5">
        <v>0.0</v>
      </c>
      <c r="L656" s="7">
        <v>1.51350915995186</v>
      </c>
      <c r="M656" s="4">
        <v>59.3</v>
      </c>
      <c r="N656" s="2">
        <v>29.36</v>
      </c>
    </row>
    <row r="657">
      <c r="A657" s="2" t="s">
        <v>682</v>
      </c>
      <c r="B657" s="3" t="str">
        <f>HYPERLINK("https://www.suredividend.com/sure-analysis-GRC/","Gorman-Rupp Co.")</f>
        <v>Gorman-Rupp Co.</v>
      </c>
      <c r="C657" s="2" t="s">
        <v>17</v>
      </c>
      <c r="D657" s="4">
        <v>34.57</v>
      </c>
      <c r="E657" s="5">
        <v>0.0208273069135088</v>
      </c>
      <c r="F657" s="5">
        <v>0.0285714285714284</v>
      </c>
      <c r="G657" s="5">
        <v>0.0592238410488121</v>
      </c>
      <c r="H657" s="4">
        <v>0.698766048547006</v>
      </c>
      <c r="I657" s="4">
        <v>889.286232</v>
      </c>
      <c r="J657" s="6">
        <v>31.3106905182733</v>
      </c>
      <c r="K657" s="5">
        <v>0.641069769309179</v>
      </c>
      <c r="L657" s="7">
        <v>1.09717050502887</v>
      </c>
      <c r="M657" s="4">
        <v>36.69</v>
      </c>
      <c r="N657" s="2">
        <v>22.5</v>
      </c>
    </row>
    <row r="658">
      <c r="A658" s="2" t="s">
        <v>683</v>
      </c>
      <c r="B658" s="3" t="str">
        <f>HYPERLINK("https://www.suredividend.com/sure-analysis-research-database/","Greenidge Generation Holdings Inc")</f>
        <v>Greenidge Generation Holdings Inc</v>
      </c>
      <c r="C658" s="2" t="s">
        <v>15</v>
      </c>
      <c r="D658" s="4">
        <v>3.31</v>
      </c>
      <c r="E658" s="5">
        <v>0.0</v>
      </c>
      <c r="F658" s="5" t="s">
        <v>15</v>
      </c>
      <c r="G658" s="5" t="s">
        <v>15</v>
      </c>
      <c r="H658" s="4">
        <v>0.0</v>
      </c>
      <c r="I658" s="4">
        <v>18.347047</v>
      </c>
      <c r="J658" s="6" t="s">
        <v>15</v>
      </c>
      <c r="K658" s="5">
        <v>0.0</v>
      </c>
      <c r="L658" s="7">
        <v>2.28353887905896</v>
      </c>
      <c r="M658" s="4">
        <v>10.5</v>
      </c>
      <c r="N658" s="2">
        <v>1.55</v>
      </c>
    </row>
    <row r="659">
      <c r="A659" s="2" t="s">
        <v>684</v>
      </c>
      <c r="B659" s="3" t="str">
        <f>HYPERLINK("https://www.suredividend.com/sure-analysis-research-database/","GreenLight Biosciences Holdings PBC")</f>
        <v>GreenLight Biosciences Holdings PBC</v>
      </c>
      <c r="C659" s="2" t="s">
        <v>15</v>
      </c>
      <c r="D659" s="4">
        <v>0.2995</v>
      </c>
      <c r="E659" s="5">
        <v>0.0</v>
      </c>
      <c r="F659" s="5" t="s">
        <v>15</v>
      </c>
      <c r="G659" s="5" t="s">
        <v>15</v>
      </c>
      <c r="H659" s="4">
        <v>0.0</v>
      </c>
      <c r="I659" s="4">
        <v>0.0</v>
      </c>
      <c r="J659" s="6">
        <v>0.0</v>
      </c>
      <c r="K659" s="5" t="s">
        <v>15</v>
      </c>
      <c r="L659" s="7"/>
      <c r="M659" s="4" t="s">
        <v>49</v>
      </c>
      <c r="N659" s="2" t="s">
        <v>49</v>
      </c>
    </row>
    <row r="660">
      <c r="A660" s="2" t="s">
        <v>685</v>
      </c>
      <c r="B660" s="3" t="str">
        <f>HYPERLINK("https://www.suredividend.com/sure-analysis-research-database/","Groupon Inc")</f>
        <v>Groupon Inc</v>
      </c>
      <c r="C660" s="2" t="s">
        <v>114</v>
      </c>
      <c r="D660" s="4">
        <v>14.24</v>
      </c>
      <c r="E660" s="5">
        <v>0.0</v>
      </c>
      <c r="F660" s="5" t="s">
        <v>15</v>
      </c>
      <c r="G660" s="5" t="s">
        <v>15</v>
      </c>
      <c r="H660" s="4">
        <v>0.0</v>
      </c>
      <c r="I660" s="4">
        <v>455.503305</v>
      </c>
      <c r="J660" s="6" t="s">
        <v>15</v>
      </c>
      <c r="K660" s="5">
        <v>0.0</v>
      </c>
      <c r="L660" s="7">
        <v>1.90552504792699</v>
      </c>
      <c r="M660" s="4">
        <v>16.25</v>
      </c>
      <c r="N660" s="2">
        <v>2.89</v>
      </c>
    </row>
    <row r="661">
      <c r="A661" s="2" t="s">
        <v>686</v>
      </c>
      <c r="B661" s="3" t="str">
        <f>HYPERLINK("https://www.suredividend.com/sure-analysis-research-database/","GrowGeneration Corp")</f>
        <v>GrowGeneration Corp</v>
      </c>
      <c r="C661" s="2" t="s">
        <v>25</v>
      </c>
      <c r="D661" s="4">
        <v>2.23</v>
      </c>
      <c r="E661" s="5">
        <v>0.0</v>
      </c>
      <c r="F661" s="5" t="s">
        <v>15</v>
      </c>
      <c r="G661" s="5" t="s">
        <v>15</v>
      </c>
      <c r="H661" s="4">
        <v>0.0</v>
      </c>
      <c r="I661" s="4">
        <v>157.570023</v>
      </c>
      <c r="J661" s="6" t="s">
        <v>15</v>
      </c>
      <c r="K661" s="5">
        <v>0.0</v>
      </c>
      <c r="L661" s="7">
        <v>2.86093019230844</v>
      </c>
      <c r="M661" s="4">
        <v>5.89</v>
      </c>
      <c r="N661" s="2">
        <v>1.77</v>
      </c>
    </row>
    <row r="662">
      <c r="A662" s="2" t="s">
        <v>687</v>
      </c>
      <c r="B662" s="3" t="str">
        <f>HYPERLINK("https://www.suredividend.com/sure-analysis-research-database/","Globalstar Inc.")</f>
        <v>Globalstar Inc.</v>
      </c>
      <c r="C662" s="2" t="s">
        <v>114</v>
      </c>
      <c r="D662" s="4">
        <v>1.58</v>
      </c>
      <c r="E662" s="5">
        <v>0.0</v>
      </c>
      <c r="F662" s="5" t="s">
        <v>15</v>
      </c>
      <c r="G662" s="5" t="s">
        <v>15</v>
      </c>
      <c r="H662" s="4">
        <v>0.0</v>
      </c>
      <c r="I662" s="4">
        <v>3173.0</v>
      </c>
      <c r="J662" s="6" t="s">
        <v>15</v>
      </c>
      <c r="K662" s="5">
        <v>0.0</v>
      </c>
      <c r="L662" s="7">
        <v>1.4295292991467</v>
      </c>
      <c r="M662" s="4">
        <v>2.13</v>
      </c>
      <c r="N662" s="2">
        <v>0.8538</v>
      </c>
    </row>
    <row r="663">
      <c r="A663" s="2" t="s">
        <v>688</v>
      </c>
      <c r="B663" s="3" t="str">
        <f>HYPERLINK("https://www.suredividend.com/sure-analysis-research-database/","Great Southern Bancorp, Inc.")</f>
        <v>Great Southern Bancorp, Inc.</v>
      </c>
      <c r="C663" s="2" t="s">
        <v>22</v>
      </c>
      <c r="D663" s="4">
        <v>50.9</v>
      </c>
      <c r="E663" s="5">
        <v>0.028719975401488</v>
      </c>
      <c r="F663" s="5">
        <v>0.0</v>
      </c>
      <c r="G663" s="5">
        <v>0.0456395525912731</v>
      </c>
      <c r="H663" s="4">
        <v>1.56523865938111</v>
      </c>
      <c r="I663" s="4">
        <v>643.1</v>
      </c>
      <c r="J663" s="6">
        <v>8.3239493133486</v>
      </c>
      <c r="K663" s="5">
        <v>0.24610670744986</v>
      </c>
      <c r="L663" s="7">
        <v>1.10724042678582</v>
      </c>
      <c r="M663" s="4">
        <v>61.42</v>
      </c>
      <c r="N663" s="2">
        <v>43.38</v>
      </c>
    </row>
    <row r="664">
      <c r="A664" s="2" t="s">
        <v>689</v>
      </c>
      <c r="B664" s="3" t="str">
        <f>HYPERLINK("https://www.suredividend.com/sure-analysis-research-database/","Goosehead Insurance Inc")</f>
        <v>Goosehead Insurance Inc</v>
      </c>
      <c r="C664" s="2" t="s">
        <v>22</v>
      </c>
      <c r="D664" s="4">
        <v>78.13</v>
      </c>
      <c r="E664" s="5">
        <v>0.0</v>
      </c>
      <c r="F664" s="5" t="s">
        <v>15</v>
      </c>
      <c r="G664" s="5" t="s">
        <v>15</v>
      </c>
      <c r="H664" s="4">
        <v>0.0</v>
      </c>
      <c r="I664" s="4">
        <v>1939.853717</v>
      </c>
      <c r="J664" s="6">
        <v>176.030282869328</v>
      </c>
      <c r="K664" s="5">
        <v>0.0</v>
      </c>
      <c r="L664" s="7">
        <v>1.46664628459418</v>
      </c>
      <c r="M664" s="4">
        <v>79.8</v>
      </c>
      <c r="N664" s="2">
        <v>36.35</v>
      </c>
    </row>
    <row r="665">
      <c r="A665" s="2" t="s">
        <v>690</v>
      </c>
      <c r="B665" s="3" t="str">
        <f>HYPERLINK("https://www.suredividend.com/sure-analysis-research-database/","Goodyear Tire &amp; Rubber Co.")</f>
        <v>Goodyear Tire &amp; Rubber Co.</v>
      </c>
      <c r="C665" s="2" t="s">
        <v>25</v>
      </c>
      <c r="D665" s="4">
        <v>13.49</v>
      </c>
      <c r="E665" s="5">
        <v>0.0</v>
      </c>
      <c r="F665" s="5" t="s">
        <v>15</v>
      </c>
      <c r="G665" s="5" t="s">
        <v>15</v>
      </c>
      <c r="H665" s="4">
        <v>0.0</v>
      </c>
      <c r="I665" s="4">
        <v>4168.162362</v>
      </c>
      <c r="J665" s="6" t="s">
        <v>15</v>
      </c>
      <c r="K665" s="5">
        <v>0.0</v>
      </c>
      <c r="L665" s="7">
        <v>1.47371736020356</v>
      </c>
      <c r="M665" s="4">
        <v>16.51</v>
      </c>
      <c r="N665" s="2">
        <v>9.86</v>
      </c>
    </row>
    <row r="666">
      <c r="A666" s="2" t="s">
        <v>691</v>
      </c>
      <c r="B666" s="3" t="str">
        <f>HYPERLINK("https://www.suredividend.com/sure-analysis-research-database/","Chart Industries Inc")</f>
        <v>Chart Industries Inc</v>
      </c>
      <c r="C666" s="2" t="s">
        <v>17</v>
      </c>
      <c r="D666" s="4">
        <v>116.89</v>
      </c>
      <c r="E666" s="5">
        <v>0.0</v>
      </c>
      <c r="F666" s="5" t="s">
        <v>15</v>
      </c>
      <c r="G666" s="5" t="s">
        <v>15</v>
      </c>
      <c r="H666" s="4">
        <v>0.0</v>
      </c>
      <c r="I666" s="4">
        <v>5109.554461</v>
      </c>
      <c r="J666" s="6" t="s">
        <v>15</v>
      </c>
      <c r="K666" s="5">
        <v>0.0</v>
      </c>
      <c r="L666" s="7">
        <v>2.29463587747283</v>
      </c>
      <c r="M666" s="4">
        <v>184.65</v>
      </c>
      <c r="N666" s="2">
        <v>101.44</v>
      </c>
    </row>
    <row r="667">
      <c r="A667" s="2" t="s">
        <v>692</v>
      </c>
      <c r="B667" s="3" t="str">
        <f>HYPERLINK("https://www.suredividend.com/sure-analysis-research-database/","Gray Television, Inc.")</f>
        <v>Gray Television, Inc.</v>
      </c>
      <c r="C667" s="2" t="s">
        <v>114</v>
      </c>
      <c r="D667" s="4">
        <v>8.84</v>
      </c>
      <c r="E667" s="5">
        <v>0.032395514461864</v>
      </c>
      <c r="F667" s="5" t="s">
        <v>15</v>
      </c>
      <c r="G667" s="5" t="s">
        <v>15</v>
      </c>
      <c r="H667" s="4">
        <v>0.315208355713937</v>
      </c>
      <c r="I667" s="4">
        <v>924.352297</v>
      </c>
      <c r="J667" s="6">
        <v>13.796302940597</v>
      </c>
      <c r="K667" s="5">
        <v>0.435190329578816</v>
      </c>
      <c r="L667" s="7">
        <v>2.07179193779129</v>
      </c>
      <c r="M667" s="4">
        <v>13.84</v>
      </c>
      <c r="N667" s="2">
        <v>5.91</v>
      </c>
    </row>
    <row r="668">
      <c r="A668" s="2" t="s">
        <v>693</v>
      </c>
      <c r="B668" s="3" t="str">
        <f>HYPERLINK("https://www.suredividend.com/sure-analysis-research-database/","Getty Realty Corp.")</f>
        <v>Getty Realty Corp.</v>
      </c>
      <c r="C668" s="2" t="s">
        <v>20</v>
      </c>
      <c r="D668" s="4">
        <v>27.04</v>
      </c>
      <c r="E668" s="5">
        <v>0.060285309313458</v>
      </c>
      <c r="F668" s="5">
        <v>0.0465116279069768</v>
      </c>
      <c r="G668" s="5">
        <v>0.0515474967972804</v>
      </c>
      <c r="H668" s="4">
        <v>1.70245713501207</v>
      </c>
      <c r="I668" s="4">
        <v>1488.297844</v>
      </c>
      <c r="J668" s="6">
        <v>21.619666525276</v>
      </c>
      <c r="K668" s="5">
        <v>1.20741640780998</v>
      </c>
      <c r="L668" s="7">
        <v>0.754068744401985</v>
      </c>
      <c r="M668" s="4">
        <v>34.59</v>
      </c>
      <c r="N668" s="2">
        <v>25.56</v>
      </c>
    </row>
    <row r="669">
      <c r="A669" s="2" t="s">
        <v>694</v>
      </c>
      <c r="B669" s="3" t="str">
        <f>HYPERLINK("https://www.suredividend.com/sure-analysis-research-database/","Granite Construction Inc.")</f>
        <v>Granite Construction Inc.</v>
      </c>
      <c r="C669" s="2" t="s">
        <v>17</v>
      </c>
      <c r="D669" s="4">
        <v>44.31</v>
      </c>
      <c r="E669" s="5">
        <v>0.011306129309635</v>
      </c>
      <c r="F669" s="5">
        <v>0.0</v>
      </c>
      <c r="G669" s="5">
        <v>0.0</v>
      </c>
      <c r="H669" s="4">
        <v>0.517707661088207</v>
      </c>
      <c r="I669" s="4">
        <v>2011.104905</v>
      </c>
      <c r="J669" s="6">
        <v>86.3209247501931</v>
      </c>
      <c r="K669" s="5">
        <v>1.15792364367749</v>
      </c>
      <c r="L669" s="7">
        <v>1.00693391318813</v>
      </c>
      <c r="M669" s="4">
        <v>52.11</v>
      </c>
      <c r="N669" s="2">
        <v>33.66</v>
      </c>
    </row>
    <row r="670">
      <c r="A670" s="2" t="s">
        <v>695</v>
      </c>
      <c r="B670" s="3" t="str">
        <f>HYPERLINK("https://www.suredividend.com/sure-analysis-research-database/","ESS Tech Inc")</f>
        <v>ESS Tech Inc</v>
      </c>
      <c r="C670" s="2" t="s">
        <v>15</v>
      </c>
      <c r="D670" s="4">
        <v>0.8352</v>
      </c>
      <c r="E670" s="5">
        <v>0.0</v>
      </c>
      <c r="F670" s="5" t="s">
        <v>15</v>
      </c>
      <c r="G670" s="5" t="s">
        <v>15</v>
      </c>
      <c r="H670" s="4">
        <v>0.0</v>
      </c>
      <c r="I670" s="4">
        <v>185.118605</v>
      </c>
      <c r="J670" s="6" t="s">
        <v>15</v>
      </c>
      <c r="K670" s="5">
        <v>0.0</v>
      </c>
      <c r="L670" s="7">
        <v>2.76490669816193</v>
      </c>
      <c r="M670" s="4">
        <v>2.57</v>
      </c>
      <c r="N670" s="2">
        <v>0.75</v>
      </c>
    </row>
    <row r="671">
      <c r="A671" s="2" t="s">
        <v>696</v>
      </c>
      <c r="B671" s="3" t="str">
        <f>HYPERLINK("https://www.suredividend.com/sure-analysis-GWRS/","Global Water Resources Inc")</f>
        <v>Global Water Resources Inc</v>
      </c>
      <c r="C671" s="2" t="s">
        <v>91</v>
      </c>
      <c r="D671" s="4">
        <v>11.98</v>
      </c>
      <c r="E671" s="5">
        <v>0.025041736227045</v>
      </c>
      <c r="F671" s="5">
        <v>0.0100684655658478</v>
      </c>
      <c r="G671" s="5">
        <v>0.00403564369274267</v>
      </c>
      <c r="H671" s="4">
        <v>0.291937243648241</v>
      </c>
      <c r="I671" s="4">
        <v>301.889757</v>
      </c>
      <c r="J671" s="6">
        <v>39.395766322589</v>
      </c>
      <c r="K671" s="5">
        <v>0.916888328040958</v>
      </c>
      <c r="L671" s="7">
        <v>0.816963207815214</v>
      </c>
      <c r="M671" s="4">
        <v>14.3</v>
      </c>
      <c r="N671" s="2">
        <v>9.19</v>
      </c>
    </row>
    <row r="672">
      <c r="A672" s="2" t="s">
        <v>697</v>
      </c>
      <c r="B672" s="3" t="str">
        <f>HYPERLINK("https://www.suredividend.com/sure-analysis-research-database/","Hawaiian Holdings, Inc.")</f>
        <v>Hawaiian Holdings, Inc.</v>
      </c>
      <c r="C672" s="2" t="s">
        <v>17</v>
      </c>
      <c r="D672" s="4">
        <v>13.96</v>
      </c>
      <c r="E672" s="5">
        <v>0.0</v>
      </c>
      <c r="F672" s="5" t="s">
        <v>15</v>
      </c>
      <c r="G672" s="5" t="s">
        <v>15</v>
      </c>
      <c r="H672" s="4">
        <v>0.0</v>
      </c>
      <c r="I672" s="4">
        <v>760.045017</v>
      </c>
      <c r="J672" s="6" t="s">
        <v>15</v>
      </c>
      <c r="K672" s="5">
        <v>0.0</v>
      </c>
      <c r="L672" s="7">
        <v>1.54928494156298</v>
      </c>
      <c r="M672" s="4">
        <v>14.89</v>
      </c>
      <c r="N672" s="2">
        <v>3.7</v>
      </c>
    </row>
    <row r="673">
      <c r="A673" s="2" t="s">
        <v>698</v>
      </c>
      <c r="B673" s="3" t="str">
        <f>HYPERLINK("https://www.suredividend.com/sure-analysis-research-database/","Haemonetics Corp.")</f>
        <v>Haemonetics Corp.</v>
      </c>
      <c r="C673" s="2" t="s">
        <v>30</v>
      </c>
      <c r="D673" s="4">
        <v>75.38</v>
      </c>
      <c r="E673" s="5">
        <v>0.0</v>
      </c>
      <c r="F673" s="5" t="s">
        <v>15</v>
      </c>
      <c r="G673" s="5" t="s">
        <v>15</v>
      </c>
      <c r="H673" s="4">
        <v>0.0</v>
      </c>
      <c r="I673" s="4">
        <v>4127.393079</v>
      </c>
      <c r="J673" s="6">
        <v>32.1756283603451</v>
      </c>
      <c r="K673" s="5">
        <v>0.0</v>
      </c>
      <c r="L673" s="7">
        <v>0.828430940608566</v>
      </c>
      <c r="M673" s="4">
        <v>95.26</v>
      </c>
      <c r="N673" s="2">
        <v>74.13</v>
      </c>
    </row>
    <row r="674">
      <c r="A674" s="2" t="s">
        <v>699</v>
      </c>
      <c r="B674" s="3" t="str">
        <f>HYPERLINK("https://www.suredividend.com/sure-analysis-research-database/","Hanmi Financial Corp.")</f>
        <v>Hanmi Financial Corp.</v>
      </c>
      <c r="C674" s="2" t="s">
        <v>22</v>
      </c>
      <c r="D674" s="4">
        <v>15.53</v>
      </c>
      <c r="E674" s="5">
        <v>0.055266759131223</v>
      </c>
      <c r="F674" s="5">
        <v>0.0</v>
      </c>
      <c r="G674" s="5">
        <v>0.00819781849716649</v>
      </c>
      <c r="H674" s="4">
        <v>0.95556226537885</v>
      </c>
      <c r="I674" s="4">
        <v>525.519124</v>
      </c>
      <c r="J674" s="6">
        <v>5.87802698011274</v>
      </c>
      <c r="K674" s="5">
        <v>0.325021178700289</v>
      </c>
      <c r="L674" s="7">
        <v>1.64410060919517</v>
      </c>
      <c r="M674" s="4">
        <v>22.11</v>
      </c>
      <c r="N674" s="2">
        <v>12.15</v>
      </c>
    </row>
    <row r="675">
      <c r="A675" s="2" t="s">
        <v>700</v>
      </c>
      <c r="B675" s="3" t="str">
        <f>HYPERLINK("https://www.suredividend.com/sure-analysis-research-database/","Hain Celestial Group Inc")</f>
        <v>Hain Celestial Group Inc</v>
      </c>
      <c r="C675" s="2" t="s">
        <v>89</v>
      </c>
      <c r="D675" s="4">
        <v>10.97</v>
      </c>
      <c r="E675" s="5">
        <v>0.0</v>
      </c>
      <c r="F675" s="5" t="s">
        <v>15</v>
      </c>
      <c r="G675" s="5" t="s">
        <v>15</v>
      </c>
      <c r="H675" s="4">
        <v>0.0</v>
      </c>
      <c r="I675" s="4">
        <v>987.696288</v>
      </c>
      <c r="J675" s="6" t="s">
        <v>15</v>
      </c>
      <c r="K675" s="5">
        <v>0.0</v>
      </c>
      <c r="L675" s="7">
        <v>1.1215206786393</v>
      </c>
      <c r="M675" s="4">
        <v>22.14</v>
      </c>
      <c r="N675" s="2">
        <v>9.36</v>
      </c>
    </row>
    <row r="676">
      <c r="A676" s="2" t="s">
        <v>701</v>
      </c>
      <c r="B676" s="3" t="str">
        <f>HYPERLINK("https://www.suredividend.com/sure-analysis-research-database/","Halozyme Therapeutics Inc.")</f>
        <v>Halozyme Therapeutics Inc.</v>
      </c>
      <c r="C676" s="2" t="s">
        <v>30</v>
      </c>
      <c r="D676" s="4">
        <v>33.68</v>
      </c>
      <c r="E676" s="5">
        <v>0.0</v>
      </c>
      <c r="F676" s="5" t="s">
        <v>15</v>
      </c>
      <c r="G676" s="5" t="s">
        <v>15</v>
      </c>
      <c r="H676" s="4">
        <v>0.0</v>
      </c>
      <c r="I676" s="4">
        <v>4545.495965</v>
      </c>
      <c r="J676" s="6">
        <v>17.9021376447374</v>
      </c>
      <c r="K676" s="5">
        <v>0.0</v>
      </c>
      <c r="L676" s="7">
        <v>0.900773618044835</v>
      </c>
      <c r="M676" s="4">
        <v>53.71</v>
      </c>
      <c r="N676" s="2">
        <v>29.85</v>
      </c>
    </row>
    <row r="677">
      <c r="A677" s="2" t="s">
        <v>702</v>
      </c>
      <c r="B677" s="3" t="str">
        <f>HYPERLINK("https://www.suredividend.com/sure-analysis-HASI/","Hannon Armstrong Sustainable Infrastructure capital Inc")</f>
        <v>Hannon Armstrong Sustainable Infrastructure capital Inc</v>
      </c>
      <c r="C677" s="2" t="s">
        <v>20</v>
      </c>
      <c r="D677" s="4">
        <v>22.83</v>
      </c>
      <c r="E677" s="5">
        <v>0.0692071835304424</v>
      </c>
      <c r="F677" s="5">
        <v>0.0533333333333334</v>
      </c>
      <c r="G677" s="5">
        <v>0.0334999446824568</v>
      </c>
      <c r="H677" s="4">
        <v>1.54185924053184</v>
      </c>
      <c r="I677" s="4">
        <v>2726.734287</v>
      </c>
      <c r="J677" s="6">
        <v>69.6572815557542</v>
      </c>
      <c r="K677" s="5">
        <v>3.92730321072807</v>
      </c>
      <c r="L677" s="7">
        <v>2.18889741272198</v>
      </c>
      <c r="M677" s="4">
        <v>37.2</v>
      </c>
      <c r="N677" s="2">
        <v>13.04</v>
      </c>
    </row>
    <row r="678">
      <c r="A678" s="2" t="s">
        <v>703</v>
      </c>
      <c r="B678" s="3" t="str">
        <f>HYPERLINK("https://www.suredividend.com/sure-analysis-research-database/","Haynes International Inc.")</f>
        <v>Haynes International Inc.</v>
      </c>
      <c r="C678" s="2" t="s">
        <v>17</v>
      </c>
      <c r="D678" s="4">
        <v>60.0</v>
      </c>
      <c r="E678" s="5">
        <v>0.015405108516057</v>
      </c>
      <c r="F678" s="5">
        <v>0.0</v>
      </c>
      <c r="G678" s="5">
        <v>0.0</v>
      </c>
      <c r="H678" s="4">
        <v>0.86807786487984</v>
      </c>
      <c r="I678" s="4">
        <v>720.321599</v>
      </c>
      <c r="J678" s="6">
        <v>17.1607289863013</v>
      </c>
      <c r="K678" s="5">
        <v>0.264657885634097</v>
      </c>
      <c r="L678" s="7">
        <v>1.41735416385267</v>
      </c>
      <c r="M678" s="4">
        <v>59.55</v>
      </c>
      <c r="N678" s="2">
        <v>40.78</v>
      </c>
    </row>
    <row r="679">
      <c r="A679" s="2" t="s">
        <v>704</v>
      </c>
      <c r="B679" s="3" t="str">
        <f>HYPERLINK("https://www.suredividend.com/sure-analysis-research-database/","Home Bancorp Inc")</f>
        <v>Home Bancorp Inc</v>
      </c>
      <c r="C679" s="2" t="s">
        <v>22</v>
      </c>
      <c r="D679" s="4">
        <v>37.11</v>
      </c>
      <c r="E679" s="5">
        <v>0.022783848051387</v>
      </c>
      <c r="F679" s="5">
        <v>0.0</v>
      </c>
      <c r="G679" s="5">
        <v>0.0354857884559052</v>
      </c>
      <c r="H679" s="4">
        <v>0.978110596846064</v>
      </c>
      <c r="I679" s="4">
        <v>349.788016</v>
      </c>
      <c r="J679" s="6">
        <v>8.4021045896087</v>
      </c>
      <c r="K679" s="5">
        <v>0.190293890436977</v>
      </c>
      <c r="L679" s="7">
        <v>1.2050700904695</v>
      </c>
      <c r="M679" s="4">
        <v>44.0</v>
      </c>
      <c r="N679" s="2">
        <v>26.95</v>
      </c>
    </row>
    <row r="680">
      <c r="A680" s="2" t="s">
        <v>705</v>
      </c>
      <c r="B680" s="3" t="str">
        <f>HYPERLINK("https://www.suredividend.com/sure-analysis-HBNC/","Horizon Bancorp Inc (IN)")</f>
        <v>Horizon Bancorp Inc (IN)</v>
      </c>
      <c r="C680" s="2" t="s">
        <v>22</v>
      </c>
      <c r="D680" s="4">
        <v>12.65</v>
      </c>
      <c r="E680" s="5">
        <v>0.050592885375494</v>
      </c>
      <c r="F680" s="5">
        <v>0.0</v>
      </c>
      <c r="G680" s="5">
        <v>0.0985605433061176</v>
      </c>
      <c r="H680" s="4">
        <v>0.614833794091835</v>
      </c>
      <c r="I680" s="4">
        <v>614.949843</v>
      </c>
      <c r="J680" s="6">
        <v>8.26978985032476</v>
      </c>
      <c r="K680" s="5">
        <v>0.361666937701079</v>
      </c>
      <c r="L680" s="7">
        <v>1.75155093034726</v>
      </c>
      <c r="M680" s="4">
        <v>14.65</v>
      </c>
      <c r="N680" s="2">
        <v>7.06</v>
      </c>
    </row>
    <row r="681">
      <c r="A681" s="2" t="s">
        <v>706</v>
      </c>
      <c r="B681" s="3" t="str">
        <f>HYPERLINK("https://www.suredividend.com/sure-analysis-research-database/","HBT Financial Inc")</f>
        <v>HBT Financial Inc</v>
      </c>
      <c r="C681" s="2" t="s">
        <v>22</v>
      </c>
      <c r="D681" s="4">
        <v>19.07</v>
      </c>
      <c r="E681" s="5">
        <v>0.03279377652661</v>
      </c>
      <c r="F681" s="5" t="s">
        <v>15</v>
      </c>
      <c r="G681" s="5" t="s">
        <v>15</v>
      </c>
      <c r="H681" s="4">
        <v>0.662106348072264</v>
      </c>
      <c r="I681" s="4">
        <v>640.225001</v>
      </c>
      <c r="J681" s="6">
        <v>10.5759383003502</v>
      </c>
      <c r="K681" s="5">
        <v>0.337809361261359</v>
      </c>
      <c r="L681" s="7">
        <v>0.876989826280002</v>
      </c>
      <c r="M681" s="4">
        <v>22.24</v>
      </c>
      <c r="N681" s="2">
        <v>15.77</v>
      </c>
    </row>
    <row r="682">
      <c r="A682" s="2" t="s">
        <v>707</v>
      </c>
      <c r="B682" s="3" t="str">
        <f>HYPERLINK("https://www.suredividend.com/sure-analysis-research-database/","Health Catalyst Inc")</f>
        <v>Health Catalyst Inc</v>
      </c>
      <c r="C682" s="2" t="s">
        <v>30</v>
      </c>
      <c r="D682" s="4">
        <v>9.61</v>
      </c>
      <c r="E682" s="5">
        <v>0.0</v>
      </c>
      <c r="F682" s="5" t="s">
        <v>15</v>
      </c>
      <c r="G682" s="5" t="s">
        <v>15</v>
      </c>
      <c r="H682" s="4">
        <v>0.0</v>
      </c>
      <c r="I682" s="4">
        <v>619.241486</v>
      </c>
      <c r="J682" s="6" t="s">
        <v>15</v>
      </c>
      <c r="K682" s="5">
        <v>0.0</v>
      </c>
      <c r="L682" s="7">
        <v>1.80051040422442</v>
      </c>
      <c r="M682" s="4">
        <v>15.87</v>
      </c>
      <c r="N682" s="2">
        <v>6.6</v>
      </c>
    </row>
    <row r="683">
      <c r="A683" s="2" t="s">
        <v>708</v>
      </c>
      <c r="B683" s="3" t="str">
        <f>HYPERLINK("https://www.suredividend.com/sure-analysis-research-database/","Warrior Met Coal Inc")</f>
        <v>Warrior Met Coal Inc</v>
      </c>
      <c r="C683" s="2" t="s">
        <v>130</v>
      </c>
      <c r="D683" s="4">
        <v>60.93</v>
      </c>
      <c r="E683" s="5">
        <v>0.004260277284089</v>
      </c>
      <c r="F683" s="5">
        <v>0.0</v>
      </c>
      <c r="G683" s="5">
        <v>0.0696103757250687</v>
      </c>
      <c r="H683" s="4">
        <v>0.277642270604097</v>
      </c>
      <c r="I683" s="4">
        <v>3390.020489</v>
      </c>
      <c r="J683" s="6">
        <v>7.54333606889983</v>
      </c>
      <c r="K683" s="5">
        <v>0.032097372324173</v>
      </c>
      <c r="L683" s="7">
        <v>0.870814992723534</v>
      </c>
      <c r="M683" s="4">
        <v>69.97</v>
      </c>
      <c r="N683" s="2">
        <v>31.87</v>
      </c>
    </row>
    <row r="684">
      <c r="A684" s="2" t="s">
        <v>709</v>
      </c>
      <c r="B684" s="3" t="str">
        <f>HYPERLINK("https://www.suredividend.com/sure-analysis-research-database/","Heritage-Crystal Clean Inc")</f>
        <v>Heritage-Crystal Clean Inc</v>
      </c>
      <c r="C684" s="2" t="s">
        <v>17</v>
      </c>
      <c r="D684" s="4">
        <v>45.51</v>
      </c>
      <c r="E684" s="5">
        <v>0.0</v>
      </c>
      <c r="F684" s="5" t="s">
        <v>15</v>
      </c>
      <c r="G684" s="5" t="s">
        <v>15</v>
      </c>
      <c r="H684" s="4">
        <v>0.0</v>
      </c>
      <c r="I684" s="4">
        <v>0.0</v>
      </c>
      <c r="J684" s="6">
        <v>0.0</v>
      </c>
      <c r="K684" s="5" t="s">
        <v>15</v>
      </c>
      <c r="L684" s="7"/>
      <c r="M684" s="4" t="s">
        <v>49</v>
      </c>
      <c r="N684" s="2" t="s">
        <v>49</v>
      </c>
    </row>
    <row r="685">
      <c r="A685" s="2" t="s">
        <v>710</v>
      </c>
      <c r="B685" s="3" t="str">
        <f>HYPERLINK("https://www.suredividend.com/sure-analysis-research-database/","HCI Group Inc")</f>
        <v>HCI Group Inc</v>
      </c>
      <c r="C685" s="2" t="s">
        <v>22</v>
      </c>
      <c r="D685" s="4">
        <v>91.54</v>
      </c>
      <c r="E685" s="5">
        <v>0.017213464866395</v>
      </c>
      <c r="F685" s="5">
        <v>0.0</v>
      </c>
      <c r="G685" s="5">
        <v>0.0</v>
      </c>
      <c r="H685" s="4">
        <v>1.58570438349238</v>
      </c>
      <c r="I685" s="4">
        <v>791.143418</v>
      </c>
      <c r="J685" s="6">
        <v>19.0678320107975</v>
      </c>
      <c r="K685" s="5">
        <v>0.389607956632036</v>
      </c>
      <c r="L685" s="7">
        <v>0.846812389684673</v>
      </c>
      <c r="M685" s="4">
        <v>96.0</v>
      </c>
      <c r="N685" s="2">
        <v>46.95</v>
      </c>
    </row>
    <row r="686">
      <c r="A686" s="2" t="s">
        <v>711</v>
      </c>
      <c r="B686" s="3" t="str">
        <f>HYPERLINK("https://www.suredividend.com/sure-analysis-research-database/","Hackett Group Inc (The)")</f>
        <v>Hackett Group Inc (The)</v>
      </c>
      <c r="C686" s="2" t="s">
        <v>40</v>
      </c>
      <c r="D686" s="4">
        <v>22.54</v>
      </c>
      <c r="E686" s="5">
        <v>0.018599357080735</v>
      </c>
      <c r="F686" s="5" t="s">
        <v>15</v>
      </c>
      <c r="G686" s="5" t="s">
        <v>15</v>
      </c>
      <c r="H686" s="4">
        <v>0.435224955689202</v>
      </c>
      <c r="I686" s="4">
        <v>637.357547</v>
      </c>
      <c r="J686" s="6">
        <v>17.6960198461837</v>
      </c>
      <c r="K686" s="5">
        <v>0.345416631499366</v>
      </c>
      <c r="L686" s="7">
        <v>0.881561827761887</v>
      </c>
      <c r="M686" s="4">
        <v>24.46</v>
      </c>
      <c r="N686" s="2">
        <v>16.77</v>
      </c>
    </row>
    <row r="687">
      <c r="A687" s="2" t="s">
        <v>712</v>
      </c>
      <c r="B687" s="3" t="str">
        <f>HYPERLINK("https://www.suredividend.com/sure-analysis-research-database/","Healthcare Services Group, Inc.")</f>
        <v>Healthcare Services Group, Inc.</v>
      </c>
      <c r="C687" s="2" t="s">
        <v>30</v>
      </c>
      <c r="D687" s="4">
        <v>9.01</v>
      </c>
      <c r="E687" s="5">
        <v>0.0</v>
      </c>
      <c r="F687" s="5" t="s">
        <v>15</v>
      </c>
      <c r="G687" s="5" t="s">
        <v>15</v>
      </c>
      <c r="H687" s="4">
        <v>0.0</v>
      </c>
      <c r="I687" s="4">
        <v>723.7202</v>
      </c>
      <c r="J687" s="6">
        <v>22.6537765674398</v>
      </c>
      <c r="K687" s="5">
        <v>0.0</v>
      </c>
      <c r="L687" s="7">
        <v>1.02708599785536</v>
      </c>
      <c r="M687" s="4">
        <v>15.97</v>
      </c>
      <c r="N687" s="2">
        <v>8.75</v>
      </c>
    </row>
    <row r="688">
      <c r="A688" s="2" t="s">
        <v>713</v>
      </c>
      <c r="B688" s="3" t="str">
        <f>HYPERLINK("https://www.suredividend.com/sure-analysis-research-database/","Hudson Technologies, Inc.")</f>
        <v>Hudson Technologies, Inc.</v>
      </c>
      <c r="C688" s="2" t="s">
        <v>130</v>
      </c>
      <c r="D688" s="4">
        <v>12.87</v>
      </c>
      <c r="E688" s="5">
        <v>0.0</v>
      </c>
      <c r="F688" s="5" t="s">
        <v>15</v>
      </c>
      <c r="G688" s="5" t="s">
        <v>15</v>
      </c>
      <c r="H688" s="4">
        <v>0.0</v>
      </c>
      <c r="I688" s="4">
        <v>568.324726</v>
      </c>
      <c r="J688" s="6">
        <v>0.0</v>
      </c>
      <c r="K688" s="5" t="s">
        <v>15</v>
      </c>
      <c r="L688" s="7">
        <v>1.10395193865398</v>
      </c>
      <c r="M688" s="4">
        <v>15.03</v>
      </c>
      <c r="N688" s="2">
        <v>7.21</v>
      </c>
    </row>
    <row r="689">
      <c r="A689" s="2" t="s">
        <v>714</v>
      </c>
      <c r="B689" s="3" t="str">
        <f>HYPERLINK("https://www.suredividend.com/sure-analysis-research-database/","Turtle Beach Corp")</f>
        <v>Turtle Beach Corp</v>
      </c>
      <c r="C689" s="2" t="s">
        <v>40</v>
      </c>
      <c r="D689" s="4">
        <v>11.11</v>
      </c>
      <c r="E689" s="5">
        <v>0.0</v>
      </c>
      <c r="F689" s="5" t="s">
        <v>15</v>
      </c>
      <c r="G689" s="5" t="s">
        <v>15</v>
      </c>
      <c r="H689" s="4">
        <v>0.0</v>
      </c>
      <c r="I689" s="4">
        <v>203.800992</v>
      </c>
      <c r="J689" s="6" t="s">
        <v>15</v>
      </c>
      <c r="K689" s="5">
        <v>0.0</v>
      </c>
      <c r="L689" s="7">
        <v>1.59713901224198</v>
      </c>
      <c r="M689" s="4">
        <v>13.26</v>
      </c>
      <c r="N689" s="2">
        <v>6.17</v>
      </c>
    </row>
    <row r="690">
      <c r="A690" s="2" t="s">
        <v>715</v>
      </c>
      <c r="B690" s="3" t="str">
        <f>HYPERLINK("https://www.suredividend.com/sure-analysis-research-database/","H&amp;E Equipment Services Inc")</f>
        <v>H&amp;E Equipment Services Inc</v>
      </c>
      <c r="C690" s="2" t="s">
        <v>17</v>
      </c>
      <c r="D690" s="4">
        <v>53.84</v>
      </c>
      <c r="E690" s="5">
        <v>0.020010734918576</v>
      </c>
      <c r="F690" s="5">
        <v>0.0</v>
      </c>
      <c r="G690" s="5">
        <v>0.0</v>
      </c>
      <c r="H690" s="4">
        <v>1.07957914885721</v>
      </c>
      <c r="I690" s="4">
        <v>1966.473508</v>
      </c>
      <c r="J690" s="6">
        <v>11.7808634485774</v>
      </c>
      <c r="K690" s="5">
        <v>0.232167558894025</v>
      </c>
      <c r="L690" s="7">
        <v>1.52017371564089</v>
      </c>
      <c r="M690" s="4">
        <v>54.4</v>
      </c>
      <c r="N690" s="2">
        <v>31.1</v>
      </c>
    </row>
    <row r="691">
      <c r="A691" s="2" t="s">
        <v>716</v>
      </c>
      <c r="B691" s="3" t="str">
        <f>HYPERLINK("https://www.suredividend.com/sure-analysis-research-database/","Helen of Troy Ltd")</f>
        <v>Helen of Troy Ltd</v>
      </c>
      <c r="C691" s="2" t="s">
        <v>89</v>
      </c>
      <c r="D691" s="4">
        <v>111.98</v>
      </c>
      <c r="E691" s="5">
        <v>0.0</v>
      </c>
      <c r="F691" s="5" t="s">
        <v>15</v>
      </c>
      <c r="G691" s="5" t="s">
        <v>15</v>
      </c>
      <c r="H691" s="4">
        <v>0.0</v>
      </c>
      <c r="I691" s="4">
        <v>2868.567898</v>
      </c>
      <c r="J691" s="6">
        <v>17.7028381782275</v>
      </c>
      <c r="K691" s="5">
        <v>0.0</v>
      </c>
      <c r="L691" s="7">
        <v>1.56226480519373</v>
      </c>
      <c r="M691" s="4">
        <v>143.68</v>
      </c>
      <c r="N691" s="2">
        <v>81.14</v>
      </c>
    </row>
    <row r="692">
      <c r="A692" s="2" t="s">
        <v>717</v>
      </c>
      <c r="B692" s="3" t="str">
        <f>HYPERLINK("https://www.suredividend.com/sure-analysis-research-database/","HF Foods Group Inc.")</f>
        <v>HF Foods Group Inc.</v>
      </c>
      <c r="C692" s="2" t="s">
        <v>89</v>
      </c>
      <c r="D692" s="4">
        <v>4.59</v>
      </c>
      <c r="E692" s="5">
        <v>0.0</v>
      </c>
      <c r="F692" s="5" t="s">
        <v>15</v>
      </c>
      <c r="G692" s="5" t="s">
        <v>15</v>
      </c>
      <c r="H692" s="4">
        <v>0.0</v>
      </c>
      <c r="I692" s="4">
        <v>285.388371</v>
      </c>
      <c r="J692" s="6" t="s">
        <v>15</v>
      </c>
      <c r="K692" s="5">
        <v>0.0</v>
      </c>
      <c r="L692" s="7">
        <v>1.4150175600927</v>
      </c>
      <c r="M692" s="4">
        <v>6.55</v>
      </c>
      <c r="N692" s="2">
        <v>3.42</v>
      </c>
    </row>
    <row r="693">
      <c r="A693" s="2" t="s">
        <v>718</v>
      </c>
      <c r="B693" s="3" t="str">
        <f>HYPERLINK("https://www.suredividend.com/sure-analysis-research-database/","Heritage Financial Corp.")</f>
        <v>Heritage Financial Corp.</v>
      </c>
      <c r="C693" s="2" t="s">
        <v>22</v>
      </c>
      <c r="D693" s="4">
        <v>18.57</v>
      </c>
      <c r="E693" s="5">
        <v>0.040914941238443</v>
      </c>
      <c r="F693" s="5">
        <v>0.0476190476190476</v>
      </c>
      <c r="G693" s="5">
        <v>0.0409503969692568</v>
      </c>
      <c r="H693" s="4">
        <v>0.846939283635773</v>
      </c>
      <c r="I693" s="4">
        <v>722.452273</v>
      </c>
      <c r="J693" s="6">
        <v>9.25437800322803</v>
      </c>
      <c r="K693" s="5">
        <v>0.38323044508406</v>
      </c>
      <c r="L693" s="7">
        <v>1.3404072852151</v>
      </c>
      <c r="M693" s="4">
        <v>27.49</v>
      </c>
      <c r="N693" s="2">
        <v>14.12</v>
      </c>
    </row>
    <row r="694">
      <c r="A694" s="2" t="s">
        <v>719</v>
      </c>
      <c r="B694" s="3" t="str">
        <f>HYPERLINK("https://www.suredividend.com/sure-analysis-research-database/","Hilton Grand Vacations Inc")</f>
        <v>Hilton Grand Vacations Inc</v>
      </c>
      <c r="C694" s="2" t="s">
        <v>25</v>
      </c>
      <c r="D694" s="4">
        <v>41.26</v>
      </c>
      <c r="E694" s="5">
        <v>0.0</v>
      </c>
      <c r="F694" s="5" t="s">
        <v>15</v>
      </c>
      <c r="G694" s="5" t="s">
        <v>15</v>
      </c>
      <c r="H694" s="4">
        <v>0.0</v>
      </c>
      <c r="I694" s="4">
        <v>4680.027427</v>
      </c>
      <c r="J694" s="6">
        <v>14.4892489993808</v>
      </c>
      <c r="K694" s="5">
        <v>0.0</v>
      </c>
      <c r="L694" s="7">
        <v>1.35361865996899</v>
      </c>
      <c r="M694" s="4">
        <v>51.81</v>
      </c>
      <c r="N694" s="2">
        <v>33.14</v>
      </c>
    </row>
    <row r="695">
      <c r="A695" s="2" t="s">
        <v>720</v>
      </c>
      <c r="B695" s="3" t="str">
        <f>HYPERLINK("https://www.suredividend.com/sure-analysis-HI/","Hillenbrand Inc")</f>
        <v>Hillenbrand Inc</v>
      </c>
      <c r="C695" s="2" t="s">
        <v>17</v>
      </c>
      <c r="D695" s="4">
        <v>46.61</v>
      </c>
      <c r="E695" s="5">
        <v>0.0190946148895086</v>
      </c>
      <c r="F695" s="5">
        <v>0.0113636363636364</v>
      </c>
      <c r="G695" s="5">
        <v>0.0116310347091603</v>
      </c>
      <c r="H695" s="4">
        <v>0.875847850607849</v>
      </c>
      <c r="I695" s="4">
        <v>3291.579253</v>
      </c>
      <c r="J695" s="6">
        <v>5.77774136001404</v>
      </c>
      <c r="K695" s="5">
        <v>0.107730362928394</v>
      </c>
      <c r="L695" s="7">
        <v>1.3339750617578</v>
      </c>
      <c r="M695" s="4">
        <v>53.11</v>
      </c>
      <c r="N695" s="2">
        <v>36.99</v>
      </c>
    </row>
    <row r="696">
      <c r="A696" s="2" t="s">
        <v>721</v>
      </c>
      <c r="B696" s="3" t="str">
        <f>HYPERLINK("https://www.suredividend.com/sure-analysis-research-database/","Hibbett Inc")</f>
        <v>Hibbett Inc</v>
      </c>
      <c r="C696" s="2" t="s">
        <v>25</v>
      </c>
      <c r="D696" s="4">
        <v>66.59</v>
      </c>
      <c r="E696" s="5">
        <v>0.014349935766574</v>
      </c>
      <c r="F696" s="5" t="s">
        <v>15</v>
      </c>
      <c r="G696" s="5" t="s">
        <v>15</v>
      </c>
      <c r="H696" s="4">
        <v>0.989715069820644</v>
      </c>
      <c r="I696" s="4">
        <v>811.897666</v>
      </c>
      <c r="J696" s="6">
        <v>7.33434810448246</v>
      </c>
      <c r="K696" s="5">
        <v>0.115217121050133</v>
      </c>
      <c r="L696" s="7">
        <v>0.919573458406397</v>
      </c>
      <c r="M696" s="4">
        <v>73.45</v>
      </c>
      <c r="N696" s="2">
        <v>34.16</v>
      </c>
    </row>
    <row r="697">
      <c r="A697" s="2" t="s">
        <v>722</v>
      </c>
      <c r="B697" s="3" t="str">
        <f>HYPERLINK("https://www.suredividend.com/sure-analysis-HIFS/","Hingham Institution For Savings")</f>
        <v>Hingham Institution For Savings</v>
      </c>
      <c r="C697" s="2" t="s">
        <v>22</v>
      </c>
      <c r="D697" s="4">
        <v>170.65</v>
      </c>
      <c r="E697" s="5">
        <v>0.0147670670963961</v>
      </c>
      <c r="F697" s="5">
        <v>0.0</v>
      </c>
      <c r="G697" s="5">
        <v>0.00980579767348532</v>
      </c>
      <c r="H697" s="4">
        <v>2.49437972270978</v>
      </c>
      <c r="I697" s="4">
        <v>403.7202</v>
      </c>
      <c r="J697" s="6">
        <v>0.0</v>
      </c>
      <c r="K697" s="5" t="s">
        <v>15</v>
      </c>
      <c r="L697" s="7">
        <v>1.41375275216346</v>
      </c>
      <c r="M697" s="4">
        <v>302.95</v>
      </c>
      <c r="N697" s="2">
        <v>146.08</v>
      </c>
    </row>
    <row r="698">
      <c r="A698" s="2" t="s">
        <v>723</v>
      </c>
      <c r="B698" s="3" t="str">
        <f>HYPERLINK("https://www.suredividend.com/sure-analysis-research-database/","Hims &amp; Hers Health Inc")</f>
        <v>Hims &amp; Hers Health Inc</v>
      </c>
      <c r="C698" s="2" t="s">
        <v>15</v>
      </c>
      <c r="D698" s="4">
        <v>8.56</v>
      </c>
      <c r="E698" s="5">
        <v>0.0</v>
      </c>
      <c r="F698" s="5" t="s">
        <v>15</v>
      </c>
      <c r="G698" s="5" t="s">
        <v>15</v>
      </c>
      <c r="H698" s="4">
        <v>0.0</v>
      </c>
      <c r="I698" s="4">
        <v>1836.615283</v>
      </c>
      <c r="J698" s="6" t="s">
        <v>15</v>
      </c>
      <c r="K698" s="5">
        <v>0.0</v>
      </c>
      <c r="L698" s="7">
        <v>1.61459973599669</v>
      </c>
      <c r="M698" s="4">
        <v>12.34</v>
      </c>
      <c r="N698" s="2">
        <v>5.65</v>
      </c>
    </row>
    <row r="699">
      <c r="A699" s="2" t="s">
        <v>724</v>
      </c>
      <c r="B699" s="3" t="str">
        <f>HYPERLINK("https://www.suredividend.com/sure-analysis-research-database/","Hippo Holdings Inc")</f>
        <v>Hippo Holdings Inc</v>
      </c>
      <c r="C699" s="2" t="s">
        <v>15</v>
      </c>
      <c r="D699" s="4">
        <v>8.95</v>
      </c>
      <c r="E699" s="5">
        <v>0.0</v>
      </c>
      <c r="F699" s="5" t="s">
        <v>15</v>
      </c>
      <c r="G699" s="5" t="s">
        <v>15</v>
      </c>
      <c r="H699" s="4">
        <v>0.0</v>
      </c>
      <c r="I699" s="4">
        <v>232.90059</v>
      </c>
      <c r="J699" s="6" t="s">
        <v>15</v>
      </c>
      <c r="K699" s="5">
        <v>0.0</v>
      </c>
      <c r="L699" s="7">
        <v>2.02755081760181</v>
      </c>
      <c r="M699" s="4">
        <v>20.39</v>
      </c>
      <c r="N699" s="2">
        <v>6.65</v>
      </c>
    </row>
    <row r="700">
      <c r="A700" s="2" t="s">
        <v>725</v>
      </c>
      <c r="B700" s="3" t="str">
        <f>HYPERLINK("https://www.suredividend.com/sure-analysis-research-database/","Hecla Mining Co.")</f>
        <v>Hecla Mining Co.</v>
      </c>
      <c r="C700" s="2" t="s">
        <v>130</v>
      </c>
      <c r="D700" s="4">
        <v>3.58</v>
      </c>
      <c r="E700" s="5">
        <v>0.006084965039655</v>
      </c>
      <c r="F700" s="5">
        <v>0.0</v>
      </c>
      <c r="G700" s="5">
        <v>0.201124433981431</v>
      </c>
      <c r="H700" s="4">
        <v>0.024948356662587</v>
      </c>
      <c r="I700" s="4">
        <v>2534.754771</v>
      </c>
      <c r="J700" s="6" t="s">
        <v>15</v>
      </c>
      <c r="K700" s="5" t="s">
        <v>15</v>
      </c>
      <c r="L700" s="7">
        <v>1.04632543403964</v>
      </c>
      <c r="M700" s="4">
        <v>6.97</v>
      </c>
      <c r="N700" s="2">
        <v>3.55</v>
      </c>
    </row>
    <row r="701">
      <c r="A701" s="2" t="s">
        <v>726</v>
      </c>
      <c r="B701" s="3" t="str">
        <f>HYPERLINK("https://www.suredividend.com/sure-analysis-research-database/","Herbalife Ltd")</f>
        <v>Herbalife Ltd</v>
      </c>
      <c r="C701" s="2" t="s">
        <v>89</v>
      </c>
      <c r="D701" s="4">
        <v>11.29</v>
      </c>
      <c r="E701" s="5">
        <v>0.0</v>
      </c>
      <c r="F701" s="5" t="s">
        <v>15</v>
      </c>
      <c r="G701" s="5" t="s">
        <v>15</v>
      </c>
      <c r="H701" s="4">
        <v>0.0</v>
      </c>
      <c r="I701" s="4">
        <v>1236.923388</v>
      </c>
      <c r="J701" s="6">
        <v>6.63585508841201</v>
      </c>
      <c r="K701" s="5">
        <v>0.0</v>
      </c>
      <c r="L701" s="7">
        <v>1.55367768661563</v>
      </c>
      <c r="M701" s="4">
        <v>21.33</v>
      </c>
      <c r="N701" s="2">
        <v>11.14</v>
      </c>
    </row>
    <row r="702">
      <c r="A702" s="2" t="s">
        <v>727</v>
      </c>
      <c r="B702" s="3" t="str">
        <f>HYPERLINK("https://www.suredividend.com/sure-analysis-research-database/","Heliogen Inc")</f>
        <v>Heliogen Inc</v>
      </c>
      <c r="C702" s="2" t="s">
        <v>15</v>
      </c>
      <c r="D702" s="4">
        <v>2.45</v>
      </c>
      <c r="E702" s="5">
        <v>0.0</v>
      </c>
      <c r="F702" s="5" t="s">
        <v>15</v>
      </c>
      <c r="G702" s="5" t="s">
        <v>15</v>
      </c>
      <c r="H702" s="4">
        <v>0.0</v>
      </c>
      <c r="I702" s="4">
        <v>0.0</v>
      </c>
      <c r="J702" s="6">
        <v>0.0</v>
      </c>
      <c r="K702" s="5">
        <v>0.0</v>
      </c>
      <c r="L702" s="7"/>
      <c r="M702" s="4" t="s">
        <v>49</v>
      </c>
      <c r="N702" s="2" t="s">
        <v>49</v>
      </c>
    </row>
    <row r="703">
      <c r="A703" s="2" t="s">
        <v>728</v>
      </c>
      <c r="B703" s="3" t="str">
        <f>HYPERLINK("https://www.suredividend.com/sure-analysis-HLI/","Houlihan Lokey Inc")</f>
        <v>Houlihan Lokey Inc</v>
      </c>
      <c r="C703" s="2" t="s">
        <v>22</v>
      </c>
      <c r="D703" s="4">
        <v>124.27</v>
      </c>
      <c r="E703" s="5">
        <v>0.0177033877846624</v>
      </c>
      <c r="F703" s="5">
        <v>0.0377358490566037</v>
      </c>
      <c r="G703" s="5">
        <v>0.152921624674095</v>
      </c>
      <c r="H703" s="4">
        <v>2.16267516176438</v>
      </c>
      <c r="I703" s="4">
        <v>6352.65112</v>
      </c>
      <c r="J703" s="6">
        <v>25.2960639026488</v>
      </c>
      <c r="K703" s="5">
        <v>0.576713376470502</v>
      </c>
      <c r="L703" s="7">
        <v>0.814655835775205</v>
      </c>
      <c r="M703" s="4">
        <v>123.98</v>
      </c>
      <c r="N703" s="2">
        <v>82.53</v>
      </c>
    </row>
    <row r="704">
      <c r="A704" s="2" t="s">
        <v>729</v>
      </c>
      <c r="B704" s="3" t="str">
        <f>HYPERLINK("https://www.suredividend.com/sure-analysis-research-database/","Helios Technologies Inc")</f>
        <v>Helios Technologies Inc</v>
      </c>
      <c r="C704" s="2" t="s">
        <v>17</v>
      </c>
      <c r="D704" s="4">
        <v>40.34</v>
      </c>
      <c r="E704" s="5">
        <v>0.008178440614797</v>
      </c>
      <c r="F704" s="5">
        <v>0.0</v>
      </c>
      <c r="G704" s="5">
        <v>0.0</v>
      </c>
      <c r="H704" s="4">
        <v>0.359033542989617</v>
      </c>
      <c r="I704" s="4">
        <v>1451.026217</v>
      </c>
      <c r="J704" s="6">
        <v>28.0619288524019</v>
      </c>
      <c r="K704" s="5">
        <v>0.228683785343705</v>
      </c>
      <c r="L704" s="7">
        <v>1.1358801198551</v>
      </c>
      <c r="M704" s="4">
        <v>72.15</v>
      </c>
      <c r="N704" s="2">
        <v>37.42</v>
      </c>
    </row>
    <row r="705">
      <c r="A705" s="2" t="s">
        <v>730</v>
      </c>
      <c r="B705" s="3" t="str">
        <f>HYPERLINK("https://www.suredividend.com/sure-analysis-research-database/","Harmonic, Inc.")</f>
        <v>Harmonic, Inc.</v>
      </c>
      <c r="C705" s="2" t="s">
        <v>40</v>
      </c>
      <c r="D705" s="4">
        <v>12.75</v>
      </c>
      <c r="E705" s="5">
        <v>0.0</v>
      </c>
      <c r="F705" s="5" t="s">
        <v>15</v>
      </c>
      <c r="G705" s="5" t="s">
        <v>15</v>
      </c>
      <c r="H705" s="4">
        <v>0.0</v>
      </c>
      <c r="I705" s="4">
        <v>1305.890797</v>
      </c>
      <c r="J705" s="6">
        <v>207.812030050922</v>
      </c>
      <c r="K705" s="5">
        <v>0.0</v>
      </c>
      <c r="L705" s="7">
        <v>1.0813804337055</v>
      </c>
      <c r="M705" s="4">
        <v>18.43</v>
      </c>
      <c r="N705" s="2">
        <v>8.8</v>
      </c>
    </row>
    <row r="706">
      <c r="A706" s="2" t="s">
        <v>731</v>
      </c>
      <c r="B706" s="3" t="str">
        <f>HYPERLINK("https://www.suredividend.com/sure-analysis-research-database/","Holley Inc")</f>
        <v>Holley Inc</v>
      </c>
      <c r="C706" s="2" t="s">
        <v>15</v>
      </c>
      <c r="D706" s="4">
        <v>4.68</v>
      </c>
      <c r="E706" s="5">
        <v>0.0</v>
      </c>
      <c r="F706" s="5" t="s">
        <v>15</v>
      </c>
      <c r="G706" s="5" t="s">
        <v>15</v>
      </c>
      <c r="H706" s="4">
        <v>0.0</v>
      </c>
      <c r="I706" s="4">
        <v>611.825305</v>
      </c>
      <c r="J706" s="6">
        <v>222.320241460755</v>
      </c>
      <c r="K706" s="5">
        <v>0.0</v>
      </c>
      <c r="L706" s="7">
        <v>1.79656930907447</v>
      </c>
      <c r="M706" s="4">
        <v>8.06</v>
      </c>
      <c r="N706" s="2">
        <v>1.93</v>
      </c>
    </row>
    <row r="707">
      <c r="A707" s="2" t="s">
        <v>732</v>
      </c>
      <c r="B707" s="3" t="str">
        <f>HYPERLINK("https://www.suredividend.com/sure-analysis-research-database/","Hillman Solutions Corp")</f>
        <v>Hillman Solutions Corp</v>
      </c>
      <c r="C707" s="2" t="s">
        <v>15</v>
      </c>
      <c r="D707" s="4">
        <v>8.65</v>
      </c>
      <c r="E707" s="5">
        <v>0.0</v>
      </c>
      <c r="F707" s="5" t="s">
        <v>15</v>
      </c>
      <c r="G707" s="5" t="s">
        <v>15</v>
      </c>
      <c r="H707" s="4">
        <v>0.0</v>
      </c>
      <c r="I707" s="4">
        <v>1816.495951</v>
      </c>
      <c r="J707" s="6" t="s">
        <v>15</v>
      </c>
      <c r="K707" s="5">
        <v>0.0</v>
      </c>
      <c r="L707" s="7">
        <v>1.41424257182882</v>
      </c>
      <c r="M707" s="4">
        <v>10.28</v>
      </c>
      <c r="N707" s="2">
        <v>6.02</v>
      </c>
    </row>
    <row r="708">
      <c r="A708" s="2" t="s">
        <v>733</v>
      </c>
      <c r="B708" s="3" t="str">
        <f>HYPERLINK("https://www.suredividend.com/sure-analysis-research-database/","Hamilton Lane Inc")</f>
        <v>Hamilton Lane Inc</v>
      </c>
      <c r="C708" s="2" t="s">
        <v>22</v>
      </c>
      <c r="D708" s="4">
        <v>119.05</v>
      </c>
      <c r="E708" s="5">
        <v>0.014491071904053</v>
      </c>
      <c r="F708" s="5">
        <v>0.1125</v>
      </c>
      <c r="G708" s="5">
        <v>0.159311690516814</v>
      </c>
      <c r="H708" s="4">
        <v>1.71168541330682</v>
      </c>
      <c r="I708" s="4">
        <v>4559.440977</v>
      </c>
      <c r="J708" s="6">
        <v>38.9113802186473</v>
      </c>
      <c r="K708" s="5">
        <v>0.785176795094871</v>
      </c>
      <c r="L708" s="7">
        <v>1.24563543571432</v>
      </c>
      <c r="M708" s="4">
        <v>121.06</v>
      </c>
      <c r="N708" s="2">
        <v>60.27</v>
      </c>
    </row>
    <row r="709">
      <c r="A709" s="2" t="s">
        <v>734</v>
      </c>
      <c r="B709" s="3" t="str">
        <f>HYPERLINK("https://www.suredividend.com/sure-analysis-research-database/","Cue Health Inc")</f>
        <v>Cue Health Inc</v>
      </c>
      <c r="C709" s="2" t="s">
        <v>15</v>
      </c>
      <c r="D709" s="4">
        <v>0.226</v>
      </c>
      <c r="E709" s="5">
        <v>0.0</v>
      </c>
      <c r="F709" s="5" t="s">
        <v>15</v>
      </c>
      <c r="G709" s="5" t="s">
        <v>15</v>
      </c>
      <c r="H709" s="4">
        <v>0.0</v>
      </c>
      <c r="I709" s="4">
        <v>35.410741</v>
      </c>
      <c r="J709" s="6" t="s">
        <v>15</v>
      </c>
      <c r="K709" s="5">
        <v>0.0</v>
      </c>
      <c r="L709" s="7">
        <v>1.32181312311094</v>
      </c>
      <c r="M709" s="4">
        <v>2.82</v>
      </c>
      <c r="N709" s="2">
        <v>0.1625</v>
      </c>
    </row>
    <row r="710">
      <c r="A710" s="2" t="s">
        <v>735</v>
      </c>
      <c r="B710" s="3" t="str">
        <f>HYPERLINK("https://www.suredividend.com/sure-analysis-research-database/","HilleVax Inc")</f>
        <v>HilleVax Inc</v>
      </c>
      <c r="C710" s="2" t="s">
        <v>15</v>
      </c>
      <c r="D710" s="4">
        <v>14.72</v>
      </c>
      <c r="E710" s="5">
        <v>0.0</v>
      </c>
      <c r="F710" s="5" t="s">
        <v>15</v>
      </c>
      <c r="G710" s="5" t="s">
        <v>15</v>
      </c>
      <c r="H710" s="4">
        <v>0.0</v>
      </c>
      <c r="I710" s="4">
        <v>743.507965</v>
      </c>
      <c r="J710" s="6">
        <v>0.0</v>
      </c>
      <c r="K710" s="5" t="s">
        <v>15</v>
      </c>
      <c r="L710" s="7">
        <v>1.26773650308138</v>
      </c>
      <c r="M710" s="4">
        <v>19.09</v>
      </c>
      <c r="N710" s="2">
        <v>9.94</v>
      </c>
    </row>
    <row r="711">
      <c r="A711" s="2" t="s">
        <v>736</v>
      </c>
      <c r="B711" s="3" t="str">
        <f>HYPERLINK("https://www.suredividend.com/sure-analysis-research-database/","Helix Energy Solutions Group Inc")</f>
        <v>Helix Energy Solutions Group Inc</v>
      </c>
      <c r="C711" s="2" t="s">
        <v>125</v>
      </c>
      <c r="D711" s="4">
        <v>9.09</v>
      </c>
      <c r="E711" s="5">
        <v>0.0</v>
      </c>
      <c r="F711" s="5" t="s">
        <v>15</v>
      </c>
      <c r="G711" s="5" t="s">
        <v>15</v>
      </c>
      <c r="H711" s="4">
        <v>0.0</v>
      </c>
      <c r="I711" s="4">
        <v>1531.226087</v>
      </c>
      <c r="J711" s="6">
        <v>75.9348418864369</v>
      </c>
      <c r="K711" s="5">
        <v>0.0</v>
      </c>
      <c r="L711" s="7">
        <v>0.747873130550083</v>
      </c>
      <c r="M711" s="4">
        <v>11.88</v>
      </c>
      <c r="N711" s="2">
        <v>6.19</v>
      </c>
    </row>
    <row r="712">
      <c r="A712" s="2" t="s">
        <v>737</v>
      </c>
      <c r="B712" s="3" t="str">
        <f>HYPERLINK("https://www.suredividend.com/sure-analysis-HMN/","Horace Mann Educators Corp.")</f>
        <v>Horace Mann Educators Corp.</v>
      </c>
      <c r="C712" s="2" t="s">
        <v>22</v>
      </c>
      <c r="D712" s="4">
        <v>35.4</v>
      </c>
      <c r="E712" s="5">
        <v>0.0372881355932203</v>
      </c>
      <c r="F712" s="5">
        <v>0.03125</v>
      </c>
      <c r="G712" s="5">
        <v>0.027957638855196</v>
      </c>
      <c r="H712" s="4">
        <v>1.29932242590102</v>
      </c>
      <c r="I712" s="4">
        <v>1518.255041</v>
      </c>
      <c r="J712" s="6" t="s">
        <v>15</v>
      </c>
      <c r="K712" s="5" t="s">
        <v>15</v>
      </c>
      <c r="L712" s="7">
        <v>0.627441087725645</v>
      </c>
      <c r="M712" s="4">
        <v>38.13</v>
      </c>
      <c r="N712" s="2">
        <v>27.22</v>
      </c>
    </row>
    <row r="713">
      <c r="A713" s="2" t="s">
        <v>738</v>
      </c>
      <c r="B713" s="3" t="str">
        <f>HYPERLINK("https://www.suredividend.com/sure-analysis-research-database/","Home Point Capital Inc")</f>
        <v>Home Point Capital Inc</v>
      </c>
      <c r="C713" s="2" t="s">
        <v>15</v>
      </c>
      <c r="D713" s="4">
        <v>2.32</v>
      </c>
      <c r="E713" s="5">
        <v>0.0</v>
      </c>
      <c r="F713" s="5" t="s">
        <v>15</v>
      </c>
      <c r="G713" s="5" t="s">
        <v>15</v>
      </c>
      <c r="H713" s="4">
        <v>0.0</v>
      </c>
      <c r="I713" s="4">
        <v>0.0</v>
      </c>
      <c r="J713" s="6">
        <v>0.0</v>
      </c>
      <c r="K713" s="5" t="s">
        <v>15</v>
      </c>
      <c r="L713" s="7"/>
      <c r="M713" s="4" t="s">
        <v>49</v>
      </c>
      <c r="N713" s="2" t="s">
        <v>49</v>
      </c>
    </row>
    <row r="714">
      <c r="A714" s="2" t="s">
        <v>739</v>
      </c>
      <c r="B714" s="3" t="str">
        <f>HYPERLINK("https://www.suredividend.com/sure-analysis-research-database/","HomeStreet Inc")</f>
        <v>HomeStreet Inc</v>
      </c>
      <c r="C714" s="2" t="s">
        <v>22</v>
      </c>
      <c r="D714" s="4">
        <v>12.95</v>
      </c>
      <c r="E714" s="5">
        <v>0.041001914681985</v>
      </c>
      <c r="F714" s="5" t="s">
        <v>15</v>
      </c>
      <c r="G714" s="5" t="s">
        <v>15</v>
      </c>
      <c r="H714" s="4">
        <v>0.614618701082963</v>
      </c>
      <c r="I714" s="4">
        <v>281.962724</v>
      </c>
      <c r="J714" s="6" t="s">
        <v>15</v>
      </c>
      <c r="K714" s="5" t="s">
        <v>15</v>
      </c>
      <c r="L714" s="7">
        <v>2.37212216306042</v>
      </c>
      <c r="M714" s="4">
        <v>27.44</v>
      </c>
      <c r="N714" s="2">
        <v>4.07</v>
      </c>
    </row>
    <row r="715">
      <c r="A715" s="2" t="s">
        <v>740</v>
      </c>
      <c r="B715" s="3" t="str">
        <f>HYPERLINK("https://www.suredividend.com/sure-analysis-HNI/","HNI Corp.")</f>
        <v>HNI Corp.</v>
      </c>
      <c r="C715" s="2" t="s">
        <v>17</v>
      </c>
      <c r="D715" s="4">
        <v>40.51</v>
      </c>
      <c r="E715" s="5">
        <v>0.0315971365095038</v>
      </c>
      <c r="F715" s="5">
        <v>0.0</v>
      </c>
      <c r="G715" s="5">
        <v>0.0164021907782809</v>
      </c>
      <c r="H715" s="4">
        <v>1.26208853877562</v>
      </c>
      <c r="I715" s="4">
        <v>1952.610209</v>
      </c>
      <c r="J715" s="6">
        <v>45.492060217138</v>
      </c>
      <c r="K715" s="5">
        <v>1.28078804422125</v>
      </c>
      <c r="L715" s="7">
        <v>0.862598416064004</v>
      </c>
      <c r="M715" s="4">
        <v>43.22</v>
      </c>
      <c r="N715" s="2">
        <v>23.88</v>
      </c>
    </row>
    <row r="716">
      <c r="A716" s="2" t="s">
        <v>741</v>
      </c>
      <c r="B716" s="3" t="str">
        <f>HYPERLINK("https://www.suredividend.com/sure-analysis-research-database/","Honest Company Inc (The )")</f>
        <v>Honest Company Inc (The )</v>
      </c>
      <c r="C716" s="2" t="s">
        <v>15</v>
      </c>
      <c r="D716" s="4">
        <v>2.84</v>
      </c>
      <c r="E716" s="5">
        <v>0.0</v>
      </c>
      <c r="F716" s="5" t="s">
        <v>15</v>
      </c>
      <c r="G716" s="5" t="s">
        <v>15</v>
      </c>
      <c r="H716" s="4">
        <v>0.0</v>
      </c>
      <c r="I716" s="4">
        <v>276.861034</v>
      </c>
      <c r="J716" s="6" t="s">
        <v>15</v>
      </c>
      <c r="K716" s="5">
        <v>0.0</v>
      </c>
      <c r="L716" s="7">
        <v>1.34218702430454</v>
      </c>
      <c r="M716" s="4">
        <v>3.75</v>
      </c>
      <c r="N716" s="2">
        <v>1.06</v>
      </c>
    </row>
    <row r="717">
      <c r="A717" s="2" t="s">
        <v>742</v>
      </c>
      <c r="B717" s="3" t="str">
        <f>HYPERLINK("https://www.suredividend.com/sure-analysis-HOMB/","Home Bancshares Inc")</f>
        <v>Home Bancshares Inc</v>
      </c>
      <c r="C717" s="2" t="s">
        <v>22</v>
      </c>
      <c r="D717" s="4">
        <v>22.94</v>
      </c>
      <c r="E717" s="5">
        <v>0.031386224934612</v>
      </c>
      <c r="F717" s="5">
        <v>0.0909090909090908</v>
      </c>
      <c r="G717" s="5">
        <v>0.0844717711976985</v>
      </c>
      <c r="H717" s="4">
        <v>0.71103098061342</v>
      </c>
      <c r="I717" s="4">
        <v>5012.0017</v>
      </c>
      <c r="J717" s="6">
        <v>11.8662928269562</v>
      </c>
      <c r="K717" s="5">
        <v>0.341841817602605</v>
      </c>
      <c r="L717" s="7">
        <v>1.32236687421646</v>
      </c>
      <c r="M717" s="4">
        <v>25.8</v>
      </c>
      <c r="N717" s="2">
        <v>19.28</v>
      </c>
    </row>
    <row r="718">
      <c r="A718" s="2" t="s">
        <v>743</v>
      </c>
      <c r="B718" s="3" t="str">
        <f>HYPERLINK("https://www.suredividend.com/sure-analysis-research-database/","HarborOne Bancorp Inc.")</f>
        <v>HarborOne Bancorp Inc.</v>
      </c>
      <c r="C718" s="2" t="s">
        <v>22</v>
      </c>
      <c r="D718" s="4">
        <v>10.59</v>
      </c>
      <c r="E718" s="5">
        <v>0.024504372173712</v>
      </c>
      <c r="F718" s="5" t="s">
        <v>15</v>
      </c>
      <c r="G718" s="5" t="s">
        <v>15</v>
      </c>
      <c r="H718" s="4">
        <v>0.296257859580184</v>
      </c>
      <c r="I718" s="4">
        <v>553.322353</v>
      </c>
      <c r="J718" s="6">
        <v>16.8876042411109</v>
      </c>
      <c r="K718" s="5">
        <v>0.400619147505319</v>
      </c>
      <c r="L718" s="7">
        <v>1.16189288860204</v>
      </c>
      <c r="M718" s="4">
        <v>13.66</v>
      </c>
      <c r="N718" s="2">
        <v>7.29</v>
      </c>
    </row>
    <row r="719">
      <c r="A719" s="2" t="s">
        <v>744</v>
      </c>
      <c r="B719" s="3" t="str">
        <f>HYPERLINK("https://www.suredividend.com/sure-analysis-research-database/","Hope Bancorp Inc")</f>
        <v>Hope Bancorp Inc</v>
      </c>
      <c r="C719" s="2" t="s">
        <v>22</v>
      </c>
      <c r="D719" s="4">
        <v>10.76</v>
      </c>
      <c r="E719" s="5">
        <v>0.045608600299553</v>
      </c>
      <c r="F719" s="5" t="s">
        <v>15</v>
      </c>
      <c r="G719" s="5" t="s">
        <v>15</v>
      </c>
      <c r="H719" s="4">
        <v>0.545022773579662</v>
      </c>
      <c r="I719" s="4">
        <v>1435.289477</v>
      </c>
      <c r="J719" s="6">
        <v>9.03294299191289</v>
      </c>
      <c r="K719" s="5">
        <v>0.412896040590653</v>
      </c>
      <c r="L719" s="7">
        <v>1.62976294576339</v>
      </c>
      <c r="M719" s="4">
        <v>12.95</v>
      </c>
      <c r="N719" s="2">
        <v>7.21</v>
      </c>
    </row>
    <row r="720">
      <c r="A720" s="2" t="s">
        <v>745</v>
      </c>
      <c r="B720" s="3" t="str">
        <f>HYPERLINK("https://www.suredividend.com/sure-analysis-research-database/","Anywhere Real Estate Inc")</f>
        <v>Anywhere Real Estate Inc</v>
      </c>
      <c r="C720" s="2" t="s">
        <v>15</v>
      </c>
      <c r="D720" s="4">
        <v>7.08</v>
      </c>
      <c r="E720" s="5">
        <v>0.0</v>
      </c>
      <c r="F720" s="5" t="s">
        <v>15</v>
      </c>
      <c r="G720" s="5" t="s">
        <v>15</v>
      </c>
      <c r="H720" s="4">
        <v>0.0</v>
      </c>
      <c r="I720" s="4">
        <v>854.071235</v>
      </c>
      <c r="J720" s="6" t="s">
        <v>15</v>
      </c>
      <c r="K720" s="5">
        <v>0.0</v>
      </c>
      <c r="L720" s="7">
        <v>2.73798177712072</v>
      </c>
      <c r="M720" s="4">
        <v>9.85</v>
      </c>
      <c r="N720" s="2">
        <v>4.09</v>
      </c>
    </row>
    <row r="721">
      <c r="A721" s="2" t="s">
        <v>746</v>
      </c>
      <c r="B721" s="3" t="str">
        <f>HYPERLINK("https://www.suredividend.com/sure-analysis-research-database/","Hovnanian Enterprises, Inc.")</f>
        <v>Hovnanian Enterprises, Inc.</v>
      </c>
      <c r="C721" s="2" t="s">
        <v>25</v>
      </c>
      <c r="D721" s="4">
        <v>166.03</v>
      </c>
      <c r="E721" s="5">
        <v>0.0</v>
      </c>
      <c r="F721" s="5" t="s">
        <v>15</v>
      </c>
      <c r="G721" s="5" t="s">
        <v>15</v>
      </c>
      <c r="H721" s="4">
        <v>0.0</v>
      </c>
      <c r="I721" s="4">
        <v>930.576827</v>
      </c>
      <c r="J721" s="6">
        <v>5.19326982928639</v>
      </c>
      <c r="K721" s="5">
        <v>0.0</v>
      </c>
      <c r="L721" s="7">
        <v>2.38836872067761</v>
      </c>
      <c r="M721" s="4">
        <v>174.95</v>
      </c>
      <c r="N721" s="2">
        <v>54.27</v>
      </c>
    </row>
    <row r="722">
      <c r="A722" s="2" t="s">
        <v>747</v>
      </c>
      <c r="B722" s="3" t="str">
        <f>HYPERLINK("https://www.suredividend.com/sure-analysis-HP/","Helmerich &amp; Payne, Inc.")</f>
        <v>Helmerich &amp; Payne, Inc.</v>
      </c>
      <c r="C722" s="2" t="s">
        <v>125</v>
      </c>
      <c r="D722" s="4">
        <v>37.13</v>
      </c>
      <c r="E722" s="5">
        <v>0.0269323996768112</v>
      </c>
      <c r="F722" s="5">
        <v>-0.276595744680851</v>
      </c>
      <c r="G722" s="5">
        <v>-0.248657225011942</v>
      </c>
      <c r="H722" s="4">
        <v>1.8589370004763</v>
      </c>
      <c r="I722" s="4">
        <v>3625.409107</v>
      </c>
      <c r="J722" s="6">
        <v>8.46589413581731</v>
      </c>
      <c r="K722" s="5">
        <v>0.446859855883727</v>
      </c>
      <c r="L722" s="7">
        <v>0.972361631305083</v>
      </c>
      <c r="M722" s="4">
        <v>48.6</v>
      </c>
      <c r="N722" s="2">
        <v>29.85</v>
      </c>
    </row>
    <row r="723">
      <c r="A723" s="2" t="s">
        <v>748</v>
      </c>
      <c r="B723" s="3" t="str">
        <f>HYPERLINK("https://www.suredividend.com/sure-analysis-research-database/","HighPeak Energy Inc")</f>
        <v>HighPeak Energy Inc</v>
      </c>
      <c r="C723" s="2" t="s">
        <v>15</v>
      </c>
      <c r="D723" s="4">
        <v>13.23</v>
      </c>
      <c r="E723" s="5">
        <v>0.007015336673294</v>
      </c>
      <c r="F723" s="5" t="s">
        <v>15</v>
      </c>
      <c r="G723" s="5" t="s">
        <v>15</v>
      </c>
      <c r="H723" s="4">
        <v>0.099547627394051</v>
      </c>
      <c r="I723" s="4">
        <v>1822.292897</v>
      </c>
      <c r="J723" s="6">
        <v>10.2373704937529</v>
      </c>
      <c r="K723" s="5">
        <v>0.0677194744177217</v>
      </c>
      <c r="L723" s="7">
        <v>1.42714134469279</v>
      </c>
      <c r="M723" s="4">
        <v>28.83</v>
      </c>
      <c r="N723" s="2">
        <v>10.37</v>
      </c>
    </row>
    <row r="724">
      <c r="A724" s="2" t="s">
        <v>749</v>
      </c>
      <c r="B724" s="3" t="str">
        <f>HYPERLINK("https://www.suredividend.com/sure-analysis-research-database/","Healthequity Inc")</f>
        <v>Healthequity Inc</v>
      </c>
      <c r="C724" s="2" t="s">
        <v>30</v>
      </c>
      <c r="D724" s="4">
        <v>76.94</v>
      </c>
      <c r="E724" s="5">
        <v>0.0</v>
      </c>
      <c r="F724" s="5" t="s">
        <v>15</v>
      </c>
      <c r="G724" s="5" t="s">
        <v>15</v>
      </c>
      <c r="H724" s="4">
        <v>0.0</v>
      </c>
      <c r="I724" s="4">
        <v>6639.292523</v>
      </c>
      <c r="J724" s="6">
        <v>227.849017561343</v>
      </c>
      <c r="K724" s="5">
        <v>0.0</v>
      </c>
      <c r="L724" s="7">
        <v>0.726180095336851</v>
      </c>
      <c r="M724" s="4">
        <v>78.32</v>
      </c>
      <c r="N724" s="2">
        <v>48.86</v>
      </c>
    </row>
    <row r="725">
      <c r="A725" s="2" t="s">
        <v>750</v>
      </c>
      <c r="B725" s="3" t="str">
        <f>HYPERLINK("https://www.suredividend.com/sure-analysis-research-database/","Herc Holdings Inc")</f>
        <v>Herc Holdings Inc</v>
      </c>
      <c r="C725" s="2" t="s">
        <v>17</v>
      </c>
      <c r="D725" s="4">
        <v>149.41</v>
      </c>
      <c r="E725" s="5">
        <v>0.01633597311758</v>
      </c>
      <c r="F725" s="5" t="s">
        <v>15</v>
      </c>
      <c r="G725" s="5" t="s">
        <v>15</v>
      </c>
      <c r="H725" s="4">
        <v>2.5100222695163</v>
      </c>
      <c r="I725" s="4">
        <v>4348.295</v>
      </c>
      <c r="J725" s="6">
        <v>12.290262860373</v>
      </c>
      <c r="K725" s="5">
        <v>0.206416305058906</v>
      </c>
      <c r="L725" s="7">
        <v>2.04297778141068</v>
      </c>
      <c r="M725" s="4">
        <v>159.14</v>
      </c>
      <c r="N725" s="2">
        <v>92.44</v>
      </c>
    </row>
    <row r="726">
      <c r="A726" s="2" t="s">
        <v>751</v>
      </c>
      <c r="B726" s="3" t="str">
        <f>HYPERLINK("https://www.suredividend.com/sure-analysis-research-database/","Harmony Biosciences Holdings Inc")</f>
        <v>Harmony Biosciences Holdings Inc</v>
      </c>
      <c r="C726" s="2" t="s">
        <v>15</v>
      </c>
      <c r="D726" s="4">
        <v>30.32</v>
      </c>
      <c r="E726" s="5">
        <v>0.0</v>
      </c>
      <c r="F726" s="5" t="s">
        <v>15</v>
      </c>
      <c r="G726" s="5" t="s">
        <v>15</v>
      </c>
      <c r="H726" s="4">
        <v>0.0</v>
      </c>
      <c r="I726" s="4">
        <v>1890.116633</v>
      </c>
      <c r="J726" s="6">
        <v>12.5376712737885</v>
      </c>
      <c r="K726" s="5">
        <v>0.0</v>
      </c>
      <c r="L726" s="7">
        <v>1.30691806084288</v>
      </c>
      <c r="M726" s="4">
        <v>50.75</v>
      </c>
      <c r="N726" s="2">
        <v>18.61</v>
      </c>
    </row>
    <row r="727">
      <c r="A727" s="2" t="s">
        <v>752</v>
      </c>
      <c r="B727" s="3" t="str">
        <f>HYPERLINK("https://www.suredividend.com/sure-analysis-research-database/","HireRight Holdings Corp")</f>
        <v>HireRight Holdings Corp</v>
      </c>
      <c r="C727" s="2" t="s">
        <v>15</v>
      </c>
      <c r="D727" s="4">
        <v>12.46</v>
      </c>
      <c r="E727" s="5">
        <v>0.0</v>
      </c>
      <c r="F727" s="5" t="s">
        <v>15</v>
      </c>
      <c r="G727" s="5" t="s">
        <v>15</v>
      </c>
      <c r="H727" s="4">
        <v>0.0</v>
      </c>
      <c r="I727" s="4">
        <v>855.029602</v>
      </c>
      <c r="J727" s="6">
        <v>104.005547023476</v>
      </c>
      <c r="K727" s="5">
        <v>0.0</v>
      </c>
      <c r="L727" s="7">
        <v>1.40319734240125</v>
      </c>
      <c r="M727" s="4">
        <v>14.0</v>
      </c>
      <c r="N727" s="2">
        <v>8.5</v>
      </c>
    </row>
    <row r="728">
      <c r="A728" s="2" t="s">
        <v>753</v>
      </c>
      <c r="B728" s="3" t="str">
        <f>HYPERLINK("https://www.suredividend.com/sure-analysis-research-database/","Heron Therapeutics Inc")</f>
        <v>Heron Therapeutics Inc</v>
      </c>
      <c r="C728" s="2" t="s">
        <v>30</v>
      </c>
      <c r="D728" s="4">
        <v>2.23</v>
      </c>
      <c r="E728" s="5">
        <v>0.0</v>
      </c>
      <c r="F728" s="5" t="s">
        <v>15</v>
      </c>
      <c r="G728" s="5" t="s">
        <v>15</v>
      </c>
      <c r="H728" s="4">
        <v>0.0</v>
      </c>
      <c r="I728" s="4">
        <v>379.683779</v>
      </c>
      <c r="J728" s="6">
        <v>0.0</v>
      </c>
      <c r="K728" s="5" t="s">
        <v>15</v>
      </c>
      <c r="L728" s="7">
        <v>1.86126475543116</v>
      </c>
      <c r="M728" s="4">
        <v>3.36</v>
      </c>
      <c r="N728" s="2">
        <v>0.5</v>
      </c>
    </row>
    <row r="729">
      <c r="A729" s="2" t="s">
        <v>754</v>
      </c>
      <c r="B729" s="3" t="str">
        <f>HYPERLINK("https://www.suredividend.com/sure-analysis-research-database/","Heidrick &amp; Struggles International, Inc.")</f>
        <v>Heidrick &amp; Struggles International, Inc.</v>
      </c>
      <c r="C729" s="2" t="s">
        <v>17</v>
      </c>
      <c r="D729" s="4">
        <v>30.61</v>
      </c>
      <c r="E729" s="5">
        <v>0.019514735110677</v>
      </c>
      <c r="F729" s="5">
        <v>0.0</v>
      </c>
      <c r="G729" s="5">
        <v>0.0</v>
      </c>
      <c r="H729" s="4">
        <v>0.589735295044671</v>
      </c>
      <c r="I729" s="4">
        <v>608.093368</v>
      </c>
      <c r="J729" s="6">
        <v>10.9371277814349</v>
      </c>
      <c r="K729" s="5">
        <v>0.220050483225623</v>
      </c>
      <c r="L729" s="7">
        <v>1.07587796970007</v>
      </c>
      <c r="M729" s="4">
        <v>33.8</v>
      </c>
      <c r="N729" s="2">
        <v>22.25</v>
      </c>
    </row>
    <row r="730">
      <c r="A730" s="2" t="s">
        <v>755</v>
      </c>
      <c r="B730" s="3" t="str">
        <f>HYPERLINK("https://www.suredividend.com/sure-analysis-research-database/","Healthstream Inc")</f>
        <v>Healthstream Inc</v>
      </c>
      <c r="C730" s="2" t="s">
        <v>30</v>
      </c>
      <c r="D730" s="4">
        <v>26.34</v>
      </c>
      <c r="E730" s="5">
        <v>0.003688090112245</v>
      </c>
      <c r="F730" s="5" t="s">
        <v>15</v>
      </c>
      <c r="G730" s="5" t="s">
        <v>15</v>
      </c>
      <c r="H730" s="4">
        <v>0.099689075734006</v>
      </c>
      <c r="I730" s="4">
        <v>818.612605</v>
      </c>
      <c r="J730" s="6">
        <v>62.6233632994186</v>
      </c>
      <c r="K730" s="5">
        <v>0.23434197398685</v>
      </c>
      <c r="L730" s="7">
        <v>0.628381770202417</v>
      </c>
      <c r="M730" s="4">
        <v>27.75</v>
      </c>
      <c r="N730" s="2">
        <v>20.38</v>
      </c>
    </row>
    <row r="731">
      <c r="A731" s="2" t="s">
        <v>756</v>
      </c>
      <c r="B731" s="3" t="str">
        <f>HYPERLINK("https://www.suredividend.com/sure-analysis-research-database/","Hersha Hospitality Trust")</f>
        <v>Hersha Hospitality Trust</v>
      </c>
      <c r="C731" s="2" t="s">
        <v>20</v>
      </c>
      <c r="D731" s="4">
        <v>9.99</v>
      </c>
      <c r="E731" s="5">
        <v>0.024724789090696</v>
      </c>
      <c r="F731" s="5" t="s">
        <v>15</v>
      </c>
      <c r="G731" s="5" t="s">
        <v>15</v>
      </c>
      <c r="H731" s="4">
        <v>0.247000643016062</v>
      </c>
      <c r="I731" s="4">
        <v>402.558698</v>
      </c>
      <c r="J731" s="6">
        <v>46.581659146031</v>
      </c>
      <c r="K731" s="5">
        <v>1.17900068265423</v>
      </c>
      <c r="L731" s="7">
        <v>1.00361722744308</v>
      </c>
      <c r="M731" s="4">
        <v>10.04</v>
      </c>
      <c r="N731" s="2">
        <v>5.56</v>
      </c>
    </row>
    <row r="732">
      <c r="A732" s="2" t="s">
        <v>757</v>
      </c>
      <c r="B732" s="3" t="str">
        <f>HYPERLINK("https://www.suredividend.com/sure-analysis-research-database/","HomeTrust Bancshares Inc")</f>
        <v>HomeTrust Bancshares Inc</v>
      </c>
      <c r="C732" s="2" t="s">
        <v>22</v>
      </c>
      <c r="D732" s="4">
        <v>26.11</v>
      </c>
      <c r="E732" s="5">
        <v>0.014076021951411</v>
      </c>
      <c r="F732" s="5">
        <v>0.0999999999999998</v>
      </c>
      <c r="G732" s="5">
        <v>0.128881320730197</v>
      </c>
      <c r="H732" s="4">
        <v>0.405811712859186</v>
      </c>
      <c r="I732" s="4">
        <v>501.160741</v>
      </c>
      <c r="J732" s="6">
        <v>0.0</v>
      </c>
      <c r="K732" s="5" t="s">
        <v>15</v>
      </c>
      <c r="L732" s="7">
        <v>0.988952399124723</v>
      </c>
      <c r="M732" s="4">
        <v>30.99</v>
      </c>
      <c r="N732" s="2">
        <v>17.68</v>
      </c>
    </row>
    <row r="733">
      <c r="A733" s="2" t="s">
        <v>758</v>
      </c>
      <c r="B733" s="3" t="str">
        <f>HYPERLINK("https://www.suredividend.com/sure-analysis-research-database/","Heritage Commerce Corp.")</f>
        <v>Heritage Commerce Corp.</v>
      </c>
      <c r="C733" s="2" t="s">
        <v>22</v>
      </c>
      <c r="D733" s="4">
        <v>8.41</v>
      </c>
      <c r="E733" s="5">
        <v>0.054658451926324</v>
      </c>
      <c r="F733" s="5">
        <v>0.0</v>
      </c>
      <c r="G733" s="5">
        <v>0.0161373647415956</v>
      </c>
      <c r="H733" s="4">
        <v>0.502857757722189</v>
      </c>
      <c r="I733" s="4">
        <v>562.038626</v>
      </c>
      <c r="J733" s="6">
        <v>7.81542712128375</v>
      </c>
      <c r="K733" s="5">
        <v>0.42979295531811</v>
      </c>
      <c r="L733" s="7">
        <v>1.57400628929422</v>
      </c>
      <c r="M733" s="4">
        <v>11.81</v>
      </c>
      <c r="N733" s="2">
        <v>6.29</v>
      </c>
    </row>
    <row r="734">
      <c r="A734" s="2" t="s">
        <v>759</v>
      </c>
      <c r="B734" s="3" t="str">
        <f>HYPERLINK("https://www.suredividend.com/sure-analysis-research-database/","Hilltop Holdings Inc")</f>
        <v>Hilltop Holdings Inc</v>
      </c>
      <c r="C734" s="2" t="s">
        <v>22</v>
      </c>
      <c r="D734" s="4">
        <v>30.41</v>
      </c>
      <c r="E734" s="5">
        <v>0.019145645125525</v>
      </c>
      <c r="F734" s="5">
        <v>0.0666666666666666</v>
      </c>
      <c r="G734" s="5">
        <v>0.148698354997035</v>
      </c>
      <c r="H734" s="4">
        <v>0.634869592362422</v>
      </c>
      <c r="I734" s="4">
        <v>2161.031264</v>
      </c>
      <c r="J734" s="6">
        <v>20.2854686838572</v>
      </c>
      <c r="K734" s="5">
        <v>0.387115605099037</v>
      </c>
      <c r="L734" s="7">
        <v>1.34118430067256</v>
      </c>
      <c r="M734" s="4">
        <v>35.66</v>
      </c>
      <c r="N734" s="2">
        <v>26.63</v>
      </c>
    </row>
    <row r="735">
      <c r="A735" s="2" t="s">
        <v>760</v>
      </c>
      <c r="B735" s="3" t="str">
        <f>HYPERLINK("https://www.suredividend.com/sure-analysis-research-database/","Heartland Express, Inc.")</f>
        <v>Heartland Express, Inc.</v>
      </c>
      <c r="C735" s="2" t="s">
        <v>17</v>
      </c>
      <c r="D735" s="4">
        <v>12.7</v>
      </c>
      <c r="E735" s="5">
        <v>0.005967801127534</v>
      </c>
      <c r="F735" s="5">
        <v>0.0</v>
      </c>
      <c r="G735" s="5">
        <v>0.0</v>
      </c>
      <c r="H735" s="4">
        <v>0.079670145052592</v>
      </c>
      <c r="I735" s="4">
        <v>1055.006111</v>
      </c>
      <c r="J735" s="6">
        <v>41.9185517820247</v>
      </c>
      <c r="K735" s="5">
        <v>0.250220304813417</v>
      </c>
      <c r="L735" s="7">
        <v>0.912353855390895</v>
      </c>
      <c r="M735" s="4">
        <v>18.0</v>
      </c>
      <c r="N735" s="2">
        <v>11.41</v>
      </c>
    </row>
    <row r="736">
      <c r="A736" s="2" t="s">
        <v>761</v>
      </c>
      <c r="B736" s="3" t="str">
        <f>HYPERLINK("https://www.suredividend.com/sure-analysis-research-database/","Heartland Financial USA, Inc.")</f>
        <v>Heartland Financial USA, Inc.</v>
      </c>
      <c r="C736" s="2" t="s">
        <v>22</v>
      </c>
      <c r="D736" s="4">
        <v>33.62</v>
      </c>
      <c r="E736" s="5">
        <v>0.030412692672398</v>
      </c>
      <c r="F736" s="5">
        <v>0.0714285714285714</v>
      </c>
      <c r="G736" s="5">
        <v>0.133966577633027</v>
      </c>
      <c r="H736" s="4">
        <v>1.16693501783994</v>
      </c>
      <c r="I736" s="4">
        <v>1636.925745</v>
      </c>
      <c r="J736" s="6">
        <v>8.06816476896006</v>
      </c>
      <c r="K736" s="5">
        <v>0.246188822329101</v>
      </c>
      <c r="L736" s="7">
        <v>1.34892576059671</v>
      </c>
      <c r="M736" s="4">
        <v>48.17</v>
      </c>
      <c r="N736" s="2">
        <v>25.08</v>
      </c>
    </row>
    <row r="737">
      <c r="A737" s="2" t="s">
        <v>762</v>
      </c>
      <c r="B737" s="3" t="str">
        <f>HYPERLINK("https://www.suredividend.com/sure-analysis-research-database/","Hub Group, Inc.")</f>
        <v>Hub Group, Inc.</v>
      </c>
      <c r="C737" s="2" t="s">
        <v>17</v>
      </c>
      <c r="D737" s="4">
        <v>43.21</v>
      </c>
      <c r="E737" s="5">
        <v>0.0</v>
      </c>
      <c r="F737" s="5" t="s">
        <v>15</v>
      </c>
      <c r="G737" s="5" t="s">
        <v>15</v>
      </c>
      <c r="H737" s="4">
        <v>0.0</v>
      </c>
      <c r="I737" s="4">
        <v>1421.729947</v>
      </c>
      <c r="J737" s="6">
        <v>6.52115856039409</v>
      </c>
      <c r="K737" s="5">
        <v>0.0</v>
      </c>
      <c r="L737" s="7">
        <v>1.04167927391791</v>
      </c>
      <c r="M737" s="4">
        <v>52.34</v>
      </c>
      <c r="N737" s="2">
        <v>31.73</v>
      </c>
    </row>
    <row r="738">
      <c r="A738" s="2" t="s">
        <v>763</v>
      </c>
      <c r="B738" s="3" t="str">
        <f>HYPERLINK("https://www.suredividend.com/sure-analysis-research-database/","Humacyte Inc")</f>
        <v>Humacyte Inc</v>
      </c>
      <c r="C738" s="2" t="s">
        <v>15</v>
      </c>
      <c r="D738" s="4">
        <v>3.35</v>
      </c>
      <c r="E738" s="5">
        <v>0.0</v>
      </c>
      <c r="F738" s="5" t="s">
        <v>15</v>
      </c>
      <c r="G738" s="5" t="s">
        <v>15</v>
      </c>
      <c r="H738" s="4">
        <v>0.0</v>
      </c>
      <c r="I738" s="4">
        <v>343.86985</v>
      </c>
      <c r="J738" s="6" t="s">
        <v>15</v>
      </c>
      <c r="K738" s="5">
        <v>0.0</v>
      </c>
      <c r="L738" s="7">
        <v>1.92717810979043</v>
      </c>
      <c r="M738" s="4">
        <v>5.6</v>
      </c>
      <c r="N738" s="2">
        <v>1.96</v>
      </c>
    </row>
    <row r="739">
      <c r="A739" s="2" t="s">
        <v>764</v>
      </c>
      <c r="B739" s="3" t="str">
        <f>HYPERLINK("https://www.suredividend.com/sure-analysis-research-database/","Huron Consulting Group Inc")</f>
        <v>Huron Consulting Group Inc</v>
      </c>
      <c r="C739" s="2" t="s">
        <v>17</v>
      </c>
      <c r="D739" s="4">
        <v>101.54</v>
      </c>
      <c r="E739" s="5">
        <v>0.0</v>
      </c>
      <c r="F739" s="5" t="s">
        <v>15</v>
      </c>
      <c r="G739" s="5" t="s">
        <v>15</v>
      </c>
      <c r="H739" s="4">
        <v>0.0</v>
      </c>
      <c r="I739" s="4">
        <v>1982.399245</v>
      </c>
      <c r="J739" s="6">
        <v>25.8357019340292</v>
      </c>
      <c r="K739" s="5">
        <v>0.0</v>
      </c>
      <c r="L739" s="7">
        <v>0.523143007788624</v>
      </c>
      <c r="M739" s="4">
        <v>113.31</v>
      </c>
      <c r="N739" s="2">
        <v>66.52</v>
      </c>
    </row>
    <row r="740">
      <c r="A740" s="2" t="s">
        <v>765</v>
      </c>
      <c r="B740" s="3" t="str">
        <f>HYPERLINK("https://www.suredividend.com/sure-analysis-research-database/","Haverty Furniture Cos., Inc.")</f>
        <v>Haverty Furniture Cos., Inc.</v>
      </c>
      <c r="C740" s="2" t="s">
        <v>25</v>
      </c>
      <c r="D740" s="4">
        <v>33.64</v>
      </c>
      <c r="E740" s="5">
        <v>0.033207796864903</v>
      </c>
      <c r="F740" s="5">
        <v>2.57142857142857</v>
      </c>
      <c r="G740" s="5">
        <v>0.379729661461214</v>
      </c>
      <c r="H740" s="4">
        <v>1.14799353761972</v>
      </c>
      <c r="I740" s="4">
        <v>562.95384</v>
      </c>
      <c r="J740" s="6">
        <v>8.65337309333497</v>
      </c>
      <c r="K740" s="5">
        <v>0.295874623097867</v>
      </c>
      <c r="L740" s="7">
        <v>1.06980182095923</v>
      </c>
      <c r="M740" s="4">
        <v>37.0</v>
      </c>
      <c r="N740" s="2">
        <v>24.06</v>
      </c>
    </row>
    <row r="741">
      <c r="A741" s="2" t="s">
        <v>766</v>
      </c>
      <c r="B741" s="3" t="str">
        <f>HYPERLINK("https://www.suredividend.com/sure-analysis-research-database/","Hancock Whitney Corp.")</f>
        <v>Hancock Whitney Corp.</v>
      </c>
      <c r="C741" s="2" t="s">
        <v>22</v>
      </c>
      <c r="D741" s="4">
        <v>42.29</v>
      </c>
      <c r="E741" s="5">
        <v>0.024550201018705</v>
      </c>
      <c r="F741" s="5">
        <v>0.111111111111111</v>
      </c>
      <c r="G741" s="5">
        <v>0.0212956876001351</v>
      </c>
      <c r="H741" s="4">
        <v>1.17448161673487</v>
      </c>
      <c r="I741" s="4">
        <v>4121.471734</v>
      </c>
      <c r="J741" s="6">
        <v>8.57982158178729</v>
      </c>
      <c r="K741" s="5">
        <v>0.211237700851595</v>
      </c>
      <c r="L741" s="7">
        <v>1.82157553796566</v>
      </c>
      <c r="M741" s="4">
        <v>51.7</v>
      </c>
      <c r="N741" s="2">
        <v>29.68</v>
      </c>
    </row>
    <row r="742">
      <c r="A742" s="2" t="s">
        <v>767</v>
      </c>
      <c r="B742" s="3" t="str">
        <f>HYPERLINK("https://www.suredividend.com/sure-analysis-HWKN/","Hawkins Inc")</f>
        <v>Hawkins Inc</v>
      </c>
      <c r="C742" s="2" t="s">
        <v>130</v>
      </c>
      <c r="D742" s="4">
        <v>59.25</v>
      </c>
      <c r="E742" s="5">
        <v>0.010801687763713</v>
      </c>
      <c r="F742" s="5">
        <v>0.142857142857142</v>
      </c>
      <c r="G742" s="5">
        <v>-0.0700096774394742</v>
      </c>
      <c r="H742" s="4">
        <v>0.615896583350575</v>
      </c>
      <c r="I742" s="4">
        <v>1424.175</v>
      </c>
      <c r="J742" s="6">
        <v>20.6426107374768</v>
      </c>
      <c r="K742" s="5">
        <v>0.187773348582492</v>
      </c>
      <c r="L742" s="7">
        <v>1.07432095622233</v>
      </c>
      <c r="M742" s="4">
        <v>73.47</v>
      </c>
      <c r="N742" s="2">
        <v>37.51</v>
      </c>
    </row>
    <row r="743">
      <c r="A743" s="2" t="s">
        <v>768</v>
      </c>
      <c r="B743" s="3" t="str">
        <f>HYPERLINK("https://www.suredividend.com/sure-analysis-research-database/","Hyster-Yale Materials Handling Inc")</f>
        <v>Hyster-Yale Materials Handling Inc</v>
      </c>
      <c r="C743" s="2" t="s">
        <v>17</v>
      </c>
      <c r="D743" s="4">
        <v>67.11</v>
      </c>
      <c r="E743" s="5">
        <v>0.018985418176097</v>
      </c>
      <c r="F743" s="5">
        <v>0.00775193798449613</v>
      </c>
      <c r="G743" s="5">
        <v>0.00949537468284389</v>
      </c>
      <c r="H743" s="4">
        <v>1.28417368543122</v>
      </c>
      <c r="I743" s="4">
        <v>927.730286</v>
      </c>
      <c r="J743" s="6">
        <v>0.0</v>
      </c>
      <c r="K743" s="5" t="s">
        <v>15</v>
      </c>
      <c r="L743" s="7">
        <v>1.38023803867734</v>
      </c>
      <c r="M743" s="4">
        <v>70.28</v>
      </c>
      <c r="N743" s="2">
        <v>28.38</v>
      </c>
    </row>
    <row r="744">
      <c r="A744" s="2" t="s">
        <v>769</v>
      </c>
      <c r="B744" s="3" t="str">
        <f>HYPERLINK("https://www.suredividend.com/sure-analysis-research-database/","Hydrofarm Holdings Group Inc")</f>
        <v>Hydrofarm Holdings Group Inc</v>
      </c>
      <c r="C744" s="2" t="s">
        <v>15</v>
      </c>
      <c r="D744" s="4">
        <v>0.95</v>
      </c>
      <c r="E744" s="5">
        <v>0.0</v>
      </c>
      <c r="F744" s="5" t="s">
        <v>15</v>
      </c>
      <c r="G744" s="5" t="s">
        <v>15</v>
      </c>
      <c r="H744" s="4">
        <v>0.0</v>
      </c>
      <c r="I744" s="4">
        <v>47.589958</v>
      </c>
      <c r="J744" s="6" t="s">
        <v>15</v>
      </c>
      <c r="K744" s="5">
        <v>0.0</v>
      </c>
      <c r="L744" s="7">
        <v>1.82762599814309</v>
      </c>
      <c r="M744" s="4">
        <v>2.27</v>
      </c>
      <c r="N744" s="2">
        <v>0.6715</v>
      </c>
    </row>
    <row r="745">
      <c r="A745" s="2" t="s">
        <v>770</v>
      </c>
      <c r="B745" s="3" t="str">
        <f>HYPERLINK("https://www.suredividend.com/sure-analysis-research-database/","Hyliion Holdings Corporation")</f>
        <v>Hyliion Holdings Corporation</v>
      </c>
      <c r="C745" s="2" t="s">
        <v>15</v>
      </c>
      <c r="D745" s="4">
        <v>1.03</v>
      </c>
      <c r="E745" s="5">
        <v>0.0</v>
      </c>
      <c r="F745" s="5" t="s">
        <v>15</v>
      </c>
      <c r="G745" s="5" t="s">
        <v>15</v>
      </c>
      <c r="H745" s="4">
        <v>0.0</v>
      </c>
      <c r="I745" s="4">
        <v>213.863661</v>
      </c>
      <c r="J745" s="6" t="s">
        <v>15</v>
      </c>
      <c r="K745" s="5">
        <v>0.0</v>
      </c>
      <c r="L745" s="7">
        <v>2.5759053338814</v>
      </c>
      <c r="M745" s="4">
        <v>3.88</v>
      </c>
      <c r="N745" s="2">
        <v>0.5181</v>
      </c>
    </row>
    <row r="746">
      <c r="A746" s="2" t="s">
        <v>771</v>
      </c>
      <c r="B746" s="3" t="str">
        <f>HYPERLINK("https://www.suredividend.com/sure-analysis-research-database/","Hycroft Mining Holding Corporation")</f>
        <v>Hycroft Mining Holding Corporation</v>
      </c>
      <c r="C746" s="2" t="s">
        <v>15</v>
      </c>
      <c r="D746" s="4">
        <v>1.88</v>
      </c>
      <c r="E746" s="5">
        <v>0.0</v>
      </c>
      <c r="F746" s="5" t="s">
        <v>15</v>
      </c>
      <c r="G746" s="5" t="s">
        <v>15</v>
      </c>
      <c r="H746" s="4">
        <v>0.0</v>
      </c>
      <c r="I746" s="4">
        <v>414.37232</v>
      </c>
      <c r="J746" s="6" t="s">
        <v>15</v>
      </c>
      <c r="K746" s="5">
        <v>0.0</v>
      </c>
      <c r="L746" s="7">
        <v>0.918778019353657</v>
      </c>
      <c r="M746" s="4">
        <v>6.2</v>
      </c>
      <c r="N746" s="2">
        <v>1.63</v>
      </c>
    </row>
    <row r="747">
      <c r="A747" s="2" t="s">
        <v>772</v>
      </c>
      <c r="B747" s="3" t="str">
        <f>HYPERLINK("https://www.suredividend.com/sure-analysis-research-database/","Hyzon Motors Inc")</f>
        <v>Hyzon Motors Inc</v>
      </c>
      <c r="C747" s="2" t="s">
        <v>15</v>
      </c>
      <c r="D747" s="4">
        <v>0.688</v>
      </c>
      <c r="E747" s="5">
        <v>0.0</v>
      </c>
      <c r="F747" s="5" t="s">
        <v>15</v>
      </c>
      <c r="G747" s="5" t="s">
        <v>15</v>
      </c>
      <c r="H747" s="4">
        <v>0.0</v>
      </c>
      <c r="I747" s="4">
        <v>190.857201</v>
      </c>
      <c r="J747" s="6" t="s">
        <v>15</v>
      </c>
      <c r="K747" s="5">
        <v>0.0</v>
      </c>
      <c r="L747" s="7">
        <v>2.66054472928284</v>
      </c>
      <c r="M747" s="4">
        <v>2.35</v>
      </c>
      <c r="N747" s="2">
        <v>0.45</v>
      </c>
    </row>
    <row r="748">
      <c r="A748" s="2" t="s">
        <v>773</v>
      </c>
      <c r="B748" s="3" t="str">
        <f>HYPERLINK("https://www.suredividend.com/sure-analysis-research-database/","Marinemax, Inc.")</f>
        <v>Marinemax, Inc.</v>
      </c>
      <c r="C748" s="2" t="s">
        <v>25</v>
      </c>
      <c r="D748" s="4">
        <v>30.38</v>
      </c>
      <c r="E748" s="5">
        <v>0.0</v>
      </c>
      <c r="F748" s="5" t="s">
        <v>15</v>
      </c>
      <c r="G748" s="5" t="s">
        <v>15</v>
      </c>
      <c r="H748" s="4">
        <v>0.0</v>
      </c>
      <c r="I748" s="4">
        <v>634.646274</v>
      </c>
      <c r="J748" s="6">
        <v>7.01096169417379</v>
      </c>
      <c r="K748" s="5">
        <v>0.0</v>
      </c>
      <c r="L748" s="7">
        <v>1.40405983863048</v>
      </c>
      <c r="M748" s="4">
        <v>42.88</v>
      </c>
      <c r="N748" s="2">
        <v>25.6</v>
      </c>
    </row>
    <row r="749">
      <c r="A749" s="2" t="s">
        <v>774</v>
      </c>
      <c r="B749" s="3" t="str">
        <f>HYPERLINK("https://www.suredividend.com/sure-analysis-research-database/","Integral Ad Science Holding Corp")</f>
        <v>Integral Ad Science Holding Corp</v>
      </c>
      <c r="C749" s="2" t="s">
        <v>15</v>
      </c>
      <c r="D749" s="4">
        <v>15.9</v>
      </c>
      <c r="E749" s="5">
        <v>0.0</v>
      </c>
      <c r="F749" s="5" t="s">
        <v>15</v>
      </c>
      <c r="G749" s="5" t="s">
        <v>15</v>
      </c>
      <c r="H749" s="4">
        <v>0.0</v>
      </c>
      <c r="I749" s="4">
        <v>2407.222123</v>
      </c>
      <c r="J749" s="6">
        <v>281.217537704439</v>
      </c>
      <c r="K749" s="5">
        <v>0.0</v>
      </c>
      <c r="L749" s="7">
        <v>1.68093541868909</v>
      </c>
      <c r="M749" s="4">
        <v>20.88</v>
      </c>
      <c r="N749" s="2">
        <v>9.96</v>
      </c>
    </row>
    <row r="750">
      <c r="A750" s="2" t="s">
        <v>775</v>
      </c>
      <c r="B750" s="3" t="str">
        <f>HYPERLINK("https://www.suredividend.com/sure-analysis-research-database/","Independent Bank Corporation (Ionia, MI)")</f>
        <v>Independent Bank Corporation (Ionia, MI)</v>
      </c>
      <c r="C750" s="2" t="s">
        <v>22</v>
      </c>
      <c r="D750" s="4">
        <v>24.54</v>
      </c>
      <c r="E750" s="5">
        <v>0.03378337706001</v>
      </c>
      <c r="F750" s="5" t="s">
        <v>15</v>
      </c>
      <c r="G750" s="5" t="s">
        <v>15</v>
      </c>
      <c r="H750" s="4">
        <v>0.88816498290767</v>
      </c>
      <c r="I750" s="4">
        <v>547.89196</v>
      </c>
      <c r="J750" s="6">
        <v>0.0</v>
      </c>
      <c r="K750" s="5" t="s">
        <v>15</v>
      </c>
      <c r="L750" s="7">
        <v>1.3901308403961</v>
      </c>
      <c r="M750" s="4">
        <v>27.08</v>
      </c>
      <c r="N750" s="2">
        <v>14.24</v>
      </c>
    </row>
    <row r="751">
      <c r="A751" s="2" t="s">
        <v>776</v>
      </c>
      <c r="B751" s="3" t="str">
        <f>HYPERLINK("https://www.suredividend.com/sure-analysis-research-database/","IBEX Ltd")</f>
        <v>IBEX Ltd</v>
      </c>
      <c r="C751" s="2" t="s">
        <v>15</v>
      </c>
      <c r="D751" s="4">
        <v>17.5</v>
      </c>
      <c r="E751" s="5">
        <v>0.0</v>
      </c>
      <c r="F751" s="5" t="s">
        <v>15</v>
      </c>
      <c r="G751" s="5" t="s">
        <v>15</v>
      </c>
      <c r="H751" s="4">
        <v>0.0</v>
      </c>
      <c r="I751" s="4">
        <v>336.3516</v>
      </c>
      <c r="J751" s="6">
        <v>0.0</v>
      </c>
      <c r="K751" s="5" t="s">
        <v>15</v>
      </c>
      <c r="L751" s="7">
        <v>0.755405266515526</v>
      </c>
      <c r="M751" s="4">
        <v>31.4</v>
      </c>
      <c r="N751" s="2">
        <v>11.45</v>
      </c>
    </row>
    <row r="752">
      <c r="A752" s="2" t="s">
        <v>777</v>
      </c>
      <c r="B752" s="3" t="str">
        <f>HYPERLINK("https://www.suredividend.com/sure-analysis-IBOC/","International Bancshares Corp.")</f>
        <v>International Bancshares Corp.</v>
      </c>
      <c r="C752" s="2" t="s">
        <v>22</v>
      </c>
      <c r="D752" s="4">
        <v>52.5</v>
      </c>
      <c r="E752" s="5">
        <v>0.024</v>
      </c>
      <c r="F752" s="5" t="s">
        <v>15</v>
      </c>
      <c r="G752" s="5" t="s">
        <v>15</v>
      </c>
      <c r="H752" s="4">
        <v>1.2432054557823</v>
      </c>
      <c r="I752" s="4">
        <v>3406.4734</v>
      </c>
      <c r="J752" s="6">
        <v>8.29221088402255</v>
      </c>
      <c r="K752" s="5">
        <v>0.188364462997318</v>
      </c>
      <c r="L752" s="7">
        <v>1.1173529786749</v>
      </c>
      <c r="M752" s="4">
        <v>54.95</v>
      </c>
      <c r="N752" s="2">
        <v>38.05</v>
      </c>
    </row>
    <row r="753">
      <c r="A753" s="2" t="s">
        <v>778</v>
      </c>
      <c r="B753" s="3" t="str">
        <f>HYPERLINK("https://www.suredividend.com/sure-analysis-research-database/","Installed Building Products Inc")</f>
        <v>Installed Building Products Inc</v>
      </c>
      <c r="C753" s="2" t="s">
        <v>17</v>
      </c>
      <c r="D753" s="4">
        <v>194.37</v>
      </c>
      <c r="E753" s="5">
        <v>0.011251638987236</v>
      </c>
      <c r="F753" s="5" t="s">
        <v>15</v>
      </c>
      <c r="G753" s="5" t="s">
        <v>15</v>
      </c>
      <c r="H753" s="4">
        <v>2.20903428236415</v>
      </c>
      <c r="I753" s="4">
        <v>5632.923663</v>
      </c>
      <c r="J753" s="6">
        <v>22.7512901040846</v>
      </c>
      <c r="K753" s="5">
        <v>0.252749917890635</v>
      </c>
      <c r="L753" s="7">
        <v>1.68714711033027</v>
      </c>
      <c r="M753" s="4">
        <v>199.15</v>
      </c>
      <c r="N753" s="2">
        <v>101.83</v>
      </c>
    </row>
    <row r="754">
      <c r="A754" s="2" t="s">
        <v>779</v>
      </c>
      <c r="B754" s="3" t="str">
        <f>HYPERLINK("https://www.suredividend.com/sure-analysis-research-database/","ImmunityBio Inc")</f>
        <v>ImmunityBio Inc</v>
      </c>
      <c r="C754" s="2" t="s">
        <v>15</v>
      </c>
      <c r="D754" s="4">
        <v>4.04</v>
      </c>
      <c r="E754" s="5">
        <v>0.0</v>
      </c>
      <c r="F754" s="5" t="s">
        <v>15</v>
      </c>
      <c r="G754" s="5" t="s">
        <v>15</v>
      </c>
      <c r="H754" s="4">
        <v>0.0</v>
      </c>
      <c r="I754" s="4">
        <v>2437.124593</v>
      </c>
      <c r="J754" s="6" t="s">
        <v>15</v>
      </c>
      <c r="K754" s="5">
        <v>0.0</v>
      </c>
      <c r="L754" s="7">
        <v>3.09218513065524</v>
      </c>
      <c r="M754" s="4">
        <v>6.93</v>
      </c>
      <c r="N754" s="2">
        <v>1.21</v>
      </c>
    </row>
    <row r="755">
      <c r="A755" s="2" t="s">
        <v>780</v>
      </c>
      <c r="B755" s="3" t="str">
        <f>HYPERLINK("https://www.suredividend.com/sure-analysis-research-database/","Independent Bank Group Inc")</f>
        <v>Independent Bank Group Inc</v>
      </c>
      <c r="C755" s="2" t="s">
        <v>22</v>
      </c>
      <c r="D755" s="4">
        <v>44.88</v>
      </c>
      <c r="E755" s="5">
        <v>0.028183900438763</v>
      </c>
      <c r="F755" s="5">
        <v>0.0</v>
      </c>
      <c r="G755" s="5">
        <v>0.0873483945710749</v>
      </c>
      <c r="H755" s="4">
        <v>1.47458167095609</v>
      </c>
      <c r="I755" s="4">
        <v>2159.935873</v>
      </c>
      <c r="J755" s="6">
        <v>31.3962421210535</v>
      </c>
      <c r="K755" s="5">
        <v>0.882983036500656</v>
      </c>
      <c r="L755" s="7">
        <v>1.56394339892384</v>
      </c>
      <c r="M755" s="4">
        <v>61.2</v>
      </c>
      <c r="N755" s="2">
        <v>27.71</v>
      </c>
    </row>
    <row r="756">
      <c r="A756" s="2" t="s">
        <v>781</v>
      </c>
      <c r="B756" s="3" t="str">
        <f>HYPERLINK("https://www.suredividend.com/sure-analysis-research-database/","ICF International, Inc")</f>
        <v>ICF International, Inc</v>
      </c>
      <c r="C756" s="2" t="s">
        <v>17</v>
      </c>
      <c r="D756" s="4">
        <v>140.37</v>
      </c>
      <c r="E756" s="5">
        <v>0.003915931113919</v>
      </c>
      <c r="F756" s="5">
        <v>0.0</v>
      </c>
      <c r="G756" s="5">
        <v>0.0</v>
      </c>
      <c r="H756" s="4">
        <v>0.558255139600338</v>
      </c>
      <c r="I756" s="4">
        <v>2682.53926</v>
      </c>
      <c r="J756" s="6">
        <v>38.6928883993711</v>
      </c>
      <c r="K756" s="5">
        <v>0.152946613589133</v>
      </c>
      <c r="L756" s="7">
        <v>0.685291039187795</v>
      </c>
      <c r="M756" s="4">
        <v>145.1</v>
      </c>
      <c r="N756" s="2">
        <v>98.08</v>
      </c>
    </row>
    <row r="757">
      <c r="A757" s="2" t="s">
        <v>782</v>
      </c>
      <c r="B757" s="3" t="str">
        <f>HYPERLINK("https://www.suredividend.com/sure-analysis-research-database/","Ichor Holdings Ltd")</f>
        <v>Ichor Holdings Ltd</v>
      </c>
      <c r="C757" s="2" t="s">
        <v>40</v>
      </c>
      <c r="D757" s="4">
        <v>37.72</v>
      </c>
      <c r="E757" s="5">
        <v>0.0</v>
      </c>
      <c r="F757" s="5" t="s">
        <v>15</v>
      </c>
      <c r="G757" s="5" t="s">
        <v>15</v>
      </c>
      <c r="H757" s="4">
        <v>0.0</v>
      </c>
      <c r="I757" s="4">
        <v>1117.616151</v>
      </c>
      <c r="J757" s="6" t="s">
        <v>15</v>
      </c>
      <c r="K757" s="5">
        <v>0.0</v>
      </c>
      <c r="L757" s="7">
        <v>1.96850683362796</v>
      </c>
      <c r="M757" s="4">
        <v>39.84</v>
      </c>
      <c r="N757" s="2">
        <v>22.26</v>
      </c>
    </row>
    <row r="758">
      <c r="A758" s="2" t="s">
        <v>783</v>
      </c>
      <c r="B758" s="3" t="str">
        <f>HYPERLINK("https://www.suredividend.com/sure-analysis-research-database/","Intercept Pharmaceuticals Inc")</f>
        <v>Intercept Pharmaceuticals Inc</v>
      </c>
      <c r="C758" s="2" t="s">
        <v>30</v>
      </c>
      <c r="D758" s="4">
        <v>19.0</v>
      </c>
      <c r="E758" s="5">
        <v>0.0</v>
      </c>
      <c r="F758" s="5" t="s">
        <v>15</v>
      </c>
      <c r="G758" s="5" t="s">
        <v>15</v>
      </c>
      <c r="H758" s="4">
        <v>0.0</v>
      </c>
      <c r="I758" s="4">
        <v>0.0</v>
      </c>
      <c r="J758" s="6">
        <v>0.0</v>
      </c>
      <c r="K758" s="5">
        <v>0.0</v>
      </c>
      <c r="L758" s="7"/>
      <c r="M758" s="4" t="s">
        <v>49</v>
      </c>
      <c r="N758" s="2" t="s">
        <v>49</v>
      </c>
    </row>
    <row r="759">
      <c r="A759" s="2" t="s">
        <v>784</v>
      </c>
      <c r="B759" s="3" t="str">
        <f>HYPERLINK("https://www.suredividend.com/sure-analysis-research-database/","Icosavax Inc")</f>
        <v>Icosavax Inc</v>
      </c>
      <c r="C759" s="2" t="s">
        <v>15</v>
      </c>
      <c r="D759" s="4">
        <v>15.25</v>
      </c>
      <c r="E759" s="5">
        <v>0.0</v>
      </c>
      <c r="F759" s="5" t="s">
        <v>15</v>
      </c>
      <c r="G759" s="5" t="s">
        <v>15</v>
      </c>
      <c r="H759" s="4">
        <v>0.0</v>
      </c>
      <c r="I759" s="4">
        <v>767.884928</v>
      </c>
      <c r="J759" s="6">
        <v>0.0</v>
      </c>
      <c r="K759" s="5" t="s">
        <v>15</v>
      </c>
      <c r="L759" s="7">
        <v>1.11548310319452</v>
      </c>
      <c r="M759" s="4">
        <v>16.11</v>
      </c>
      <c r="N759" s="2">
        <v>4.75</v>
      </c>
    </row>
    <row r="760">
      <c r="A760" s="2" t="s">
        <v>785</v>
      </c>
      <c r="B760" s="3" t="str">
        <f>HYPERLINK("https://www.suredividend.com/sure-analysis-research-database/","Interdigital Inc")</f>
        <v>Interdigital Inc</v>
      </c>
      <c r="C760" s="2" t="s">
        <v>114</v>
      </c>
      <c r="D760" s="4">
        <v>102.91</v>
      </c>
      <c r="E760" s="5">
        <v>0.01387916878674</v>
      </c>
      <c r="F760" s="5">
        <v>0.142857142857142</v>
      </c>
      <c r="G760" s="5">
        <v>0.0270660870893517</v>
      </c>
      <c r="H760" s="4">
        <v>1.48229522642393</v>
      </c>
      <c r="I760" s="4">
        <v>2745.097061</v>
      </c>
      <c r="J760" s="6">
        <v>13.2363364890472</v>
      </c>
      <c r="K760" s="5">
        <v>0.205304047981153</v>
      </c>
      <c r="L760" s="7">
        <v>1.02675513604567</v>
      </c>
      <c r="M760" s="4">
        <v>110.94</v>
      </c>
      <c r="N760" s="2">
        <v>65.18</v>
      </c>
    </row>
    <row r="761">
      <c r="A761" s="2" t="s">
        <v>786</v>
      </c>
      <c r="B761" s="3" t="str">
        <f>HYPERLINK("https://www.suredividend.com/sure-analysis-research-database/","IDT Corp.")</f>
        <v>IDT Corp.</v>
      </c>
      <c r="C761" s="2" t="s">
        <v>114</v>
      </c>
      <c r="D761" s="4">
        <v>35.48</v>
      </c>
      <c r="E761" s="5">
        <v>0.0</v>
      </c>
      <c r="F761" s="5" t="s">
        <v>15</v>
      </c>
      <c r="G761" s="5" t="s">
        <v>15</v>
      </c>
      <c r="H761" s="4">
        <v>0.0</v>
      </c>
      <c r="I761" s="4">
        <v>829.766175</v>
      </c>
      <c r="J761" s="6">
        <v>22.3361644921801</v>
      </c>
      <c r="K761" s="5">
        <v>0.0</v>
      </c>
      <c r="L761" s="7">
        <v>0.307230233778198</v>
      </c>
      <c r="M761" s="4">
        <v>35.2</v>
      </c>
      <c r="N761" s="2">
        <v>21.64</v>
      </c>
    </row>
    <row r="762">
      <c r="A762" s="2" t="s">
        <v>787</v>
      </c>
      <c r="B762" s="3" t="str">
        <f>HYPERLINK("https://www.suredividend.com/sure-analysis-research-database/","Ideaya Biosciences Inc")</f>
        <v>Ideaya Biosciences Inc</v>
      </c>
      <c r="C762" s="2" t="s">
        <v>30</v>
      </c>
      <c r="D762" s="4">
        <v>43.59</v>
      </c>
      <c r="E762" s="5">
        <v>0.0</v>
      </c>
      <c r="F762" s="5" t="s">
        <v>15</v>
      </c>
      <c r="G762" s="5" t="s">
        <v>15</v>
      </c>
      <c r="H762" s="4">
        <v>0.0</v>
      </c>
      <c r="I762" s="4">
        <v>2850.397852</v>
      </c>
      <c r="J762" s="6" t="s">
        <v>15</v>
      </c>
      <c r="K762" s="5">
        <v>0.0</v>
      </c>
      <c r="L762" s="7">
        <v>0.946570377407417</v>
      </c>
      <c r="M762" s="4">
        <v>44.27</v>
      </c>
      <c r="N762" s="2">
        <v>13.29</v>
      </c>
    </row>
    <row r="763">
      <c r="A763" s="2" t="s">
        <v>788</v>
      </c>
      <c r="B763" s="3" t="str">
        <f>HYPERLINK("https://www.suredividend.com/sure-analysis-research-database/","Ivanhoe Electric Inc")</f>
        <v>Ivanhoe Electric Inc</v>
      </c>
      <c r="C763" s="2" t="s">
        <v>15</v>
      </c>
      <c r="D763" s="4">
        <v>8.18</v>
      </c>
      <c r="E763" s="5">
        <v>0.0</v>
      </c>
      <c r="F763" s="5" t="s">
        <v>15</v>
      </c>
      <c r="G763" s="5" t="s">
        <v>15</v>
      </c>
      <c r="H763" s="4">
        <v>0.0</v>
      </c>
      <c r="I763" s="4">
        <v>854.588</v>
      </c>
      <c r="J763" s="6">
        <v>0.0</v>
      </c>
      <c r="K763" s="5" t="s">
        <v>15</v>
      </c>
      <c r="L763" s="7">
        <v>1.23416468360753</v>
      </c>
      <c r="M763" s="4">
        <v>16.75</v>
      </c>
      <c r="N763" s="2">
        <v>8.02</v>
      </c>
    </row>
    <row r="764">
      <c r="A764" s="2" t="s">
        <v>789</v>
      </c>
      <c r="B764" s="3" t="str">
        <f>HYPERLINK("https://www.suredividend.com/sure-analysis-research-database/","IES Holdings Inc")</f>
        <v>IES Holdings Inc</v>
      </c>
      <c r="C764" s="2" t="s">
        <v>17</v>
      </c>
      <c r="D764" s="4">
        <v>85.64</v>
      </c>
      <c r="E764" s="5">
        <v>0.0</v>
      </c>
      <c r="F764" s="5" t="s">
        <v>15</v>
      </c>
      <c r="G764" s="5" t="s">
        <v>15</v>
      </c>
      <c r="H764" s="4">
        <v>0.0</v>
      </c>
      <c r="I764" s="4">
        <v>1678.5434</v>
      </c>
      <c r="J764" s="6">
        <v>18.1315178897338</v>
      </c>
      <c r="K764" s="5">
        <v>0.0</v>
      </c>
      <c r="L764" s="7">
        <v>0.856025125824104</v>
      </c>
      <c r="M764" s="4">
        <v>86.71</v>
      </c>
      <c r="N764" s="2">
        <v>37.69</v>
      </c>
    </row>
    <row r="765">
      <c r="A765" s="2" t="s">
        <v>790</v>
      </c>
      <c r="B765" s="3" t="str">
        <f>HYPERLINK("https://www.suredividend.com/sure-analysis-research-database/","IGM Biosciences Inc")</f>
        <v>IGM Biosciences Inc</v>
      </c>
      <c r="C765" s="2" t="s">
        <v>30</v>
      </c>
      <c r="D765" s="4">
        <v>11.95</v>
      </c>
      <c r="E765" s="5">
        <v>0.0</v>
      </c>
      <c r="F765" s="5" t="s">
        <v>15</v>
      </c>
      <c r="G765" s="5" t="s">
        <v>15</v>
      </c>
      <c r="H765" s="4">
        <v>0.0</v>
      </c>
      <c r="I765" s="4">
        <v>353.278048</v>
      </c>
      <c r="J765" s="6" t="s">
        <v>15</v>
      </c>
      <c r="K765" s="5">
        <v>0.0</v>
      </c>
      <c r="L765" s="7">
        <v>1.53692437585854</v>
      </c>
      <c r="M765" s="4">
        <v>25.53</v>
      </c>
      <c r="N765" s="2">
        <v>3.81</v>
      </c>
    </row>
    <row r="766">
      <c r="A766" s="2" t="s">
        <v>791</v>
      </c>
      <c r="B766" s="3" t="str">
        <f>HYPERLINK("https://www.suredividend.com/sure-analysis-research-database/","International Game Technology PLC")</f>
        <v>International Game Technology PLC</v>
      </c>
      <c r="C766" s="2" t="s">
        <v>25</v>
      </c>
      <c r="D766" s="4">
        <v>25.63</v>
      </c>
      <c r="E766" s="5">
        <v>0.029452237545255</v>
      </c>
      <c r="F766" s="5" t="s">
        <v>15</v>
      </c>
      <c r="G766" s="5" t="s">
        <v>15</v>
      </c>
      <c r="H766" s="4">
        <v>0.791381622841004</v>
      </c>
      <c r="I766" s="4">
        <v>5349.250285</v>
      </c>
      <c r="J766" s="6">
        <v>53.4925028483</v>
      </c>
      <c r="K766" s="5">
        <v>1.60263593122925</v>
      </c>
      <c r="L766" s="7">
        <v>1.65162577590108</v>
      </c>
      <c r="M766" s="4">
        <v>33.52</v>
      </c>
      <c r="N766" s="2">
        <v>21.82</v>
      </c>
    </row>
    <row r="767">
      <c r="A767" s="2" t="s">
        <v>792</v>
      </c>
      <c r="B767" s="3" t="str">
        <f>HYPERLINK("https://www.suredividend.com/sure-analysis-research-database/","iHeartMedia Inc")</f>
        <v>iHeartMedia Inc</v>
      </c>
      <c r="C767" s="2" t="s">
        <v>114</v>
      </c>
      <c r="D767" s="4">
        <v>2.7</v>
      </c>
      <c r="E767" s="5">
        <v>0.0</v>
      </c>
      <c r="F767" s="5" t="s">
        <v>15</v>
      </c>
      <c r="G767" s="5" t="s">
        <v>15</v>
      </c>
      <c r="H767" s="4">
        <v>0.0</v>
      </c>
      <c r="I767" s="4">
        <v>348.965902</v>
      </c>
      <c r="J767" s="6">
        <v>0.0</v>
      </c>
      <c r="K767" s="5" t="s">
        <v>15</v>
      </c>
      <c r="L767" s="7">
        <v>2.40082264016247</v>
      </c>
      <c r="M767" s="4">
        <v>9.01</v>
      </c>
      <c r="N767" s="2">
        <v>1.78</v>
      </c>
    </row>
    <row r="768">
      <c r="A768" s="2" t="s">
        <v>793</v>
      </c>
      <c r="B768" s="3" t="str">
        <f>HYPERLINK("https://www.suredividend.com/sure-analysis-research-database/","Information Services Group Inc.")</f>
        <v>Information Services Group Inc.</v>
      </c>
      <c r="C768" s="2" t="s">
        <v>40</v>
      </c>
      <c r="D768" s="4">
        <v>4.44</v>
      </c>
      <c r="E768" s="5">
        <v>0.036212267439289</v>
      </c>
      <c r="F768" s="5" t="s">
        <v>15</v>
      </c>
      <c r="G768" s="5" t="s">
        <v>15</v>
      </c>
      <c r="H768" s="4">
        <v>0.170559779639053</v>
      </c>
      <c r="I768" s="4">
        <v>230.194496</v>
      </c>
      <c r="J768" s="6">
        <v>0.0</v>
      </c>
      <c r="K768" s="5" t="s">
        <v>15</v>
      </c>
      <c r="L768" s="7">
        <v>1.0840133587898</v>
      </c>
      <c r="M768" s="4">
        <v>5.65</v>
      </c>
      <c r="N768" s="2">
        <v>3.89</v>
      </c>
    </row>
    <row r="769">
      <c r="A769" s="2" t="s">
        <v>794</v>
      </c>
      <c r="B769" s="3" t="str">
        <f>HYPERLINK("https://www.suredividend.com/sure-analysis-research-database/","Insteel Industries, Inc.")</f>
        <v>Insteel Industries, Inc.</v>
      </c>
      <c r="C769" s="2" t="s">
        <v>17</v>
      </c>
      <c r="D769" s="4">
        <v>34.09</v>
      </c>
      <c r="E769" s="5">
        <v>0.003259488244061</v>
      </c>
      <c r="F769" s="5">
        <v>0.0</v>
      </c>
      <c r="G769" s="5">
        <v>0.0</v>
      </c>
      <c r="H769" s="4">
        <v>0.113723544835298</v>
      </c>
      <c r="I769" s="4">
        <v>678.551815</v>
      </c>
      <c r="J769" s="6">
        <v>30.2600702381377</v>
      </c>
      <c r="K769" s="5">
        <v>0.0988900389872156</v>
      </c>
      <c r="L769" s="7">
        <v>1.17456023563624</v>
      </c>
      <c r="M769" s="4">
        <v>39.38</v>
      </c>
      <c r="N769" s="2">
        <v>23.64</v>
      </c>
    </row>
    <row r="770">
      <c r="A770" s="2" t="s">
        <v>795</v>
      </c>
      <c r="B770" s="3" t="str">
        <f>HYPERLINK("https://www.suredividend.com/sure-analysis-research-database/","i3 Verticals Inc")</f>
        <v>i3 Verticals Inc</v>
      </c>
      <c r="C770" s="2" t="s">
        <v>40</v>
      </c>
      <c r="D770" s="4">
        <v>18.47</v>
      </c>
      <c r="E770" s="5">
        <v>0.0</v>
      </c>
      <c r="F770" s="5" t="s">
        <v>15</v>
      </c>
      <c r="G770" s="5" t="s">
        <v>15</v>
      </c>
      <c r="H770" s="4">
        <v>0.0</v>
      </c>
      <c r="I770" s="4">
        <v>463.947361</v>
      </c>
      <c r="J770" s="6" t="s">
        <v>15</v>
      </c>
      <c r="K770" s="5">
        <v>0.0</v>
      </c>
      <c r="L770" s="7">
        <v>1.37071392657567</v>
      </c>
      <c r="M770" s="4">
        <v>30.84</v>
      </c>
      <c r="N770" s="2">
        <v>17.87</v>
      </c>
    </row>
    <row r="771">
      <c r="A771" s="2" t="s">
        <v>796</v>
      </c>
      <c r="B771" s="3" t="str">
        <f>HYPERLINK("https://www.suredividend.com/sure-analysis-IIPR/","Innovative Industrial Properties Inc")</f>
        <v>Innovative Industrial Properties Inc</v>
      </c>
      <c r="C771" s="2" t="s">
        <v>20</v>
      </c>
      <c r="D771" s="4">
        <v>90.85</v>
      </c>
      <c r="E771" s="5">
        <v>0.0801320858558062</v>
      </c>
      <c r="F771" s="5">
        <v>0.011111111111111</v>
      </c>
      <c r="G771" s="5">
        <v>0.322427204608808</v>
      </c>
      <c r="H771" s="4">
        <v>7.00147854999801</v>
      </c>
      <c r="I771" s="4">
        <v>2710.04957</v>
      </c>
      <c r="J771" s="6">
        <v>16.5980681028938</v>
      </c>
      <c r="K771" s="5">
        <v>1.20923636442107</v>
      </c>
      <c r="L771" s="7">
        <v>1.56673639329536</v>
      </c>
      <c r="M771" s="4">
        <v>103.23</v>
      </c>
      <c r="N771" s="2">
        <v>59.34</v>
      </c>
    </row>
    <row r="772">
      <c r="A772" s="2" t="s">
        <v>797</v>
      </c>
      <c r="B772" s="3" t="str">
        <f>HYPERLINK("https://www.suredividend.com/sure-analysis-ILPT/","Industrial Logistics Properties Trust")</f>
        <v>Industrial Logistics Properties Trust</v>
      </c>
      <c r="C772" s="2" t="s">
        <v>20</v>
      </c>
      <c r="D772" s="4">
        <v>3.9</v>
      </c>
      <c r="E772" s="5">
        <v>0.0102564102564102</v>
      </c>
      <c r="F772" s="5">
        <v>0.0</v>
      </c>
      <c r="G772" s="5">
        <v>-0.503067716312073</v>
      </c>
      <c r="H772" s="4">
        <v>0.039785891303454</v>
      </c>
      <c r="I772" s="4">
        <v>281.811562</v>
      </c>
      <c r="J772" s="6" t="s">
        <v>15</v>
      </c>
      <c r="K772" s="5" t="s">
        <v>15</v>
      </c>
      <c r="L772" s="7">
        <v>2.21904436647598</v>
      </c>
      <c r="M772" s="4">
        <v>4.87</v>
      </c>
      <c r="N772" s="2">
        <v>1.63</v>
      </c>
    </row>
    <row r="773">
      <c r="A773" s="2" t="s">
        <v>798</v>
      </c>
      <c r="B773" s="3" t="str">
        <f>HYPERLINK("https://www.suredividend.com/sure-analysis-research-database/","Imax Corp")</f>
        <v>Imax Corp</v>
      </c>
      <c r="C773" s="2" t="s">
        <v>114</v>
      </c>
      <c r="D773" s="4">
        <v>13.48</v>
      </c>
      <c r="E773" s="5">
        <v>0.0</v>
      </c>
      <c r="F773" s="5" t="s">
        <v>15</v>
      </c>
      <c r="G773" s="5" t="s">
        <v>15</v>
      </c>
      <c r="H773" s="4">
        <v>0.0</v>
      </c>
      <c r="I773" s="4">
        <v>772.690394</v>
      </c>
      <c r="J773" s="6">
        <v>30.4113033001416</v>
      </c>
      <c r="K773" s="5">
        <v>0.0</v>
      </c>
      <c r="L773" s="7">
        <v>0.627759745954281</v>
      </c>
      <c r="M773" s="4">
        <v>21.82</v>
      </c>
      <c r="N773" s="2">
        <v>13.97</v>
      </c>
    </row>
    <row r="774">
      <c r="A774" s="2" t="s">
        <v>799</v>
      </c>
      <c r="B774" s="3" t="str">
        <f>HYPERLINK("https://www.suredividend.com/sure-analysis-research-database/","Immunogen, Inc.")</f>
        <v>Immunogen, Inc.</v>
      </c>
      <c r="C774" s="2" t="s">
        <v>30</v>
      </c>
      <c r="D774" s="4">
        <v>29.3</v>
      </c>
      <c r="E774" s="5">
        <v>0.0</v>
      </c>
      <c r="F774" s="5" t="s">
        <v>15</v>
      </c>
      <c r="G774" s="5" t="s">
        <v>15</v>
      </c>
      <c r="H774" s="4">
        <v>0.0</v>
      </c>
      <c r="I774" s="4">
        <v>7833.494941</v>
      </c>
      <c r="J774" s="6" t="s">
        <v>15</v>
      </c>
      <c r="K774" s="5">
        <v>0.0</v>
      </c>
      <c r="L774" s="7"/>
      <c r="M774" s="4">
        <v>30.13</v>
      </c>
      <c r="N774" s="2">
        <v>3.61</v>
      </c>
    </row>
    <row r="775">
      <c r="A775" s="2" t="s">
        <v>800</v>
      </c>
      <c r="B775" s="3" t="str">
        <f>HYPERLINK("https://www.suredividend.com/sure-analysis-research-database/","Ingles Markets, Inc.")</f>
        <v>Ingles Markets, Inc.</v>
      </c>
      <c r="C775" s="2" t="s">
        <v>89</v>
      </c>
      <c r="D775" s="4">
        <v>82.07</v>
      </c>
      <c r="E775" s="5">
        <v>0.007863194289773</v>
      </c>
      <c r="F775" s="5">
        <v>0.0</v>
      </c>
      <c r="G775" s="5">
        <v>0.0</v>
      </c>
      <c r="H775" s="4">
        <v>0.656104931538716</v>
      </c>
      <c r="I775" s="4">
        <v>1212.573026</v>
      </c>
      <c r="J775" s="6">
        <v>5.75191764144651</v>
      </c>
      <c r="K775" s="5">
        <v>0.0591085523908753</v>
      </c>
      <c r="L775" s="7">
        <v>0.24073620723096</v>
      </c>
      <c r="M775" s="4">
        <v>94.65</v>
      </c>
      <c r="N775" s="2">
        <v>72.8</v>
      </c>
    </row>
    <row r="776">
      <c r="A776" s="2" t="s">
        <v>801</v>
      </c>
      <c r="B776" s="3" t="str">
        <f>HYPERLINK("https://www.suredividend.com/sure-analysis-research-database/","Immunovant Inc")</f>
        <v>Immunovant Inc</v>
      </c>
      <c r="C776" s="2" t="s">
        <v>30</v>
      </c>
      <c r="D776" s="4">
        <v>36.61</v>
      </c>
      <c r="E776" s="5">
        <v>0.0</v>
      </c>
      <c r="F776" s="5" t="s">
        <v>15</v>
      </c>
      <c r="G776" s="5" t="s">
        <v>15</v>
      </c>
      <c r="H776" s="4">
        <v>0.0</v>
      </c>
      <c r="I776" s="4">
        <v>5688.107088</v>
      </c>
      <c r="J776" s="6">
        <v>0.0</v>
      </c>
      <c r="K776" s="5" t="s">
        <v>15</v>
      </c>
      <c r="L776" s="7">
        <v>0.292240290993938</v>
      </c>
      <c r="M776" s="4">
        <v>45.58</v>
      </c>
      <c r="N776" s="2">
        <v>14.05</v>
      </c>
    </row>
    <row r="777">
      <c r="A777" s="2" t="s">
        <v>802</v>
      </c>
      <c r="B777" s="3" t="str">
        <f>HYPERLINK("https://www.suredividend.com/sure-analysis-research-database/","International Money Express Inc.")</f>
        <v>International Money Express Inc.</v>
      </c>
      <c r="C777" s="2" t="s">
        <v>40</v>
      </c>
      <c r="D777" s="4">
        <v>20.77</v>
      </c>
      <c r="E777" s="5">
        <v>0.0</v>
      </c>
      <c r="F777" s="5" t="s">
        <v>15</v>
      </c>
      <c r="G777" s="5" t="s">
        <v>15</v>
      </c>
      <c r="H777" s="4">
        <v>0.0</v>
      </c>
      <c r="I777" s="4">
        <v>737.437536</v>
      </c>
      <c r="J777" s="6">
        <v>13.3877518735363</v>
      </c>
      <c r="K777" s="5">
        <v>0.0</v>
      </c>
      <c r="L777" s="7">
        <v>0.90101155102289</v>
      </c>
      <c r="M777" s="4">
        <v>28.24</v>
      </c>
      <c r="N777" s="2">
        <v>15.76</v>
      </c>
    </row>
    <row r="778">
      <c r="A778" s="2" t="s">
        <v>803</v>
      </c>
      <c r="B778" s="3" t="str">
        <f>HYPERLINK("https://www.suredividend.com/sure-analysis-research-database/","First Internet Bancorp")</f>
        <v>First Internet Bancorp</v>
      </c>
      <c r="C778" s="2" t="s">
        <v>22</v>
      </c>
      <c r="D778" s="4">
        <v>29.94</v>
      </c>
      <c r="E778" s="5">
        <v>0.00726966155436</v>
      </c>
      <c r="F778" s="5">
        <v>0.0</v>
      </c>
      <c r="G778" s="5">
        <v>0.0</v>
      </c>
      <c r="H778" s="4">
        <v>0.237790629443125</v>
      </c>
      <c r="I778" s="4">
        <v>282.734544</v>
      </c>
      <c r="J778" s="6">
        <v>0.0</v>
      </c>
      <c r="K778" s="5" t="s">
        <v>15</v>
      </c>
      <c r="L778" s="7">
        <v>1.76346822664827</v>
      </c>
      <c r="M778" s="4">
        <v>32.92</v>
      </c>
      <c r="N778" s="2">
        <v>9.49</v>
      </c>
    </row>
    <row r="779">
      <c r="A779" s="2" t="s">
        <v>804</v>
      </c>
      <c r="B779" s="3" t="str">
        <f>HYPERLINK("https://www.suredividend.com/sure-analysis-research-database/","Inhibrx Inc")</f>
        <v>Inhibrx Inc</v>
      </c>
      <c r="C779" s="2" t="s">
        <v>15</v>
      </c>
      <c r="D779" s="4">
        <v>38.39</v>
      </c>
      <c r="E779" s="5">
        <v>0.0</v>
      </c>
      <c r="F779" s="5" t="s">
        <v>15</v>
      </c>
      <c r="G779" s="5" t="s">
        <v>15</v>
      </c>
      <c r="H779" s="4">
        <v>0.0</v>
      </c>
      <c r="I779" s="4">
        <v>1797.045308</v>
      </c>
      <c r="J779" s="6" t="s">
        <v>15</v>
      </c>
      <c r="K779" s="5">
        <v>0.0</v>
      </c>
      <c r="L779" s="7">
        <v>1.51728831225372</v>
      </c>
      <c r="M779" s="4">
        <v>39.5</v>
      </c>
      <c r="N779" s="2">
        <v>14.31</v>
      </c>
    </row>
    <row r="780">
      <c r="A780" s="2" t="s">
        <v>805</v>
      </c>
      <c r="B780" s="3" t="str">
        <f>HYPERLINK("https://www.suredividend.com/sure-analysis-INDB/","Independent Bank Corp.")</f>
        <v>Independent Bank Corp.</v>
      </c>
      <c r="C780" s="2" t="s">
        <v>22</v>
      </c>
      <c r="D780" s="4">
        <v>54.7</v>
      </c>
      <c r="E780" s="5">
        <v>0.0402193784277879</v>
      </c>
      <c r="F780" s="5">
        <v>0.0</v>
      </c>
      <c r="G780" s="5">
        <v>0.0456395525912731</v>
      </c>
      <c r="H780" s="4">
        <v>2.13564403927826</v>
      </c>
      <c r="I780" s="4">
        <v>2641.284681</v>
      </c>
      <c r="J780" s="6">
        <v>10.0911763515599</v>
      </c>
      <c r="K780" s="5">
        <v>0.365067357141583</v>
      </c>
      <c r="L780" s="7">
        <v>1.38743815392736</v>
      </c>
      <c r="M780" s="4">
        <v>77.38</v>
      </c>
      <c r="N780" s="2">
        <v>40.62</v>
      </c>
    </row>
    <row r="781">
      <c r="A781" s="2" t="s">
        <v>806</v>
      </c>
      <c r="B781" s="3" t="str">
        <f>HYPERLINK("https://www.suredividend.com/sure-analysis-research-database/","Indie Semiconductor Inc")</f>
        <v>Indie Semiconductor Inc</v>
      </c>
      <c r="C781" s="2" t="s">
        <v>15</v>
      </c>
      <c r="D781" s="4">
        <v>6.15</v>
      </c>
      <c r="E781" s="5">
        <v>0.0</v>
      </c>
      <c r="F781" s="5" t="s">
        <v>15</v>
      </c>
      <c r="G781" s="5" t="s">
        <v>15</v>
      </c>
      <c r="H781" s="4">
        <v>0.0</v>
      </c>
      <c r="I781" s="4">
        <v>1092.83542</v>
      </c>
      <c r="J781" s="6" t="s">
        <v>15</v>
      </c>
      <c r="K781" s="5">
        <v>0.0</v>
      </c>
      <c r="L781" s="7">
        <v>2.00757177969829</v>
      </c>
      <c r="M781" s="4">
        <v>11.12</v>
      </c>
      <c r="N781" s="2">
        <v>4.67</v>
      </c>
    </row>
    <row r="782">
      <c r="A782" s="2" t="s">
        <v>807</v>
      </c>
      <c r="B782" s="3" t="str">
        <f>HYPERLINK("https://www.suredividend.com/sure-analysis-research-database/","INDUS Realty Trust Inc")</f>
        <v>INDUS Realty Trust Inc</v>
      </c>
      <c r="C782" s="2" t="s">
        <v>15</v>
      </c>
      <c r="D782" s="4">
        <v>66.99</v>
      </c>
      <c r="E782" s="5">
        <v>0.0</v>
      </c>
      <c r="F782" s="5" t="s">
        <v>15</v>
      </c>
      <c r="G782" s="5" t="s">
        <v>15</v>
      </c>
      <c r="H782" s="4">
        <v>0.700000017881393</v>
      </c>
      <c r="I782" s="4">
        <v>0.0</v>
      </c>
      <c r="J782" s="6">
        <v>0.0</v>
      </c>
      <c r="K782" s="5">
        <v>112.903228690547</v>
      </c>
      <c r="L782" s="7"/>
      <c r="M782" s="4" t="s">
        <v>49</v>
      </c>
      <c r="N782" s="2" t="s">
        <v>49</v>
      </c>
    </row>
    <row r="783">
      <c r="A783" s="2" t="s">
        <v>808</v>
      </c>
      <c r="B783" s="3" t="str">
        <f>HYPERLINK("https://www.suredividend.com/sure-analysis-research-database/","Infinera Corp.")</f>
        <v>Infinera Corp.</v>
      </c>
      <c r="C783" s="2" t="s">
        <v>40</v>
      </c>
      <c r="D783" s="4">
        <v>4.98</v>
      </c>
      <c r="E783" s="5">
        <v>0.0</v>
      </c>
      <c r="F783" s="5" t="s">
        <v>15</v>
      </c>
      <c r="G783" s="5" t="s">
        <v>15</v>
      </c>
      <c r="H783" s="4">
        <v>0.0</v>
      </c>
      <c r="I783" s="4">
        <v>1191.349793</v>
      </c>
      <c r="J783" s="6" t="s">
        <v>15</v>
      </c>
      <c r="K783" s="5">
        <v>0.0</v>
      </c>
      <c r="L783" s="7">
        <v>1.65082469619669</v>
      </c>
      <c r="M783" s="4">
        <v>7.8</v>
      </c>
      <c r="N783" s="2">
        <v>2.82</v>
      </c>
    </row>
    <row r="784">
      <c r="A784" s="2" t="s">
        <v>809</v>
      </c>
      <c r="B784" s="3" t="str">
        <f>HYPERLINK("https://www.suredividend.com/sure-analysis-research-database/","Inogen Inc")</f>
        <v>Inogen Inc</v>
      </c>
      <c r="C784" s="2" t="s">
        <v>30</v>
      </c>
      <c r="D784" s="4">
        <v>6.71</v>
      </c>
      <c r="E784" s="5">
        <v>0.0</v>
      </c>
      <c r="F784" s="5" t="s">
        <v>15</v>
      </c>
      <c r="G784" s="5" t="s">
        <v>15</v>
      </c>
      <c r="H784" s="4">
        <v>0.0</v>
      </c>
      <c r="I784" s="4">
        <v>139.846884</v>
      </c>
      <c r="J784" s="6" t="s">
        <v>15</v>
      </c>
      <c r="K784" s="5">
        <v>0.0</v>
      </c>
      <c r="L784" s="7">
        <v>2.07724070252554</v>
      </c>
      <c r="M784" s="4">
        <v>26.11</v>
      </c>
      <c r="N784" s="2">
        <v>4.13</v>
      </c>
    </row>
    <row r="785">
      <c r="A785" s="2" t="s">
        <v>810</v>
      </c>
      <c r="B785" s="3" t="str">
        <f>HYPERLINK("https://www.suredividend.com/sure-analysis-research-database/","Summit Hotel Properties Inc")</f>
        <v>Summit Hotel Properties Inc</v>
      </c>
      <c r="C785" s="2" t="s">
        <v>20</v>
      </c>
      <c r="D785" s="4">
        <v>6.5</v>
      </c>
      <c r="E785" s="5">
        <v>0.03230666294311</v>
      </c>
      <c r="F785" s="5" t="s">
        <v>15</v>
      </c>
      <c r="G785" s="5" t="s">
        <v>15</v>
      </c>
      <c r="H785" s="4">
        <v>0.217100774977699</v>
      </c>
      <c r="I785" s="4">
        <v>722.928884</v>
      </c>
      <c r="J785" s="6" t="s">
        <v>15</v>
      </c>
      <c r="K785" s="5" t="s">
        <v>15</v>
      </c>
      <c r="L785" s="7">
        <v>1.5528471000874</v>
      </c>
      <c r="M785" s="4">
        <v>8.51</v>
      </c>
      <c r="N785" s="2">
        <v>5.26</v>
      </c>
    </row>
    <row r="786">
      <c r="A786" s="2" t="s">
        <v>811</v>
      </c>
      <c r="B786" s="3" t="str">
        <f>HYPERLINK("https://www.suredividend.com/sure-analysis-research-database/","InnovAge Holding Corp")</f>
        <v>InnovAge Holding Corp</v>
      </c>
      <c r="C786" s="2" t="s">
        <v>15</v>
      </c>
      <c r="D786" s="4">
        <v>5.67</v>
      </c>
      <c r="E786" s="5">
        <v>0.0</v>
      </c>
      <c r="F786" s="5" t="s">
        <v>15</v>
      </c>
      <c r="G786" s="5" t="s">
        <v>15</v>
      </c>
      <c r="H786" s="4">
        <v>0.0</v>
      </c>
      <c r="I786" s="4">
        <v>763.672801</v>
      </c>
      <c r="J786" s="6" t="s">
        <v>15</v>
      </c>
      <c r="K786" s="5">
        <v>0.0</v>
      </c>
      <c r="L786" s="7">
        <v>1.18074697714111</v>
      </c>
      <c r="M786" s="4">
        <v>8.15</v>
      </c>
      <c r="N786" s="2">
        <v>5.04</v>
      </c>
    </row>
    <row r="787">
      <c r="A787" s="2" t="s">
        <v>812</v>
      </c>
      <c r="B787" s="3" t="str">
        <f>HYPERLINK("https://www.suredividend.com/sure-analysis-research-database/","Inovio Pharmaceuticals Inc")</f>
        <v>Inovio Pharmaceuticals Inc</v>
      </c>
      <c r="C787" s="2" t="s">
        <v>30</v>
      </c>
      <c r="D787" s="4">
        <v>4.9</v>
      </c>
      <c r="E787" s="5">
        <v>0.0</v>
      </c>
      <c r="F787" s="5" t="s">
        <v>15</v>
      </c>
      <c r="G787" s="5" t="s">
        <v>15</v>
      </c>
      <c r="H787" s="4">
        <v>0.0</v>
      </c>
      <c r="I787" s="4">
        <v>1703.435286</v>
      </c>
      <c r="J787" s="6" t="s">
        <v>15</v>
      </c>
      <c r="K787" s="5">
        <v>0.0</v>
      </c>
      <c r="L787" s="7">
        <v>1.71412488324136</v>
      </c>
      <c r="M787" s="4">
        <v>23.4</v>
      </c>
      <c r="N787" s="2">
        <v>3.89</v>
      </c>
    </row>
    <row r="788">
      <c r="A788" s="2" t="s">
        <v>813</v>
      </c>
      <c r="B788" s="3" t="str">
        <f>HYPERLINK("https://www.suredividend.com/sure-analysis-research-database/","Inspired Entertainment Inc")</f>
        <v>Inspired Entertainment Inc</v>
      </c>
      <c r="C788" s="2" t="s">
        <v>114</v>
      </c>
      <c r="D788" s="4">
        <v>8.95</v>
      </c>
      <c r="E788" s="5">
        <v>0.0</v>
      </c>
      <c r="F788" s="5" t="s">
        <v>15</v>
      </c>
      <c r="G788" s="5" t="s">
        <v>15</v>
      </c>
      <c r="H788" s="4">
        <v>0.0</v>
      </c>
      <c r="I788" s="4">
        <v>262.839128</v>
      </c>
      <c r="J788" s="6">
        <v>0.0</v>
      </c>
      <c r="K788" s="5" t="s">
        <v>15</v>
      </c>
      <c r="L788" s="7">
        <v>1.55190377395077</v>
      </c>
      <c r="M788" s="4">
        <v>16.44</v>
      </c>
      <c r="N788" s="2">
        <v>6.12</v>
      </c>
    </row>
    <row r="789">
      <c r="A789" s="2" t="s">
        <v>814</v>
      </c>
      <c r="B789" s="3" t="str">
        <f>HYPERLINK("https://www.suredividend.com/sure-analysis-research-database/","Inseego Corp")</f>
        <v>Inseego Corp</v>
      </c>
      <c r="C789" s="2" t="s">
        <v>40</v>
      </c>
      <c r="D789" s="4">
        <v>2.57</v>
      </c>
      <c r="E789" s="5">
        <v>0.0</v>
      </c>
      <c r="F789" s="5" t="s">
        <v>15</v>
      </c>
      <c r="G789" s="5" t="s">
        <v>15</v>
      </c>
      <c r="H789" s="4">
        <v>0.0</v>
      </c>
      <c r="I789" s="4">
        <v>278.535448</v>
      </c>
      <c r="J789" s="6" t="s">
        <v>15</v>
      </c>
      <c r="K789" s="5">
        <v>0.0</v>
      </c>
      <c r="L789" s="7">
        <v>1.96136569968552</v>
      </c>
      <c r="M789" s="4">
        <v>13.0</v>
      </c>
      <c r="N789" s="2">
        <v>1.62</v>
      </c>
    </row>
    <row r="790">
      <c r="A790" s="2" t="s">
        <v>815</v>
      </c>
      <c r="B790" s="3" t="str">
        <f>HYPERLINK("https://www.suredividend.com/sure-analysis-research-database/","Insmed Inc")</f>
        <v>Insmed Inc</v>
      </c>
      <c r="C790" s="2" t="s">
        <v>30</v>
      </c>
      <c r="D790" s="4">
        <v>28.28</v>
      </c>
      <c r="E790" s="5">
        <v>0.0</v>
      </c>
      <c r="F790" s="5" t="s">
        <v>15</v>
      </c>
      <c r="G790" s="5" t="s">
        <v>15</v>
      </c>
      <c r="H790" s="4">
        <v>0.0</v>
      </c>
      <c r="I790" s="4">
        <v>4030.058371</v>
      </c>
      <c r="J790" s="6" t="s">
        <v>15</v>
      </c>
      <c r="K790" s="5">
        <v>0.0</v>
      </c>
      <c r="L790" s="7">
        <v>0.845070665959203</v>
      </c>
      <c r="M790" s="4">
        <v>32.0</v>
      </c>
      <c r="N790" s="2">
        <v>16.04</v>
      </c>
    </row>
    <row r="791">
      <c r="A791" s="2" t="s">
        <v>816</v>
      </c>
      <c r="B791" s="3" t="str">
        <f>HYPERLINK("https://www.suredividend.com/sure-analysis-research-database/","Inspire Medical Systems Inc")</f>
        <v>Inspire Medical Systems Inc</v>
      </c>
      <c r="C791" s="2" t="s">
        <v>30</v>
      </c>
      <c r="D791" s="4">
        <v>216.16</v>
      </c>
      <c r="E791" s="5">
        <v>0.0</v>
      </c>
      <c r="F791" s="5" t="s">
        <v>15</v>
      </c>
      <c r="G791" s="5" t="s">
        <v>15</v>
      </c>
      <c r="H791" s="4">
        <v>0.0</v>
      </c>
      <c r="I791" s="4">
        <v>6395.234579</v>
      </c>
      <c r="J791" s="6" t="s">
        <v>15</v>
      </c>
      <c r="K791" s="5">
        <v>0.0</v>
      </c>
      <c r="L791" s="7">
        <v>1.61793184855341</v>
      </c>
      <c r="M791" s="4">
        <v>330.0</v>
      </c>
      <c r="N791" s="2">
        <v>123.27</v>
      </c>
    </row>
    <row r="792">
      <c r="A792" s="2" t="s">
        <v>817</v>
      </c>
      <c r="B792" s="3" t="str">
        <f>HYPERLINK("https://www.suredividend.com/sure-analysis-research-database/","Instructure Holdings Inc")</f>
        <v>Instructure Holdings Inc</v>
      </c>
      <c r="C792" s="2" t="s">
        <v>15</v>
      </c>
      <c r="D792" s="4">
        <v>24.37</v>
      </c>
      <c r="E792" s="5">
        <v>0.0</v>
      </c>
      <c r="F792" s="5" t="s">
        <v>15</v>
      </c>
      <c r="G792" s="5" t="s">
        <v>15</v>
      </c>
      <c r="H792" s="4">
        <v>0.0</v>
      </c>
      <c r="I792" s="4">
        <v>3695.53176</v>
      </c>
      <c r="J792" s="6" t="s">
        <v>15</v>
      </c>
      <c r="K792" s="5">
        <v>0.0</v>
      </c>
      <c r="L792" s="7">
        <v>0.790541858029086</v>
      </c>
      <c r="M792" s="4">
        <v>28.5</v>
      </c>
      <c r="N792" s="2">
        <v>22.99</v>
      </c>
    </row>
    <row r="793">
      <c r="A793" s="2" t="s">
        <v>818</v>
      </c>
      <c r="B793" s="3" t="str">
        <f>HYPERLINK("https://www.suredividend.com/sure-analysis-research-database/","International Seaways Inc")</f>
        <v>International Seaways Inc</v>
      </c>
      <c r="C793" s="2" t="s">
        <v>17</v>
      </c>
      <c r="D793" s="4">
        <v>51.28</v>
      </c>
      <c r="E793" s="5">
        <v>0.117426741355048</v>
      </c>
      <c r="F793" s="5">
        <v>-0.92</v>
      </c>
      <c r="G793" s="5">
        <v>0.148698354997035</v>
      </c>
      <c r="H793" s="4">
        <v>6.14611564252326</v>
      </c>
      <c r="I793" s="4">
        <v>2559.897531</v>
      </c>
      <c r="J793" s="6">
        <v>3.98265845479112</v>
      </c>
      <c r="K793" s="5">
        <v>0.47460352451917</v>
      </c>
      <c r="L793" s="7">
        <v>0.480409974551179</v>
      </c>
      <c r="M793" s="4">
        <v>54.27</v>
      </c>
      <c r="N793" s="2">
        <v>33.79</v>
      </c>
    </row>
    <row r="794">
      <c r="A794" s="2" t="s">
        <v>819</v>
      </c>
      <c r="B794" s="3" t="str">
        <f>HYPERLINK("https://www.suredividend.com/sure-analysis-research-database/","Intapp Inc")</f>
        <v>Intapp Inc</v>
      </c>
      <c r="C794" s="2" t="s">
        <v>15</v>
      </c>
      <c r="D794" s="4">
        <v>44.82</v>
      </c>
      <c r="E794" s="5">
        <v>0.0</v>
      </c>
      <c r="F794" s="5" t="s">
        <v>15</v>
      </c>
      <c r="G794" s="5" t="s">
        <v>15</v>
      </c>
      <c r="H794" s="4">
        <v>0.0</v>
      </c>
      <c r="I794" s="4">
        <v>3122.671576</v>
      </c>
      <c r="J794" s="6" t="s">
        <v>15</v>
      </c>
      <c r="K794" s="5">
        <v>0.0</v>
      </c>
      <c r="L794" s="7">
        <v>1.28106314533483</v>
      </c>
      <c r="M794" s="4">
        <v>50.46</v>
      </c>
      <c r="N794" s="2">
        <v>27.52</v>
      </c>
    </row>
    <row r="795">
      <c r="A795" s="2" t="s">
        <v>820</v>
      </c>
      <c r="B795" s="3" t="str">
        <f>HYPERLINK("https://www.suredividend.com/sure-analysis-research-database/","Innoviva Inc")</f>
        <v>Innoviva Inc</v>
      </c>
      <c r="C795" s="2" t="s">
        <v>30</v>
      </c>
      <c r="D795" s="4">
        <v>15.82</v>
      </c>
      <c r="E795" s="5">
        <v>0.0</v>
      </c>
      <c r="F795" s="5" t="s">
        <v>15</v>
      </c>
      <c r="G795" s="5" t="s">
        <v>15</v>
      </c>
      <c r="H795" s="4">
        <v>0.0</v>
      </c>
      <c r="I795" s="4">
        <v>1073.451806</v>
      </c>
      <c r="J795" s="6">
        <v>21.5219801962828</v>
      </c>
      <c r="K795" s="5">
        <v>0.0</v>
      </c>
      <c r="L795" s="7"/>
      <c r="M795" s="4">
        <v>16.86</v>
      </c>
      <c r="N795" s="2">
        <v>10.64</v>
      </c>
    </row>
    <row r="796">
      <c r="A796" s="2" t="s">
        <v>821</v>
      </c>
      <c r="B796" s="3" t="str">
        <f>HYPERLINK("https://www.suredividend.com/sure-analysis-research-database/","Identiv Inc")</f>
        <v>Identiv Inc</v>
      </c>
      <c r="C796" s="2" t="s">
        <v>40</v>
      </c>
      <c r="D796" s="4">
        <v>7.73</v>
      </c>
      <c r="E796" s="5">
        <v>0.0</v>
      </c>
      <c r="F796" s="5" t="s">
        <v>15</v>
      </c>
      <c r="G796" s="5" t="s">
        <v>15</v>
      </c>
      <c r="H796" s="4">
        <v>0.0</v>
      </c>
      <c r="I796" s="4">
        <v>187.248756</v>
      </c>
      <c r="J796" s="6" t="s">
        <v>15</v>
      </c>
      <c r="K796" s="5">
        <v>0.0</v>
      </c>
      <c r="L796" s="7">
        <v>1.78101077291967</v>
      </c>
      <c r="M796" s="4">
        <v>9.66</v>
      </c>
      <c r="N796" s="2">
        <v>4.72</v>
      </c>
    </row>
    <row r="797">
      <c r="A797" s="2" t="s">
        <v>822</v>
      </c>
      <c r="B797" s="3" t="str">
        <f>HYPERLINK("https://www.suredividend.com/sure-analysis-research-database/","IonQ Inc")</f>
        <v>IonQ Inc</v>
      </c>
      <c r="C797" s="2" t="s">
        <v>15</v>
      </c>
      <c r="D797" s="4">
        <v>9.87</v>
      </c>
      <c r="E797" s="5">
        <v>0.0</v>
      </c>
      <c r="F797" s="5" t="s">
        <v>15</v>
      </c>
      <c r="G797" s="5" t="s">
        <v>15</v>
      </c>
      <c r="H797" s="4">
        <v>0.0</v>
      </c>
      <c r="I797" s="4">
        <v>2294.687</v>
      </c>
      <c r="J797" s="6" t="s">
        <v>15</v>
      </c>
      <c r="K797" s="5">
        <v>0.0</v>
      </c>
      <c r="L797" s="7">
        <v>2.8435886063631</v>
      </c>
      <c r="M797" s="4">
        <v>21.6</v>
      </c>
      <c r="N797" s="2">
        <v>4.38</v>
      </c>
    </row>
    <row r="798">
      <c r="A798" s="2" t="s">
        <v>823</v>
      </c>
      <c r="B798" s="3" t="str">
        <f>HYPERLINK("https://www.suredividend.com/sure-analysis-research-database/","Innospec Inc")</f>
        <v>Innospec Inc</v>
      </c>
      <c r="C798" s="2" t="s">
        <v>130</v>
      </c>
      <c r="D798" s="4">
        <v>114.8</v>
      </c>
      <c r="E798" s="5">
        <v>0.011766254062055</v>
      </c>
      <c r="F798" s="5" t="s">
        <v>15</v>
      </c>
      <c r="G798" s="5" t="s">
        <v>15</v>
      </c>
      <c r="H798" s="4">
        <v>1.40089020862834</v>
      </c>
      <c r="I798" s="4">
        <v>2960.522029</v>
      </c>
      <c r="J798" s="6">
        <v>23.3479655279179</v>
      </c>
      <c r="K798" s="5">
        <v>0.276309705843854</v>
      </c>
      <c r="L798" s="7">
        <v>0.874159089489588</v>
      </c>
      <c r="M798" s="4">
        <v>125.87</v>
      </c>
      <c r="N798" s="2">
        <v>90.52</v>
      </c>
    </row>
    <row r="799">
      <c r="A799" s="2" t="s">
        <v>824</v>
      </c>
      <c r="B799" s="3" t="str">
        <f>HYPERLINK("https://www.suredividend.com/sure-analysis-research-database/","Iovance Biotherapeutics Inc")</f>
        <v>Iovance Biotherapeutics Inc</v>
      </c>
      <c r="C799" s="2" t="s">
        <v>30</v>
      </c>
      <c r="D799" s="4">
        <v>7.92</v>
      </c>
      <c r="E799" s="5">
        <v>0.0</v>
      </c>
      <c r="F799" s="5" t="s">
        <v>15</v>
      </c>
      <c r="G799" s="5" t="s">
        <v>15</v>
      </c>
      <c r="H799" s="4">
        <v>0.0</v>
      </c>
      <c r="I799" s="4">
        <v>2124.123118</v>
      </c>
      <c r="J799" s="6">
        <v>0.0</v>
      </c>
      <c r="K799" s="5" t="s">
        <v>15</v>
      </c>
      <c r="L799" s="7">
        <v>1.59610166961135</v>
      </c>
      <c r="M799" s="4">
        <v>10.31</v>
      </c>
      <c r="N799" s="2">
        <v>3.21</v>
      </c>
    </row>
    <row r="800">
      <c r="A800" s="2" t="s">
        <v>825</v>
      </c>
      <c r="B800" s="3" t="str">
        <f>HYPERLINK("https://www.suredividend.com/sure-analysis-IPAR/","Inter Parfums, Inc.")</f>
        <v>Inter Parfums, Inc.</v>
      </c>
      <c r="C800" s="2" t="s">
        <v>89</v>
      </c>
      <c r="D800" s="4">
        <v>144.78</v>
      </c>
      <c r="E800" s="5">
        <v>0.0172675783948059</v>
      </c>
      <c r="F800" s="5" t="s">
        <v>15</v>
      </c>
      <c r="G800" s="5" t="s">
        <v>15</v>
      </c>
      <c r="H800" s="4">
        <v>2.46580691924887</v>
      </c>
      <c r="I800" s="4">
        <v>4441.3824</v>
      </c>
      <c r="J800" s="6">
        <v>27.9624161073825</v>
      </c>
      <c r="K800" s="5">
        <v>0.498142811969469</v>
      </c>
      <c r="L800" s="7">
        <v>1.08092393187536</v>
      </c>
      <c r="M800" s="4">
        <v>156.76</v>
      </c>
      <c r="N800" s="2">
        <v>108.26</v>
      </c>
    </row>
    <row r="801">
      <c r="A801" s="2" t="s">
        <v>826</v>
      </c>
      <c r="B801" s="3" t="str">
        <f>HYPERLINK("https://www.suredividend.com/sure-analysis-research-database/","Intrepid Potash Inc")</f>
        <v>Intrepid Potash Inc</v>
      </c>
      <c r="C801" s="2" t="s">
        <v>130</v>
      </c>
      <c r="D801" s="4">
        <v>17.94</v>
      </c>
      <c r="E801" s="5">
        <v>0.0</v>
      </c>
      <c r="F801" s="5" t="s">
        <v>15</v>
      </c>
      <c r="G801" s="5" t="s">
        <v>15</v>
      </c>
      <c r="H801" s="4">
        <v>0.0</v>
      </c>
      <c r="I801" s="4">
        <v>261.397628</v>
      </c>
      <c r="J801" s="6">
        <v>46.7031674200464</v>
      </c>
      <c r="K801" s="5">
        <v>0.0</v>
      </c>
      <c r="L801" s="7">
        <v>1.3352189329285</v>
      </c>
      <c r="M801" s="4">
        <v>34.51</v>
      </c>
      <c r="N801" s="2">
        <v>17.23</v>
      </c>
    </row>
    <row r="802">
      <c r="A802" s="2" t="s">
        <v>827</v>
      </c>
      <c r="B802" s="3" t="str">
        <f>HYPERLINK("https://www.suredividend.com/sure-analysis-research-database/","Century Therapeutics Inc")</f>
        <v>Century Therapeutics Inc</v>
      </c>
      <c r="C802" s="2" t="s">
        <v>15</v>
      </c>
      <c r="D802" s="4">
        <v>4.04</v>
      </c>
      <c r="E802" s="5">
        <v>0.0</v>
      </c>
      <c r="F802" s="5" t="s">
        <v>15</v>
      </c>
      <c r="G802" s="5" t="s">
        <v>15</v>
      </c>
      <c r="H802" s="4">
        <v>0.0</v>
      </c>
      <c r="I802" s="4">
        <v>256.692013</v>
      </c>
      <c r="J802" s="6" t="s">
        <v>15</v>
      </c>
      <c r="K802" s="5">
        <v>0.0</v>
      </c>
      <c r="L802" s="7">
        <v>1.17878276412229</v>
      </c>
      <c r="M802" s="4">
        <v>5.34</v>
      </c>
      <c r="N802" s="2">
        <v>1.28</v>
      </c>
    </row>
    <row r="803">
      <c r="A803" s="2" t="s">
        <v>828</v>
      </c>
      <c r="B803" s="3" t="str">
        <f>HYPERLINK("https://www.suredividend.com/sure-analysis-research-database/","Irobot Corp")</f>
        <v>Irobot Corp</v>
      </c>
      <c r="C803" s="2" t="s">
        <v>40</v>
      </c>
      <c r="D803" s="4">
        <v>12.04</v>
      </c>
      <c r="E803" s="5">
        <v>0.0</v>
      </c>
      <c r="F803" s="5" t="s">
        <v>15</v>
      </c>
      <c r="G803" s="5" t="s">
        <v>15</v>
      </c>
      <c r="H803" s="4">
        <v>0.0</v>
      </c>
      <c r="I803" s="4">
        <v>431.916878</v>
      </c>
      <c r="J803" s="6" t="s">
        <v>15</v>
      </c>
      <c r="K803" s="5">
        <v>0.0</v>
      </c>
      <c r="L803" s="7">
        <v>0.051186209826868</v>
      </c>
      <c r="M803" s="4">
        <v>51.49</v>
      </c>
      <c r="N803" s="2">
        <v>13.8</v>
      </c>
    </row>
    <row r="804">
      <c r="A804" s="2" t="s">
        <v>829</v>
      </c>
      <c r="B804" s="3" t="str">
        <f>HYPERLINK("https://www.suredividend.com/sure-analysis-research-database/","Iridium Communications Inc")</f>
        <v>Iridium Communications Inc</v>
      </c>
      <c r="C804" s="2" t="s">
        <v>114</v>
      </c>
      <c r="D804" s="4">
        <v>33.91</v>
      </c>
      <c r="E804" s="5">
        <v>0.013997758181585</v>
      </c>
      <c r="F804" s="5" t="s">
        <v>15</v>
      </c>
      <c r="G804" s="5" t="s">
        <v>15</v>
      </c>
      <c r="H804" s="4">
        <v>0.515817388991432</v>
      </c>
      <c r="I804" s="4">
        <v>4563.893357</v>
      </c>
      <c r="J804" s="6" t="s">
        <v>15</v>
      </c>
      <c r="K804" s="5" t="s">
        <v>15</v>
      </c>
      <c r="L804" s="7">
        <v>0.661620163019665</v>
      </c>
      <c r="M804" s="4">
        <v>67.39</v>
      </c>
      <c r="N804" s="2">
        <v>33.99</v>
      </c>
    </row>
    <row r="805">
      <c r="A805" s="2" t="s">
        <v>830</v>
      </c>
      <c r="B805" s="3" t="str">
        <f>HYPERLINK("https://www.suredividend.com/sure-analysis-research-database/","Iradimed Corp")</f>
        <v>Iradimed Corp</v>
      </c>
      <c r="C805" s="2" t="s">
        <v>30</v>
      </c>
      <c r="D805" s="4">
        <v>45.0</v>
      </c>
      <c r="E805" s="5">
        <v>0.027554853731539</v>
      </c>
      <c r="F805" s="5" t="s">
        <v>15</v>
      </c>
      <c r="G805" s="5" t="s">
        <v>15</v>
      </c>
      <c r="H805" s="4">
        <v>1.19312516657564</v>
      </c>
      <c r="I805" s="4">
        <v>546.013</v>
      </c>
      <c r="J805" s="6">
        <v>33.4429410859656</v>
      </c>
      <c r="K805" s="5">
        <v>0.924903229903598</v>
      </c>
      <c r="L805" s="7">
        <v>0.817378779185207</v>
      </c>
      <c r="M805" s="4">
        <v>50.7</v>
      </c>
      <c r="N805" s="2">
        <v>32.26</v>
      </c>
    </row>
    <row r="806">
      <c r="A806" s="2" t="s">
        <v>831</v>
      </c>
      <c r="B806" s="3" t="str">
        <f>HYPERLINK("https://www.suredividend.com/sure-analysis-research-database/","IronNet Inc")</f>
        <v>IronNet Inc</v>
      </c>
      <c r="C806" s="2" t="s">
        <v>15</v>
      </c>
      <c r="D806" s="4">
        <v>0.127</v>
      </c>
      <c r="E806" s="5">
        <v>0.0</v>
      </c>
      <c r="F806" s="5" t="s">
        <v>15</v>
      </c>
      <c r="G806" s="5" t="s">
        <v>15</v>
      </c>
      <c r="H806" s="4">
        <v>0.0</v>
      </c>
      <c r="I806" s="4">
        <v>0.0</v>
      </c>
      <c r="J806" s="6">
        <v>0.0</v>
      </c>
      <c r="K806" s="5">
        <v>0.0</v>
      </c>
      <c r="L806" s="7"/>
      <c r="M806" s="4" t="s">
        <v>49</v>
      </c>
      <c r="N806" s="2" t="s">
        <v>49</v>
      </c>
    </row>
    <row r="807">
      <c r="A807" s="2" t="s">
        <v>832</v>
      </c>
      <c r="B807" s="3" t="str">
        <f>HYPERLINK("https://www.suredividend.com/sure-analysis-IRT/","Independence Realty Trust Inc")</f>
        <v>Independence Realty Trust Inc</v>
      </c>
      <c r="C807" s="2" t="s">
        <v>20</v>
      </c>
      <c r="D807" s="4">
        <v>14.75</v>
      </c>
      <c r="E807" s="5">
        <v>0.0433898305084745</v>
      </c>
      <c r="F807" s="5">
        <v>0.142857142857142</v>
      </c>
      <c r="G807" s="5">
        <v>-0.0232813161388261</v>
      </c>
      <c r="H807" s="4">
        <v>0.610688582449924</v>
      </c>
      <c r="I807" s="4">
        <v>3426.837016</v>
      </c>
      <c r="J807" s="6">
        <v>60.206560595945</v>
      </c>
      <c r="K807" s="5">
        <v>2.41856864336603</v>
      </c>
      <c r="L807" s="7">
        <v>1.26904019917845</v>
      </c>
      <c r="M807" s="4">
        <v>18.92</v>
      </c>
      <c r="N807" s="2">
        <v>11.49</v>
      </c>
    </row>
    <row r="808">
      <c r="A808" s="2" t="s">
        <v>833</v>
      </c>
      <c r="B808" s="3" t="str">
        <f>HYPERLINK("https://www.suredividend.com/sure-analysis-research-database/","iRhythm Technologies Inc")</f>
        <v>iRhythm Technologies Inc</v>
      </c>
      <c r="C808" s="2" t="s">
        <v>30</v>
      </c>
      <c r="D808" s="4">
        <v>117.02</v>
      </c>
      <c r="E808" s="5">
        <v>0.0</v>
      </c>
      <c r="F808" s="5" t="s">
        <v>15</v>
      </c>
      <c r="G808" s="5" t="s">
        <v>15</v>
      </c>
      <c r="H808" s="4">
        <v>0.0</v>
      </c>
      <c r="I808" s="4">
        <v>3713.645839</v>
      </c>
      <c r="J808" s="6" t="s">
        <v>15</v>
      </c>
      <c r="K808" s="5">
        <v>0.0</v>
      </c>
      <c r="L808" s="7">
        <v>1.13436957392539</v>
      </c>
      <c r="M808" s="4">
        <v>140.23</v>
      </c>
      <c r="N808" s="2">
        <v>70.24</v>
      </c>
    </row>
    <row r="809">
      <c r="A809" s="2" t="s">
        <v>834</v>
      </c>
      <c r="B809" s="3" t="str">
        <f>HYPERLINK("https://www.suredividend.com/sure-analysis-research-database/","Ironwood Pharmaceuticals Inc")</f>
        <v>Ironwood Pharmaceuticals Inc</v>
      </c>
      <c r="C809" s="2" t="s">
        <v>30</v>
      </c>
      <c r="D809" s="4">
        <v>14.75</v>
      </c>
      <c r="E809" s="5">
        <v>0.0</v>
      </c>
      <c r="F809" s="5" t="s">
        <v>15</v>
      </c>
      <c r="G809" s="5" t="s">
        <v>15</v>
      </c>
      <c r="H809" s="4">
        <v>0.0</v>
      </c>
      <c r="I809" s="4">
        <v>2148.335673</v>
      </c>
      <c r="J809" s="6" t="s">
        <v>15</v>
      </c>
      <c r="K809" s="5">
        <v>0.0</v>
      </c>
      <c r="L809" s="7">
        <v>0.73099652462142</v>
      </c>
      <c r="M809" s="4">
        <v>13.81</v>
      </c>
      <c r="N809" s="2">
        <v>8.07</v>
      </c>
    </row>
    <row r="810">
      <c r="A810" s="2" t="s">
        <v>835</v>
      </c>
      <c r="B810" s="3" t="str">
        <f>HYPERLINK("https://www.suredividend.com/sure-analysis-research-database/","IVERIC bio Inc")</f>
        <v>IVERIC bio Inc</v>
      </c>
      <c r="C810" s="2" t="s">
        <v>30</v>
      </c>
      <c r="D810" s="4">
        <v>39.95</v>
      </c>
      <c r="E810" s="5">
        <v>0.0</v>
      </c>
      <c r="F810" s="5" t="s">
        <v>15</v>
      </c>
      <c r="G810" s="5" t="s">
        <v>15</v>
      </c>
      <c r="H810" s="4">
        <v>0.0</v>
      </c>
      <c r="I810" s="4">
        <v>0.0</v>
      </c>
      <c r="J810" s="6">
        <v>0.0</v>
      </c>
      <c r="K810" s="5" t="s">
        <v>15</v>
      </c>
      <c r="L810" s="7"/>
      <c r="M810" s="4" t="s">
        <v>49</v>
      </c>
      <c r="N810" s="2" t="s">
        <v>49</v>
      </c>
    </row>
    <row r="811">
      <c r="A811" s="2" t="s">
        <v>836</v>
      </c>
      <c r="B811" s="3" t="str">
        <f>HYPERLINK("https://www.suredividend.com/sure-analysis-research-database/","Inspirato Incorporated")</f>
        <v>Inspirato Incorporated</v>
      </c>
      <c r="C811" s="2" t="s">
        <v>15</v>
      </c>
      <c r="D811" s="4">
        <v>4.1202</v>
      </c>
      <c r="E811" s="5">
        <v>0.0</v>
      </c>
      <c r="F811" s="5" t="s">
        <v>15</v>
      </c>
      <c r="G811" s="5" t="s">
        <v>15</v>
      </c>
      <c r="H811" s="4">
        <v>0.0</v>
      </c>
      <c r="I811" s="4">
        <v>13.866456</v>
      </c>
      <c r="J811" s="6" t="s">
        <v>15</v>
      </c>
      <c r="K811" s="5">
        <v>0.0</v>
      </c>
      <c r="L811" s="7"/>
      <c r="M811" s="4">
        <v>29.4</v>
      </c>
      <c r="N811" s="2">
        <v>3.15</v>
      </c>
    </row>
    <row r="812">
      <c r="A812" s="2" t="s">
        <v>837</v>
      </c>
      <c r="B812" s="3" t="str">
        <f>HYPERLINK("https://www.suredividend.com/sure-analysis-research-database/","Intra-Cellular Therapies Inc")</f>
        <v>Intra-Cellular Therapies Inc</v>
      </c>
      <c r="C812" s="2" t="s">
        <v>30</v>
      </c>
      <c r="D812" s="4">
        <v>69.0</v>
      </c>
      <c r="E812" s="5">
        <v>0.0</v>
      </c>
      <c r="F812" s="5" t="s">
        <v>15</v>
      </c>
      <c r="G812" s="5" t="s">
        <v>15</v>
      </c>
      <c r="H812" s="4">
        <v>0.0</v>
      </c>
      <c r="I812" s="4">
        <v>6723.195482</v>
      </c>
      <c r="J812" s="6">
        <v>0.0</v>
      </c>
      <c r="K812" s="5" t="s">
        <v>15</v>
      </c>
      <c r="L812" s="7">
        <v>0.880811622307249</v>
      </c>
      <c r="M812" s="4">
        <v>74.17</v>
      </c>
      <c r="N812" s="2">
        <v>42.01</v>
      </c>
    </row>
    <row r="813">
      <c r="A813" s="2" t="s">
        <v>838</v>
      </c>
      <c r="B813" s="3" t="str">
        <f>HYPERLINK("https://www.suredividend.com/sure-analysis-research-database/","Integer Holdings Corp")</f>
        <v>Integer Holdings Corp</v>
      </c>
      <c r="C813" s="2" t="s">
        <v>30</v>
      </c>
      <c r="D813" s="4">
        <v>102.97</v>
      </c>
      <c r="E813" s="5">
        <v>0.0</v>
      </c>
      <c r="F813" s="5" t="s">
        <v>15</v>
      </c>
      <c r="G813" s="5" t="s">
        <v>15</v>
      </c>
      <c r="H813" s="4">
        <v>0.0</v>
      </c>
      <c r="I813" s="4">
        <v>3394.652263</v>
      </c>
      <c r="J813" s="6">
        <v>41.192237148647</v>
      </c>
      <c r="K813" s="5">
        <v>0.0</v>
      </c>
      <c r="L813" s="7">
        <v>0.777097827550903</v>
      </c>
      <c r="M813" s="4">
        <v>106.78</v>
      </c>
      <c r="N813" s="2">
        <v>63.0</v>
      </c>
    </row>
    <row r="814">
      <c r="A814" s="2" t="s">
        <v>839</v>
      </c>
      <c r="B814" s="3" t="str">
        <f>HYPERLINK("https://www.suredividend.com/sure-analysis-research-database/","Investors Title Co.")</f>
        <v>Investors Title Co.</v>
      </c>
      <c r="C814" s="2" t="s">
        <v>22</v>
      </c>
      <c r="D814" s="4">
        <v>168.48</v>
      </c>
      <c r="E814" s="5">
        <v>0.034813702390992</v>
      </c>
      <c r="F814" s="5">
        <v>7.69565217391304</v>
      </c>
      <c r="G814" s="5">
        <v>0.554968024874244</v>
      </c>
      <c r="H814" s="4">
        <v>5.82259172489354</v>
      </c>
      <c r="I814" s="4">
        <v>316.206697</v>
      </c>
      <c r="J814" s="6">
        <v>0.0</v>
      </c>
      <c r="K814" s="5" t="s">
        <v>15</v>
      </c>
      <c r="L814" s="7"/>
      <c r="M814" s="4">
        <v>170.68</v>
      </c>
      <c r="N814" s="2">
        <v>126.92</v>
      </c>
    </row>
    <row r="815">
      <c r="A815" s="2" t="s">
        <v>840</v>
      </c>
      <c r="B815" s="3" t="str">
        <f>HYPERLINK("https://www.suredividend.com/sure-analysis-research-database/","ITeos Therapeutics Inc")</f>
        <v>ITeos Therapeutics Inc</v>
      </c>
      <c r="C815" s="2" t="s">
        <v>15</v>
      </c>
      <c r="D815" s="4">
        <v>10.32</v>
      </c>
      <c r="E815" s="5">
        <v>0.0</v>
      </c>
      <c r="F815" s="5" t="s">
        <v>15</v>
      </c>
      <c r="G815" s="5" t="s">
        <v>15</v>
      </c>
      <c r="H815" s="4">
        <v>0.0</v>
      </c>
      <c r="I815" s="4">
        <v>378.247006</v>
      </c>
      <c r="J815" s="6" t="s">
        <v>15</v>
      </c>
      <c r="K815" s="5">
        <v>0.0</v>
      </c>
      <c r="L815" s="7">
        <v>0.890149676042157</v>
      </c>
      <c r="M815" s="4">
        <v>21.64</v>
      </c>
      <c r="N815" s="2">
        <v>8.2</v>
      </c>
    </row>
    <row r="816">
      <c r="A816" s="2" t="s">
        <v>841</v>
      </c>
      <c r="B816" s="3" t="str">
        <f>HYPERLINK("https://www.suredividend.com/sure-analysis-research-database/","Itron Inc.")</f>
        <v>Itron Inc.</v>
      </c>
      <c r="C816" s="2" t="s">
        <v>40</v>
      </c>
      <c r="D816" s="4">
        <v>71.33</v>
      </c>
      <c r="E816" s="5">
        <v>0.0</v>
      </c>
      <c r="F816" s="5" t="s">
        <v>15</v>
      </c>
      <c r="G816" s="5" t="s">
        <v>15</v>
      </c>
      <c r="H816" s="4">
        <v>0.0</v>
      </c>
      <c r="I816" s="4">
        <v>3378.748028</v>
      </c>
      <c r="J816" s="6">
        <v>45.2012472126717</v>
      </c>
      <c r="K816" s="5">
        <v>0.0</v>
      </c>
      <c r="L816" s="7">
        <v>1.26465180485256</v>
      </c>
      <c r="M816" s="4">
        <v>79.99</v>
      </c>
      <c r="N816" s="2">
        <v>50.35</v>
      </c>
    </row>
    <row r="817">
      <c r="A817" s="2" t="s">
        <v>842</v>
      </c>
      <c r="B817" s="3" t="str">
        <f>HYPERLINK("https://www.suredividend.com/sure-analysis-research-database/","Invesco Mortgage Capital Inc")</f>
        <v>Invesco Mortgage Capital Inc</v>
      </c>
      <c r="C817" s="2" t="s">
        <v>20</v>
      </c>
      <c r="D817" s="4">
        <v>8.66</v>
      </c>
      <c r="E817" s="5">
        <v>0.159801420323979</v>
      </c>
      <c r="F817" s="5">
        <v>-0.384615384615384</v>
      </c>
      <c r="G817" s="5">
        <v>-0.0232813161388261</v>
      </c>
      <c r="H817" s="4">
        <v>1.50373136524865</v>
      </c>
      <c r="I817" s="4">
        <v>456.014491</v>
      </c>
      <c r="J817" s="6" t="s">
        <v>15</v>
      </c>
      <c r="K817" s="5" t="s">
        <v>15</v>
      </c>
      <c r="L817" s="7">
        <v>1.72240812707521</v>
      </c>
      <c r="M817" s="4">
        <v>13.28</v>
      </c>
      <c r="N817" s="2">
        <v>6.08</v>
      </c>
    </row>
    <row r="818">
      <c r="A818" s="2" t="s">
        <v>843</v>
      </c>
      <c r="B818" s="3" t="str">
        <f>HYPERLINK("https://www.suredividend.com/sure-analysis-research-database/","InvenTrust Properties Corp")</f>
        <v>InvenTrust Properties Corp</v>
      </c>
      <c r="C818" s="2" t="s">
        <v>15</v>
      </c>
      <c r="D818" s="4">
        <v>24.65</v>
      </c>
      <c r="E818" s="5">
        <v>0.033311018004167</v>
      </c>
      <c r="F818" s="5" t="s">
        <v>15</v>
      </c>
      <c r="G818" s="5" t="s">
        <v>15</v>
      </c>
      <c r="H818" s="4">
        <v>0.850763399826449</v>
      </c>
      <c r="I818" s="4">
        <v>1724.750296</v>
      </c>
      <c r="J818" s="6">
        <v>0.0</v>
      </c>
      <c r="K818" s="5" t="s">
        <v>15</v>
      </c>
      <c r="L818" s="7">
        <v>0.959760182037251</v>
      </c>
      <c r="M818" s="4">
        <v>27.02</v>
      </c>
      <c r="N818" s="2">
        <v>20.18</v>
      </c>
    </row>
    <row r="819">
      <c r="A819" s="2" t="s">
        <v>844</v>
      </c>
      <c r="B819" s="3" t="str">
        <f>HYPERLINK("https://www.suredividend.com/sure-analysis-research-database/","Invivyd Inc")</f>
        <v>Invivyd Inc</v>
      </c>
      <c r="C819" s="2" t="s">
        <v>15</v>
      </c>
      <c r="D819" s="4">
        <v>4.91</v>
      </c>
      <c r="E819" s="5">
        <v>0.0</v>
      </c>
      <c r="F819" s="5" t="s">
        <v>15</v>
      </c>
      <c r="G819" s="5" t="s">
        <v>15</v>
      </c>
      <c r="H819" s="4">
        <v>0.0</v>
      </c>
      <c r="I819" s="4">
        <v>552.777099</v>
      </c>
      <c r="J819" s="6">
        <v>0.0</v>
      </c>
      <c r="K819" s="5" t="s">
        <v>15</v>
      </c>
      <c r="L819" s="7">
        <v>0.700831321887903</v>
      </c>
      <c r="M819" s="4">
        <v>5.06</v>
      </c>
      <c r="N819" s="2">
        <v>0.9802</v>
      </c>
    </row>
    <row r="820">
      <c r="A820" s="2" t="s">
        <v>845</v>
      </c>
      <c r="B820" s="3" t="str">
        <f>HYPERLINK("https://www.suredividend.com/sure-analysis-JACK/","Jack In The Box, Inc.")</f>
        <v>Jack In The Box, Inc.</v>
      </c>
      <c r="C820" s="2" t="s">
        <v>25</v>
      </c>
      <c r="D820" s="4">
        <v>77.02</v>
      </c>
      <c r="E820" s="5">
        <v>0.0228512074785769</v>
      </c>
      <c r="F820" s="5" t="s">
        <v>15</v>
      </c>
      <c r="G820" s="5" t="s">
        <v>15</v>
      </c>
      <c r="H820" s="4">
        <v>1.73191753265487</v>
      </c>
      <c r="I820" s="4">
        <v>1586.24525</v>
      </c>
      <c r="J820" s="6">
        <v>12.1248471229725</v>
      </c>
      <c r="K820" s="5">
        <v>0.274907544865853</v>
      </c>
      <c r="L820" s="7">
        <v>0.962647106654809</v>
      </c>
      <c r="M820" s="4">
        <v>97.41</v>
      </c>
      <c r="N820" s="2">
        <v>59.76</v>
      </c>
    </row>
    <row r="821">
      <c r="A821" s="2" t="s">
        <v>846</v>
      </c>
      <c r="B821" s="3" t="str">
        <f>HYPERLINK("https://www.suredividend.com/sure-analysis-research-database/","Janux Therapeutics Inc")</f>
        <v>Janux Therapeutics Inc</v>
      </c>
      <c r="C821" s="2" t="s">
        <v>15</v>
      </c>
      <c r="D821" s="4">
        <v>8.69</v>
      </c>
      <c r="E821" s="5">
        <v>0.0</v>
      </c>
      <c r="F821" s="5" t="s">
        <v>15</v>
      </c>
      <c r="G821" s="5" t="s">
        <v>15</v>
      </c>
      <c r="H821" s="4">
        <v>0.0</v>
      </c>
      <c r="I821" s="4">
        <v>439.523454</v>
      </c>
      <c r="J821" s="6" t="s">
        <v>15</v>
      </c>
      <c r="K821" s="5">
        <v>0.0</v>
      </c>
      <c r="L821" s="7">
        <v>2.33374951079388</v>
      </c>
      <c r="M821" s="4">
        <v>23.64</v>
      </c>
      <c r="N821" s="2">
        <v>5.65</v>
      </c>
    </row>
    <row r="822">
      <c r="A822" s="2" t="s">
        <v>847</v>
      </c>
      <c r="B822" s="3" t="str">
        <f>HYPERLINK("https://www.suredividend.com/sure-analysis-research-database/","Janus International Group Inc")</f>
        <v>Janus International Group Inc</v>
      </c>
      <c r="C822" s="2" t="s">
        <v>15</v>
      </c>
      <c r="D822" s="4">
        <v>14.34</v>
      </c>
      <c r="E822" s="5">
        <v>0.0</v>
      </c>
      <c r="F822" s="5" t="s">
        <v>15</v>
      </c>
      <c r="G822" s="5" t="s">
        <v>15</v>
      </c>
      <c r="H822" s="4">
        <v>0.0</v>
      </c>
      <c r="I822" s="4">
        <v>2152.504608</v>
      </c>
      <c r="J822" s="6">
        <v>16.2230340805836</v>
      </c>
      <c r="K822" s="5">
        <v>0.0</v>
      </c>
      <c r="L822" s="7">
        <v>1.17342682278235</v>
      </c>
      <c r="M822" s="4">
        <v>14.66</v>
      </c>
      <c r="N822" s="2">
        <v>8.66</v>
      </c>
    </row>
    <row r="823">
      <c r="A823" s="2" t="s">
        <v>848</v>
      </c>
      <c r="B823" s="3" t="str">
        <f>HYPERLINK("https://www.suredividend.com/sure-analysis-research-database/","Sanfilippo (John B.) &amp; Son, Inc")</f>
        <v>Sanfilippo (John B.) &amp; Son, Inc</v>
      </c>
      <c r="C823" s="2" t="s">
        <v>89</v>
      </c>
      <c r="D823" s="4">
        <v>100.89</v>
      </c>
      <c r="E823" s="5">
        <v>0.007442552906511</v>
      </c>
      <c r="F823" s="5" t="s">
        <v>15</v>
      </c>
      <c r="G823" s="5" t="s">
        <v>15</v>
      </c>
      <c r="H823" s="4">
        <v>0.800000011920929</v>
      </c>
      <c r="I823" s="4">
        <v>964.1853</v>
      </c>
      <c r="J823" s="6">
        <v>14.8564761171032</v>
      </c>
      <c r="K823" s="5">
        <v>0.143626573055822</v>
      </c>
      <c r="L823" s="7">
        <v>0.265452835796671</v>
      </c>
      <c r="M823" s="4">
        <v>124.82</v>
      </c>
      <c r="N823" s="2">
        <v>78.36</v>
      </c>
    </row>
    <row r="824">
      <c r="A824" s="2" t="s">
        <v>849</v>
      </c>
      <c r="B824" s="3" t="str">
        <f>HYPERLINK("https://www.suredividend.com/sure-analysis-research-database/","John Bean Technologies Corp")</f>
        <v>John Bean Technologies Corp</v>
      </c>
      <c r="C824" s="2" t="s">
        <v>17</v>
      </c>
      <c r="D824" s="4">
        <v>98.14</v>
      </c>
      <c r="E824" s="5">
        <v>0.003852654248355</v>
      </c>
      <c r="F824" s="5">
        <v>0.0</v>
      </c>
      <c r="G824" s="5">
        <v>0.0</v>
      </c>
      <c r="H824" s="4">
        <v>0.399443192469482</v>
      </c>
      <c r="I824" s="4">
        <v>3301.041185</v>
      </c>
      <c r="J824" s="6">
        <v>5.87687588620259</v>
      </c>
      <c r="K824" s="5">
        <v>0.0225546692529351</v>
      </c>
      <c r="L824" s="7">
        <v>1.34619218821501</v>
      </c>
      <c r="M824" s="4">
        <v>125.65</v>
      </c>
      <c r="N824" s="2">
        <v>89.96</v>
      </c>
    </row>
    <row r="825">
      <c r="A825" s="2" t="s">
        <v>850</v>
      </c>
      <c r="B825" s="3" t="str">
        <f>HYPERLINK("https://www.suredividend.com/sure-analysis-research-database/","JELD-WEN Holding Inc.")</f>
        <v>JELD-WEN Holding Inc.</v>
      </c>
      <c r="C825" s="2" t="s">
        <v>17</v>
      </c>
      <c r="D825" s="4">
        <v>18.39</v>
      </c>
      <c r="E825" s="5">
        <v>0.0</v>
      </c>
      <c r="F825" s="5" t="s">
        <v>15</v>
      </c>
      <c r="G825" s="5" t="s">
        <v>15</v>
      </c>
      <c r="H825" s="4">
        <v>0.0</v>
      </c>
      <c r="I825" s="4">
        <v>1636.981802</v>
      </c>
      <c r="J825" s="6">
        <v>12.5131424011435</v>
      </c>
      <c r="K825" s="5">
        <v>0.0</v>
      </c>
      <c r="L825" s="7">
        <v>1.80434968075347</v>
      </c>
      <c r="M825" s="4">
        <v>19.69</v>
      </c>
      <c r="N825" s="2">
        <v>10.96</v>
      </c>
    </row>
    <row r="826">
      <c r="A826" s="2" t="s">
        <v>851</v>
      </c>
      <c r="B826" s="3" t="str">
        <f>HYPERLINK("https://www.suredividend.com/sure-analysis-JJSF/","J&amp;J Snack Foods Corp.")</f>
        <v>J&amp;J Snack Foods Corp.</v>
      </c>
      <c r="C826" s="2" t="s">
        <v>89</v>
      </c>
      <c r="D826" s="4">
        <v>155.53</v>
      </c>
      <c r="E826" s="5">
        <v>0.0189031055101909</v>
      </c>
      <c r="F826" s="5">
        <v>0.0499999999999998</v>
      </c>
      <c r="G826" s="5">
        <v>0.0800987586588894</v>
      </c>
      <c r="H826" s="4">
        <v>2.833602627074</v>
      </c>
      <c r="I826" s="4">
        <v>3146.003907</v>
      </c>
      <c r="J826" s="6">
        <v>39.8702748460193</v>
      </c>
      <c r="K826" s="5">
        <v>0.694510447812254</v>
      </c>
      <c r="L826" s="7">
        <v>0.406483488711851</v>
      </c>
      <c r="M826" s="4">
        <v>174.86</v>
      </c>
      <c r="N826" s="2">
        <v>129.17</v>
      </c>
    </row>
    <row r="827">
      <c r="A827" s="2" t="s">
        <v>852</v>
      </c>
      <c r="B827" s="3" t="str">
        <f>HYPERLINK("https://www.suredividend.com/sure-analysis-research-database/","John Marshall Bancorp Inc")</f>
        <v>John Marshall Bancorp Inc</v>
      </c>
      <c r="C827" s="2" t="s">
        <v>22</v>
      </c>
      <c r="D827" s="4">
        <v>17.68</v>
      </c>
      <c r="E827" s="5">
        <v>0.010294805746743</v>
      </c>
      <c r="F827" s="5" t="s">
        <v>15</v>
      </c>
      <c r="G827" s="5" t="s">
        <v>15</v>
      </c>
      <c r="H827" s="4">
        <v>0.219999998807907</v>
      </c>
      <c r="I827" s="4">
        <v>301.874415</v>
      </c>
      <c r="J827" s="6">
        <v>0.0</v>
      </c>
      <c r="K827" s="5" t="s">
        <v>15</v>
      </c>
      <c r="L827" s="7">
        <v>1.42367376083407</v>
      </c>
      <c r="M827" s="4">
        <v>27.59</v>
      </c>
      <c r="N827" s="2">
        <v>14.38</v>
      </c>
    </row>
    <row r="828">
      <c r="A828" s="2" t="s">
        <v>853</v>
      </c>
      <c r="B828" s="3" t="str">
        <f>HYPERLINK("https://www.suredividend.com/sure-analysis-research-database/","JOANN Inc")</f>
        <v>JOANN Inc</v>
      </c>
      <c r="C828" s="2" t="s">
        <v>15</v>
      </c>
      <c r="D828" s="4">
        <v>0.51</v>
      </c>
      <c r="E828" s="5">
        <v>0.0</v>
      </c>
      <c r="F828" s="5" t="s">
        <v>15</v>
      </c>
      <c r="G828" s="5" t="s">
        <v>15</v>
      </c>
      <c r="H828" s="4">
        <v>0.0</v>
      </c>
      <c r="I828" s="4">
        <v>19.283551</v>
      </c>
      <c r="J828" s="6" t="s">
        <v>15</v>
      </c>
      <c r="K828" s="5">
        <v>0.0</v>
      </c>
      <c r="L828" s="7">
        <v>0.891878334954125</v>
      </c>
      <c r="M828" s="4">
        <v>4.84</v>
      </c>
      <c r="N828" s="2">
        <v>0.3914</v>
      </c>
    </row>
    <row r="829">
      <c r="A829" s="2" t="s">
        <v>854</v>
      </c>
      <c r="B829" s="3" t="str">
        <f>HYPERLINK("https://www.suredividend.com/sure-analysis-research-database/","Joby Aviation Inc")</f>
        <v>Joby Aviation Inc</v>
      </c>
      <c r="C829" s="2" t="s">
        <v>15</v>
      </c>
      <c r="D829" s="4">
        <v>5.52</v>
      </c>
      <c r="E829" s="5">
        <v>0.0</v>
      </c>
      <c r="F829" s="5" t="s">
        <v>15</v>
      </c>
      <c r="G829" s="5" t="s">
        <v>15</v>
      </c>
      <c r="H829" s="4">
        <v>0.0</v>
      </c>
      <c r="I829" s="4">
        <v>4268.438198</v>
      </c>
      <c r="J829" s="6">
        <v>0.0</v>
      </c>
      <c r="K829" s="5" t="s">
        <v>15</v>
      </c>
      <c r="L829" s="7">
        <v>2.57898398632282</v>
      </c>
      <c r="M829" s="4">
        <v>11.98</v>
      </c>
      <c r="N829" s="2">
        <v>3.68</v>
      </c>
    </row>
    <row r="830">
      <c r="A830" s="2" t="s">
        <v>855</v>
      </c>
      <c r="B830" s="3" t="str">
        <f>HYPERLINK("https://www.suredividend.com/sure-analysis-research-database/","St. Joe Co.")</f>
        <v>St. Joe Co.</v>
      </c>
      <c r="C830" s="2" t="s">
        <v>20</v>
      </c>
      <c r="D830" s="4">
        <v>54.65</v>
      </c>
      <c r="E830" s="5">
        <v>0.007736955804612</v>
      </c>
      <c r="F830" s="5" t="s">
        <v>15</v>
      </c>
      <c r="G830" s="5" t="s">
        <v>15</v>
      </c>
      <c r="H830" s="4">
        <v>0.438608024563485</v>
      </c>
      <c r="I830" s="4">
        <v>3309.110948</v>
      </c>
      <c r="J830" s="6">
        <v>35.7143267778317</v>
      </c>
      <c r="K830" s="5">
        <v>0.275854103499047</v>
      </c>
      <c r="L830" s="7">
        <v>1.11316142465696</v>
      </c>
      <c r="M830" s="4">
        <v>65.7</v>
      </c>
      <c r="N830" s="2">
        <v>38.44</v>
      </c>
    </row>
    <row r="831">
      <c r="A831" s="2" t="s">
        <v>856</v>
      </c>
      <c r="B831" s="3" t="str">
        <f>HYPERLINK("https://www.suredividend.com/sure-analysis-research-database/","Johnson Outdoors Inc")</f>
        <v>Johnson Outdoors Inc</v>
      </c>
      <c r="C831" s="2" t="s">
        <v>25</v>
      </c>
      <c r="D831" s="4">
        <v>44.09</v>
      </c>
      <c r="E831" s="5">
        <v>0.0261343781381</v>
      </c>
      <c r="F831" s="5">
        <v>0.0645161290322582</v>
      </c>
      <c r="G831" s="5">
        <v>0.187072326995047</v>
      </c>
      <c r="H831" s="4">
        <v>1.25627955709847</v>
      </c>
      <c r="I831" s="4">
        <v>436.294857</v>
      </c>
      <c r="J831" s="6">
        <v>22.4755232227488</v>
      </c>
      <c r="K831" s="5">
        <v>0.661199766893934</v>
      </c>
      <c r="L831" s="7">
        <v>1.07306419801924</v>
      </c>
      <c r="M831" s="4">
        <v>68.93</v>
      </c>
      <c r="N831" s="2">
        <v>43.75</v>
      </c>
    </row>
    <row r="832">
      <c r="A832" s="2" t="s">
        <v>857</v>
      </c>
      <c r="B832" s="3" t="str">
        <f>HYPERLINK("https://www.suredividend.com/sure-analysis-research-database/","James River Group Holdings Ltd")</f>
        <v>James River Group Holdings Ltd</v>
      </c>
      <c r="C832" s="2" t="s">
        <v>22</v>
      </c>
      <c r="D832" s="4">
        <v>8.92</v>
      </c>
      <c r="E832" s="5">
        <v>0.020242040157547</v>
      </c>
      <c r="F832" s="5">
        <v>0.0</v>
      </c>
      <c r="G832" s="5">
        <v>-0.30117288122842</v>
      </c>
      <c r="H832" s="4">
        <v>0.197359891536088</v>
      </c>
      <c r="I832" s="4">
        <v>366.985788</v>
      </c>
      <c r="J832" s="6">
        <v>7.01720501740028</v>
      </c>
      <c r="K832" s="5">
        <v>0.143014414156585</v>
      </c>
      <c r="L832" s="7">
        <v>1.21605474763682</v>
      </c>
      <c r="M832" s="4">
        <v>24.29</v>
      </c>
      <c r="N832" s="2">
        <v>8.01</v>
      </c>
    </row>
    <row r="833">
      <c r="A833" s="2" t="s">
        <v>858</v>
      </c>
      <c r="B833" s="3" t="str">
        <f>HYPERLINK("https://www.suredividend.com/sure-analysis-JXN/","Jackson Financial Inc")</f>
        <v>Jackson Financial Inc</v>
      </c>
      <c r="C833" s="2" t="s">
        <v>15</v>
      </c>
      <c r="D833" s="4">
        <v>49.46</v>
      </c>
      <c r="E833" s="5">
        <v>0.0501415285078851</v>
      </c>
      <c r="F833" s="5" t="s">
        <v>15</v>
      </c>
      <c r="G833" s="5" t="s">
        <v>15</v>
      </c>
      <c r="H833" s="4">
        <v>2.42361027250322</v>
      </c>
      <c r="I833" s="4">
        <v>4037.808301</v>
      </c>
      <c r="J833" s="6">
        <v>2.29551353118248</v>
      </c>
      <c r="K833" s="5">
        <v>0.116407794068358</v>
      </c>
      <c r="L833" s="7">
        <v>1.65641317096526</v>
      </c>
      <c r="M833" s="4">
        <v>53.0</v>
      </c>
      <c r="N833" s="2">
        <v>25.39</v>
      </c>
    </row>
    <row r="834">
      <c r="A834" s="2" t="s">
        <v>859</v>
      </c>
      <c r="B834" s="3" t="str">
        <f>HYPERLINK("https://www.suredividend.com/sure-analysis-research-database/","Joint Corp")</f>
        <v>Joint Corp</v>
      </c>
      <c r="C834" s="2" t="s">
        <v>30</v>
      </c>
      <c r="D834" s="4">
        <v>9.51</v>
      </c>
      <c r="E834" s="5">
        <v>0.0</v>
      </c>
      <c r="F834" s="5" t="s">
        <v>15</v>
      </c>
      <c r="G834" s="5" t="s">
        <v>15</v>
      </c>
      <c r="H834" s="4">
        <v>0.0</v>
      </c>
      <c r="I834" s="4">
        <v>143.559213</v>
      </c>
      <c r="J834" s="6">
        <v>111.628104768947</v>
      </c>
      <c r="K834" s="5">
        <v>0.0</v>
      </c>
      <c r="L834" s="7">
        <v>1.32873613322491</v>
      </c>
      <c r="M834" s="4">
        <v>19.49</v>
      </c>
      <c r="N834" s="2">
        <v>7.31</v>
      </c>
    </row>
    <row r="835">
      <c r="A835" s="2" t="s">
        <v>860</v>
      </c>
      <c r="B835" s="3" t="str">
        <f>HYPERLINK("https://www.suredividend.com/sure-analysis-research-database/","Kadant, Inc.")</f>
        <v>Kadant, Inc.</v>
      </c>
      <c r="C835" s="2" t="s">
        <v>17</v>
      </c>
      <c r="D835" s="4">
        <v>292.12</v>
      </c>
      <c r="E835" s="5">
        <v>0.00415958668749</v>
      </c>
      <c r="F835" s="5">
        <v>0.115384615384615</v>
      </c>
      <c r="G835" s="5">
        <v>0.04745176373283</v>
      </c>
      <c r="H835" s="4">
        <v>1.15794574206369</v>
      </c>
      <c r="I835" s="4">
        <v>3259.021384</v>
      </c>
      <c r="J835" s="6">
        <v>28.4005628179029</v>
      </c>
      <c r="K835" s="5">
        <v>0.118278421048385</v>
      </c>
      <c r="L835" s="7">
        <v>0.981970589040776</v>
      </c>
      <c r="M835" s="4">
        <v>287.94</v>
      </c>
      <c r="N835" s="2">
        <v>182.51</v>
      </c>
    </row>
    <row r="836">
      <c r="A836" s="2" t="s">
        <v>861</v>
      </c>
      <c r="B836" s="3" t="str">
        <f>HYPERLINK("https://www.suredividend.com/sure-analysis-KALU/","Kaiser Aluminum Corp")</f>
        <v>Kaiser Aluminum Corp</v>
      </c>
      <c r="C836" s="2" t="s">
        <v>130</v>
      </c>
      <c r="D836" s="4">
        <v>63.2</v>
      </c>
      <c r="E836" s="5">
        <v>0.0487341772151898</v>
      </c>
      <c r="F836" s="5">
        <v>0.0</v>
      </c>
      <c r="G836" s="5">
        <v>0.0511577459500716</v>
      </c>
      <c r="H836" s="4">
        <v>2.98382447923991</v>
      </c>
      <c r="I836" s="4">
        <v>1100.834943</v>
      </c>
      <c r="J836" s="6">
        <v>83.3965865727272</v>
      </c>
      <c r="K836" s="5">
        <v>3.61631860288439</v>
      </c>
      <c r="L836" s="7">
        <v>2.1056662283744</v>
      </c>
      <c r="M836" s="4">
        <v>87.14</v>
      </c>
      <c r="N836" s="2">
        <v>52.43</v>
      </c>
    </row>
    <row r="837">
      <c r="A837" s="2" t="s">
        <v>862</v>
      </c>
      <c r="B837" s="3" t="str">
        <f>HYPERLINK("https://www.suredividend.com/sure-analysis-research-database/","KalVista Pharmaceuticals Inc")</f>
        <v>KalVista Pharmaceuticals Inc</v>
      </c>
      <c r="C837" s="2" t="s">
        <v>30</v>
      </c>
      <c r="D837" s="4">
        <v>15.85</v>
      </c>
      <c r="E837" s="5">
        <v>0.0</v>
      </c>
      <c r="F837" s="5" t="s">
        <v>15</v>
      </c>
      <c r="G837" s="5" t="s">
        <v>15</v>
      </c>
      <c r="H837" s="4">
        <v>0.0</v>
      </c>
      <c r="I837" s="4">
        <v>495.2263</v>
      </c>
      <c r="J837" s="6" t="s">
        <v>15</v>
      </c>
      <c r="K837" s="5">
        <v>0.0</v>
      </c>
      <c r="L837" s="7">
        <v>1.19421653680456</v>
      </c>
      <c r="M837" s="4">
        <v>14.56</v>
      </c>
      <c r="N837" s="2">
        <v>6.26</v>
      </c>
    </row>
    <row r="838">
      <c r="A838" s="2" t="s">
        <v>863</v>
      </c>
      <c r="B838" s="3" t="str">
        <f>HYPERLINK("https://www.suredividend.com/sure-analysis-research-database/","Kaman Corp.")</f>
        <v>Kaman Corp.</v>
      </c>
      <c r="C838" s="2" t="s">
        <v>17</v>
      </c>
      <c r="D838" s="4">
        <v>45.06</v>
      </c>
      <c r="E838" s="5">
        <v>0.017518606429116</v>
      </c>
      <c r="F838" s="5">
        <v>0.0</v>
      </c>
      <c r="G838" s="5">
        <v>0.0</v>
      </c>
      <c r="H838" s="4">
        <v>0.789388405695991</v>
      </c>
      <c r="I838" s="4">
        <v>1273.232888</v>
      </c>
      <c r="J838" s="6" t="s">
        <v>15</v>
      </c>
      <c r="K838" s="5" t="s">
        <v>15</v>
      </c>
      <c r="L838" s="7">
        <v>2.03673960057462</v>
      </c>
      <c r="M838" s="4">
        <v>45.27</v>
      </c>
      <c r="N838" s="2">
        <v>17.91</v>
      </c>
    </row>
    <row r="839">
      <c r="A839" s="2" t="s">
        <v>864</v>
      </c>
      <c r="B839" s="3" t="str">
        <f>HYPERLINK("https://www.suredividend.com/sure-analysis-research-database/","Openlane Inc.")</f>
        <v>Openlane Inc.</v>
      </c>
      <c r="C839" s="2" t="s">
        <v>25</v>
      </c>
      <c r="D839" s="4">
        <v>14.17</v>
      </c>
      <c r="E839" s="5">
        <v>0.0</v>
      </c>
      <c r="F839" s="5" t="s">
        <v>15</v>
      </c>
      <c r="G839" s="5" t="s">
        <v>15</v>
      </c>
      <c r="H839" s="4">
        <v>0.0</v>
      </c>
      <c r="I839" s="4">
        <v>1586.791148</v>
      </c>
      <c r="J839" s="6">
        <v>27.3113794839931</v>
      </c>
      <c r="K839" s="5">
        <v>0.0</v>
      </c>
      <c r="L839" s="7">
        <v>1.13321493879301</v>
      </c>
      <c r="M839" s="4">
        <v>16.49</v>
      </c>
      <c r="N839" s="2">
        <v>12.19</v>
      </c>
    </row>
    <row r="840">
      <c r="A840" s="2" t="s">
        <v>865</v>
      </c>
      <c r="B840" s="3" t="str">
        <f>HYPERLINK("https://www.suredividend.com/sure-analysis-research-database/","KB Home")</f>
        <v>KB Home</v>
      </c>
      <c r="C840" s="2" t="s">
        <v>25</v>
      </c>
      <c r="D840" s="4">
        <v>59.0</v>
      </c>
      <c r="E840" s="5">
        <v>0.011483310790798</v>
      </c>
      <c r="F840" s="5">
        <v>0.333333333333333</v>
      </c>
      <c r="G840" s="5">
        <v>-0.043647500209963</v>
      </c>
      <c r="H840" s="4">
        <v>0.696462799461936</v>
      </c>
      <c r="I840" s="4">
        <v>4601.335248</v>
      </c>
      <c r="J840" s="6">
        <v>7.85340789891842</v>
      </c>
      <c r="K840" s="5">
        <v>0.0990700994967192</v>
      </c>
      <c r="L840" s="7">
        <v>1.39417312112016</v>
      </c>
      <c r="M840" s="4">
        <v>64.0</v>
      </c>
      <c r="N840" s="2">
        <v>33.55</v>
      </c>
    </row>
    <row r="841">
      <c r="A841" s="2" t="s">
        <v>866</v>
      </c>
      <c r="B841" s="3" t="str">
        <f>HYPERLINK("https://www.suredividend.com/sure-analysis-research-database/","Chinook Therapeutics Inc")</f>
        <v>Chinook Therapeutics Inc</v>
      </c>
      <c r="C841" s="2" t="s">
        <v>15</v>
      </c>
      <c r="D841" s="4">
        <v>40.39</v>
      </c>
      <c r="E841" s="5">
        <v>0.0</v>
      </c>
      <c r="F841" s="5" t="s">
        <v>15</v>
      </c>
      <c r="G841" s="5" t="s">
        <v>15</v>
      </c>
      <c r="H841" s="4">
        <v>0.0</v>
      </c>
      <c r="I841" s="4">
        <v>0.0</v>
      </c>
      <c r="J841" s="6">
        <v>0.0</v>
      </c>
      <c r="K841" s="5" t="s">
        <v>15</v>
      </c>
      <c r="L841" s="7"/>
      <c r="M841" s="4" t="s">
        <v>49</v>
      </c>
      <c r="N841" s="2" t="s">
        <v>49</v>
      </c>
    </row>
    <row r="842">
      <c r="A842" s="2" t="s">
        <v>867</v>
      </c>
      <c r="B842" s="3" t="str">
        <f>HYPERLINK("https://www.suredividend.com/sure-analysis-research-database/","Kimball Electronics Inc")</f>
        <v>Kimball Electronics Inc</v>
      </c>
      <c r="C842" s="2" t="s">
        <v>17</v>
      </c>
      <c r="D842" s="4">
        <v>23.49</v>
      </c>
      <c r="E842" s="5">
        <v>0.0</v>
      </c>
      <c r="F842" s="5" t="s">
        <v>15</v>
      </c>
      <c r="G842" s="5" t="s">
        <v>15</v>
      </c>
      <c r="H842" s="4">
        <v>0.0</v>
      </c>
      <c r="I842" s="4">
        <v>611.687544</v>
      </c>
      <c r="J842" s="6">
        <v>10.7170709888569</v>
      </c>
      <c r="K842" s="5">
        <v>0.0</v>
      </c>
      <c r="L842" s="7">
        <v>1.30018269231998</v>
      </c>
      <c r="M842" s="4">
        <v>31.43</v>
      </c>
      <c r="N842" s="2">
        <v>19.52</v>
      </c>
    </row>
    <row r="843">
      <c r="A843" s="2" t="s">
        <v>868</v>
      </c>
      <c r="B843" s="3" t="str">
        <f>HYPERLINK("https://www.suredividend.com/sure-analysis-research-database/","Kelly Services, Inc.")</f>
        <v>Kelly Services, Inc.</v>
      </c>
      <c r="C843" s="2" t="s">
        <v>17</v>
      </c>
      <c r="D843" s="4">
        <v>21.02</v>
      </c>
      <c r="E843" s="5">
        <v>0.014175718243054</v>
      </c>
      <c r="F843" s="5" t="s">
        <v>15</v>
      </c>
      <c r="G843" s="5" t="s">
        <v>15</v>
      </c>
      <c r="H843" s="4">
        <v>0.296556025644698</v>
      </c>
      <c r="I843" s="4">
        <v>738.228163</v>
      </c>
      <c r="J843" s="6">
        <v>31.2808543644067</v>
      </c>
      <c r="K843" s="5">
        <v>0.462718092751908</v>
      </c>
      <c r="L843" s="7">
        <v>0.855296296145583</v>
      </c>
      <c r="M843" s="4">
        <v>22.43</v>
      </c>
      <c r="N843" s="2">
        <v>14.87</v>
      </c>
    </row>
    <row r="844">
      <c r="A844" s="2" t="s">
        <v>869</v>
      </c>
      <c r="B844" s="3" t="str">
        <f>HYPERLINK("https://www.suredividend.com/sure-analysis-research-database/","Kforce Inc.")</f>
        <v>Kforce Inc.</v>
      </c>
      <c r="C844" s="2" t="s">
        <v>17</v>
      </c>
      <c r="D844" s="4">
        <v>68.52</v>
      </c>
      <c r="E844" s="5">
        <v>0.020084923031543</v>
      </c>
      <c r="F844" s="5">
        <v>0.199999999999999</v>
      </c>
      <c r="G844" s="5">
        <v>0.148698354997035</v>
      </c>
      <c r="H844" s="4">
        <v>1.4155853752632</v>
      </c>
      <c r="I844" s="4">
        <v>1392.61432</v>
      </c>
      <c r="J844" s="6">
        <v>26.5608956533348</v>
      </c>
      <c r="K844" s="5">
        <v>0.532174953106466</v>
      </c>
      <c r="L844" s="7">
        <v>0.762467184950785</v>
      </c>
      <c r="M844" s="4">
        <v>71.69</v>
      </c>
      <c r="N844" s="2">
        <v>49.13</v>
      </c>
    </row>
    <row r="845">
      <c r="A845" s="2" t="s">
        <v>870</v>
      </c>
      <c r="B845" s="3" t="str">
        <f>HYPERLINK("https://www.suredividend.com/sure-analysis-research-database/","Korn Ferry")</f>
        <v>Korn Ferry</v>
      </c>
      <c r="C845" s="2" t="s">
        <v>17</v>
      </c>
      <c r="D845" s="4">
        <v>59.01</v>
      </c>
      <c r="E845" s="5">
        <v>0.014248745548666</v>
      </c>
      <c r="F845" s="5">
        <v>1.2</v>
      </c>
      <c r="G845" s="5">
        <v>0.269704877690004</v>
      </c>
      <c r="H845" s="4">
        <v>0.835403951518301</v>
      </c>
      <c r="I845" s="4">
        <v>3080.486217</v>
      </c>
      <c r="J845" s="6">
        <v>30.4736139897316</v>
      </c>
      <c r="K845" s="5">
        <v>0.426226505876684</v>
      </c>
      <c r="L845" s="7">
        <v>1.07595914227516</v>
      </c>
      <c r="M845" s="4">
        <v>60.22</v>
      </c>
      <c r="N845" s="2">
        <v>44.11</v>
      </c>
    </row>
    <row r="846">
      <c r="A846" s="2" t="s">
        <v>871</v>
      </c>
      <c r="B846" s="3" t="str">
        <f>HYPERLINK("https://www.suredividend.com/sure-analysis-research-database/","OrthoPediatrics corp")</f>
        <v>OrthoPediatrics corp</v>
      </c>
      <c r="C846" s="2" t="s">
        <v>30</v>
      </c>
      <c r="D846" s="4">
        <v>26.25</v>
      </c>
      <c r="E846" s="5">
        <v>0.0</v>
      </c>
      <c r="F846" s="5" t="s">
        <v>15</v>
      </c>
      <c r="G846" s="5" t="s">
        <v>15</v>
      </c>
      <c r="H846" s="4">
        <v>0.0</v>
      </c>
      <c r="I846" s="4">
        <v>640.583323</v>
      </c>
      <c r="J846" s="6" t="s">
        <v>15</v>
      </c>
      <c r="K846" s="5">
        <v>0.0</v>
      </c>
      <c r="L846" s="7">
        <v>1.54656552862431</v>
      </c>
      <c r="M846" s="4">
        <v>53.5</v>
      </c>
      <c r="N846" s="2">
        <v>23.1</v>
      </c>
    </row>
    <row r="847">
      <c r="A847" s="2" t="s">
        <v>872</v>
      </c>
      <c r="B847" s="3" t="str">
        <f>HYPERLINK("https://www.suredividend.com/sure-analysis-KLIC/","Kulicke &amp; Soffa Industries, Inc.")</f>
        <v>Kulicke &amp; Soffa Industries, Inc.</v>
      </c>
      <c r="C847" s="2" t="s">
        <v>40</v>
      </c>
      <c r="D847" s="4">
        <v>46.89</v>
      </c>
      <c r="E847" s="5">
        <v>0.0170612070804009</v>
      </c>
      <c r="F847" s="5">
        <v>0.0526315789473683</v>
      </c>
      <c r="G847" s="5">
        <v>0.10756634324829</v>
      </c>
      <c r="H847" s="4">
        <v>0.763102874213931</v>
      </c>
      <c r="I847" s="4">
        <v>3031.612944</v>
      </c>
      <c r="J847" s="6">
        <v>53.0484521509064</v>
      </c>
      <c r="K847" s="5">
        <v>0.768482249963676</v>
      </c>
      <c r="L847" s="7">
        <v>1.40777114793025</v>
      </c>
      <c r="M847" s="4">
        <v>59.53</v>
      </c>
      <c r="N847" s="2">
        <v>39.91</v>
      </c>
    </row>
    <row r="848">
      <c r="A848" s="2" t="s">
        <v>873</v>
      </c>
      <c r="B848" s="3" t="str">
        <f>HYPERLINK("https://www.suredividend.com/sure-analysis-research-database/","Kaleyra Inc")</f>
        <v>Kaleyra Inc</v>
      </c>
      <c r="C848" s="2" t="s">
        <v>114</v>
      </c>
      <c r="D848" s="4">
        <v>7.24</v>
      </c>
      <c r="E848" s="5">
        <v>0.0</v>
      </c>
      <c r="F848" s="5" t="s">
        <v>15</v>
      </c>
      <c r="G848" s="5" t="s">
        <v>15</v>
      </c>
      <c r="H848" s="4">
        <v>0.0</v>
      </c>
      <c r="I848" s="4">
        <v>96.479661</v>
      </c>
      <c r="J848" s="6">
        <v>0.0</v>
      </c>
      <c r="K848" s="5" t="s">
        <v>15</v>
      </c>
      <c r="L848" s="7"/>
      <c r="M848" s="4">
        <v>7.25</v>
      </c>
      <c r="N848" s="2">
        <v>1.57</v>
      </c>
    </row>
    <row r="849">
      <c r="A849" s="2" t="s">
        <v>874</v>
      </c>
      <c r="B849" s="3" t="str">
        <f>HYPERLINK("https://www.suredividend.com/sure-analysis-research-database/","Kennametal Inc.")</f>
        <v>Kennametal Inc.</v>
      </c>
      <c r="C849" s="2" t="s">
        <v>17</v>
      </c>
      <c r="D849" s="4">
        <v>24.59</v>
      </c>
      <c r="E849" s="5">
        <v>0.031189453075291</v>
      </c>
      <c r="F849" s="5">
        <v>0.0</v>
      </c>
      <c r="G849" s="5">
        <v>0.0</v>
      </c>
      <c r="H849" s="4">
        <v>0.790652635458641</v>
      </c>
      <c r="I849" s="4">
        <v>2017.943782</v>
      </c>
      <c r="J849" s="6">
        <v>16.7714742499168</v>
      </c>
      <c r="K849" s="5">
        <v>0.534224753688271</v>
      </c>
      <c r="L849" s="7">
        <v>1.31338719577813</v>
      </c>
      <c r="M849" s="4">
        <v>30.12</v>
      </c>
      <c r="N849" s="2">
        <v>21.89</v>
      </c>
    </row>
    <row r="850">
      <c r="A850" s="2" t="s">
        <v>875</v>
      </c>
      <c r="B850" s="3" t="str">
        <f>HYPERLINK("https://www.suredividend.com/sure-analysis-research-database/","Knowles Corp")</f>
        <v>Knowles Corp</v>
      </c>
      <c r="C850" s="2" t="s">
        <v>40</v>
      </c>
      <c r="D850" s="4">
        <v>16.39</v>
      </c>
      <c r="E850" s="5">
        <v>0.0</v>
      </c>
      <c r="F850" s="5" t="s">
        <v>15</v>
      </c>
      <c r="G850" s="5" t="s">
        <v>15</v>
      </c>
      <c r="H850" s="4">
        <v>0.0</v>
      </c>
      <c r="I850" s="4">
        <v>1552.257</v>
      </c>
      <c r="J850" s="6" t="s">
        <v>15</v>
      </c>
      <c r="K850" s="5">
        <v>0.0</v>
      </c>
      <c r="L850" s="7">
        <v>1.20878423682648</v>
      </c>
      <c r="M850" s="4">
        <v>20.25</v>
      </c>
      <c r="N850" s="2">
        <v>12.78</v>
      </c>
    </row>
    <row r="851">
      <c r="A851" s="2" t="s">
        <v>876</v>
      </c>
      <c r="B851" s="3" t="str">
        <f>HYPERLINK("https://www.suredividend.com/sure-analysis-research-database/","Kiniksa Pharmaceuticals Ltd")</f>
        <v>Kiniksa Pharmaceuticals Ltd</v>
      </c>
      <c r="C851" s="2" t="s">
        <v>30</v>
      </c>
      <c r="D851" s="4">
        <v>18.49</v>
      </c>
      <c r="E851" s="5">
        <v>0.0</v>
      </c>
      <c r="F851" s="5" t="s">
        <v>15</v>
      </c>
      <c r="G851" s="5" t="s">
        <v>15</v>
      </c>
      <c r="H851" s="4">
        <v>0.0</v>
      </c>
      <c r="I851" s="4">
        <v>651.184567</v>
      </c>
      <c r="J851" s="6" t="s">
        <v>15</v>
      </c>
      <c r="K851" s="5">
        <v>0.0</v>
      </c>
      <c r="L851" s="7">
        <v>0.779370449127612</v>
      </c>
      <c r="M851" s="4">
        <v>20.65</v>
      </c>
      <c r="N851" s="2">
        <v>10.29</v>
      </c>
    </row>
    <row r="852">
      <c r="A852" s="2" t="s">
        <v>877</v>
      </c>
      <c r="B852" s="3" t="str">
        <f>HYPERLINK("https://www.suredividend.com/sure-analysis-research-database/","Kinsale Capital Group Inc")</f>
        <v>Kinsale Capital Group Inc</v>
      </c>
      <c r="C852" s="2" t="s">
        <v>22</v>
      </c>
      <c r="D852" s="4">
        <v>394.4</v>
      </c>
      <c r="E852" s="5">
        <v>0.001408164895553</v>
      </c>
      <c r="F852" s="5">
        <v>0.0769230769230771</v>
      </c>
      <c r="G852" s="5">
        <v>0.118426914720144</v>
      </c>
      <c r="H852" s="4">
        <v>0.559675137737929</v>
      </c>
      <c r="I852" s="4">
        <v>9210.294857</v>
      </c>
      <c r="J852" s="6">
        <v>33.8669811424684</v>
      </c>
      <c r="K852" s="5">
        <v>0.0479173919296172</v>
      </c>
      <c r="L852" s="7">
        <v>0.886007626767538</v>
      </c>
      <c r="M852" s="4">
        <v>457.56</v>
      </c>
      <c r="N852" s="2">
        <v>264.14</v>
      </c>
    </row>
    <row r="853">
      <c r="A853" s="2" t="s">
        <v>878</v>
      </c>
      <c r="B853" s="3" t="str">
        <f>HYPERLINK("https://www.suredividend.com/sure-analysis-research-database/","Kinnate Biopharma Inc")</f>
        <v>Kinnate Biopharma Inc</v>
      </c>
      <c r="C853" s="2" t="s">
        <v>15</v>
      </c>
      <c r="D853" s="4">
        <v>2.29</v>
      </c>
      <c r="E853" s="5">
        <v>0.0</v>
      </c>
      <c r="F853" s="5" t="s">
        <v>15</v>
      </c>
      <c r="G853" s="5" t="s">
        <v>15</v>
      </c>
      <c r="H853" s="4">
        <v>0.0</v>
      </c>
      <c r="I853" s="4">
        <v>114.012729</v>
      </c>
      <c r="J853" s="6">
        <v>0.0</v>
      </c>
      <c r="K853" s="5" t="s">
        <v>15</v>
      </c>
      <c r="L853" s="7">
        <v>2.5000635098847</v>
      </c>
      <c r="M853" s="4">
        <v>8.17</v>
      </c>
      <c r="N853" s="2">
        <v>1.04</v>
      </c>
    </row>
    <row r="854">
      <c r="A854" s="2" t="s">
        <v>879</v>
      </c>
      <c r="B854" s="3" t="str">
        <f>HYPERLINK("https://www.suredividend.com/sure-analysis-research-database/","Kinetik Holdings Inc")</f>
        <v>Kinetik Holdings Inc</v>
      </c>
      <c r="C854" s="2" t="s">
        <v>15</v>
      </c>
      <c r="D854" s="4">
        <v>32.38</v>
      </c>
      <c r="E854" s="5">
        <v>0.08636630853712</v>
      </c>
      <c r="F854" s="5" t="s">
        <v>15</v>
      </c>
      <c r="G854" s="5" t="s">
        <v>15</v>
      </c>
      <c r="H854" s="4">
        <v>2.90190796684725</v>
      </c>
      <c r="I854" s="4">
        <v>1918.443677</v>
      </c>
      <c r="J854" s="6">
        <v>47.5356478715496</v>
      </c>
      <c r="K854" s="5">
        <v>3.56894350860564</v>
      </c>
      <c r="L854" s="7">
        <v>0.915431975495784</v>
      </c>
      <c r="M854" s="4">
        <v>37.17</v>
      </c>
      <c r="N854" s="2">
        <v>25.2</v>
      </c>
    </row>
    <row r="855">
      <c r="A855" s="2" t="s">
        <v>880</v>
      </c>
      <c r="B855" s="3" t="str">
        <f>HYPERLINK("https://www.suredividend.com/sure-analysis-research-database/","Kodiak Sciences Inc")</f>
        <v>Kodiak Sciences Inc</v>
      </c>
      <c r="C855" s="2" t="s">
        <v>30</v>
      </c>
      <c r="D855" s="4">
        <v>4.19</v>
      </c>
      <c r="E855" s="5">
        <v>0.0</v>
      </c>
      <c r="F855" s="5" t="s">
        <v>15</v>
      </c>
      <c r="G855" s="5" t="s">
        <v>15</v>
      </c>
      <c r="H855" s="4">
        <v>0.0</v>
      </c>
      <c r="I855" s="4">
        <v>250.817551</v>
      </c>
      <c r="J855" s="6">
        <v>0.0</v>
      </c>
      <c r="K855" s="5" t="s">
        <v>15</v>
      </c>
      <c r="L855" s="7">
        <v>2.15227393975762</v>
      </c>
      <c r="M855" s="4">
        <v>9.8</v>
      </c>
      <c r="N855" s="2">
        <v>1.37</v>
      </c>
    </row>
    <row r="856">
      <c r="A856" s="2" t="s">
        <v>881</v>
      </c>
      <c r="B856" s="3" t="str">
        <f>HYPERLINK("https://www.suredividend.com/sure-analysis-research-database/","Eastman Kodak Co.")</f>
        <v>Eastman Kodak Co.</v>
      </c>
      <c r="C856" s="2" t="s">
        <v>17</v>
      </c>
      <c r="D856" s="4">
        <v>3.37</v>
      </c>
      <c r="E856" s="5">
        <v>0.0</v>
      </c>
      <c r="F856" s="5" t="s">
        <v>15</v>
      </c>
      <c r="G856" s="5" t="s">
        <v>15</v>
      </c>
      <c r="H856" s="4">
        <v>0.0</v>
      </c>
      <c r="I856" s="4">
        <v>292.754915</v>
      </c>
      <c r="J856" s="6">
        <v>0.0</v>
      </c>
      <c r="K856" s="5" t="s">
        <v>15</v>
      </c>
      <c r="L856" s="7">
        <v>1.49660916411857</v>
      </c>
      <c r="M856" s="4">
        <v>6.34</v>
      </c>
      <c r="N856" s="2">
        <v>3.17</v>
      </c>
    </row>
    <row r="857">
      <c r="A857" s="2" t="s">
        <v>882</v>
      </c>
      <c r="B857" s="3" t="str">
        <f>HYPERLINK("https://www.suredividend.com/sure-analysis-research-database/","Koppers Holdings Inc")</f>
        <v>Koppers Holdings Inc</v>
      </c>
      <c r="C857" s="2" t="s">
        <v>130</v>
      </c>
      <c r="D857" s="4">
        <v>50.28</v>
      </c>
      <c r="E857" s="5">
        <v>0.004639408993673</v>
      </c>
      <c r="F857" s="5" t="s">
        <v>15</v>
      </c>
      <c r="G857" s="5" t="s">
        <v>15</v>
      </c>
      <c r="H857" s="4">
        <v>0.239439898163508</v>
      </c>
      <c r="I857" s="4">
        <v>1074.678436</v>
      </c>
      <c r="J857" s="6">
        <v>11.9276186044395</v>
      </c>
      <c r="K857" s="5">
        <v>0.0568740850744674</v>
      </c>
      <c r="L857" s="7">
        <v>1.25767902777871</v>
      </c>
      <c r="M857" s="4">
        <v>53.16</v>
      </c>
      <c r="N857" s="2">
        <v>28.36</v>
      </c>
    </row>
    <row r="858">
      <c r="A858" s="2" t="s">
        <v>883</v>
      </c>
      <c r="B858" s="3" t="str">
        <f>HYPERLINK("https://www.suredividend.com/sure-analysis-research-database/","Kore Group Holdings Inc")</f>
        <v>Kore Group Holdings Inc</v>
      </c>
      <c r="C858" s="2" t="s">
        <v>15</v>
      </c>
      <c r="D858" s="4">
        <v>0.916</v>
      </c>
      <c r="E858" s="5">
        <v>0.0</v>
      </c>
      <c r="F858" s="5" t="s">
        <v>15</v>
      </c>
      <c r="G858" s="5" t="s">
        <v>15</v>
      </c>
      <c r="H858" s="4">
        <v>0.0</v>
      </c>
      <c r="I858" s="4">
        <v>78.039524</v>
      </c>
      <c r="J858" s="6">
        <v>0.0</v>
      </c>
      <c r="K858" s="5" t="s">
        <v>15</v>
      </c>
      <c r="L858" s="7">
        <v>0.833146641062478</v>
      </c>
      <c r="M858" s="4">
        <v>2.56</v>
      </c>
      <c r="N858" s="2">
        <v>0.12</v>
      </c>
    </row>
    <row r="859">
      <c r="A859" s="2" t="s">
        <v>884</v>
      </c>
      <c r="B859" s="3" t="str">
        <f>HYPERLINK("https://www.suredividend.com/sure-analysis-research-database/","Kosmos Energy Ltd")</f>
        <v>Kosmos Energy Ltd</v>
      </c>
      <c r="C859" s="2" t="s">
        <v>125</v>
      </c>
      <c r="D859" s="4">
        <v>5.43</v>
      </c>
      <c r="E859" s="5">
        <v>0.0</v>
      </c>
      <c r="F859" s="5" t="s">
        <v>15</v>
      </c>
      <c r="G859" s="5" t="s">
        <v>15</v>
      </c>
      <c r="H859" s="4">
        <v>0.0</v>
      </c>
      <c r="I859" s="4">
        <v>2871.209397</v>
      </c>
      <c r="J859" s="6">
        <v>37.017771316736</v>
      </c>
      <c r="K859" s="5">
        <v>0.0</v>
      </c>
      <c r="L859" s="7">
        <v>1.08169257058954</v>
      </c>
      <c r="M859" s="4">
        <v>8.55</v>
      </c>
      <c r="N859" s="2">
        <v>5.28</v>
      </c>
    </row>
    <row r="860">
      <c r="A860" s="2" t="s">
        <v>885</v>
      </c>
      <c r="B860" s="3" t="str">
        <f>HYPERLINK("https://www.suredividend.com/sure-analysis-research-database/","Karyopharm Therapeutics Inc")</f>
        <v>Karyopharm Therapeutics Inc</v>
      </c>
      <c r="C860" s="2" t="s">
        <v>30</v>
      </c>
      <c r="D860" s="4">
        <v>1.35</v>
      </c>
      <c r="E860" s="5">
        <v>0.0</v>
      </c>
      <c r="F860" s="5" t="s">
        <v>15</v>
      </c>
      <c r="G860" s="5" t="s">
        <v>15</v>
      </c>
      <c r="H860" s="4">
        <v>0.0</v>
      </c>
      <c r="I860" s="4">
        <v>103.653262</v>
      </c>
      <c r="J860" s="6" t="s">
        <v>15</v>
      </c>
      <c r="K860" s="5">
        <v>0.0</v>
      </c>
      <c r="L860" s="7">
        <v>1.7044926738325</v>
      </c>
      <c r="M860" s="4">
        <v>4.87</v>
      </c>
      <c r="N860" s="2">
        <v>0.6174</v>
      </c>
    </row>
    <row r="861">
      <c r="A861" s="2" t="s">
        <v>886</v>
      </c>
      <c r="B861" s="3" t="str">
        <f>HYPERLINK("https://www.suredividend.com/sure-analysis-KREF/","KKR Real Estate Finance Trust Inc")</f>
        <v>KKR Real Estate Finance Trust Inc</v>
      </c>
      <c r="C861" s="2" t="s">
        <v>20</v>
      </c>
      <c r="D861" s="4">
        <v>11.79</v>
      </c>
      <c r="E861" s="5">
        <v>0.145886344359626</v>
      </c>
      <c r="F861" s="5">
        <v>0.0</v>
      </c>
      <c r="G861" s="5">
        <v>0.0</v>
      </c>
      <c r="H861" s="4">
        <v>1.63672505938521</v>
      </c>
      <c r="I861" s="4">
        <v>908.704705</v>
      </c>
      <c r="J861" s="6" t="s">
        <v>15</v>
      </c>
      <c r="K861" s="5" t="s">
        <v>15</v>
      </c>
      <c r="L861" s="7">
        <v>1.55062222594749</v>
      </c>
      <c r="M861" s="4">
        <v>14.27</v>
      </c>
      <c r="N861" s="2">
        <v>8.77</v>
      </c>
    </row>
    <row r="862">
      <c r="A862" s="2" t="s">
        <v>887</v>
      </c>
      <c r="B862" s="3" t="str">
        <f>HYPERLINK("https://www.suredividend.com/sure-analysis-KRG/","Kite Realty Group Trust")</f>
        <v>Kite Realty Group Trust</v>
      </c>
      <c r="C862" s="2" t="s">
        <v>20</v>
      </c>
      <c r="D862" s="4">
        <v>21.09</v>
      </c>
      <c r="E862" s="5">
        <v>0.0474158368895211</v>
      </c>
      <c r="F862" s="5">
        <v>0.0416666666666667</v>
      </c>
      <c r="G862" s="5">
        <v>-0.0466787894219782</v>
      </c>
      <c r="H862" s="4">
        <v>0.953990768868633</v>
      </c>
      <c r="I862" s="4">
        <v>4758.511513</v>
      </c>
      <c r="J862" s="6">
        <v>123.942164276039</v>
      </c>
      <c r="K862" s="5">
        <v>5.45761309421414</v>
      </c>
      <c r="L862" s="7">
        <v>1.1355462107479</v>
      </c>
      <c r="M862" s="4">
        <v>23.71</v>
      </c>
      <c r="N862" s="2">
        <v>17.94</v>
      </c>
    </row>
    <row r="863">
      <c r="A863" s="2" t="s">
        <v>888</v>
      </c>
      <c r="B863" s="3" t="str">
        <f>HYPERLINK("https://www.suredividend.com/sure-analysis-research-database/","Kearny Financial Corp.")</f>
        <v>Kearny Financial Corp.</v>
      </c>
      <c r="C863" s="2" t="s">
        <v>22</v>
      </c>
      <c r="D863" s="4">
        <v>7.02</v>
      </c>
      <c r="E863" s="5">
        <v>0.054090346251995</v>
      </c>
      <c r="F863" s="5">
        <v>0.0</v>
      </c>
      <c r="G863" s="5">
        <v>0.128881320730197</v>
      </c>
      <c r="H863" s="4">
        <v>0.424609218078164</v>
      </c>
      <c r="I863" s="4">
        <v>506.631519</v>
      </c>
      <c r="J863" s="6">
        <v>14.8493909065595</v>
      </c>
      <c r="K863" s="5">
        <v>0.798137627966473</v>
      </c>
      <c r="L863" s="7">
        <v>1.3221186528971</v>
      </c>
      <c r="M863" s="4">
        <v>9.55</v>
      </c>
      <c r="N863" s="2">
        <v>6.26</v>
      </c>
    </row>
    <row r="864">
      <c r="A864" s="2" t="s">
        <v>889</v>
      </c>
      <c r="B864" s="3" t="str">
        <f>HYPERLINK("https://www.suredividend.com/sure-analysis-KRO/","Kronos Worldwide, Inc.")</f>
        <v>Kronos Worldwide, Inc.</v>
      </c>
      <c r="C864" s="2" t="s">
        <v>130</v>
      </c>
      <c r="D864" s="4">
        <v>9.02</v>
      </c>
      <c r="E864" s="5">
        <v>0.0842572062084257</v>
      </c>
      <c r="F864" s="5">
        <v>0.0</v>
      </c>
      <c r="G864" s="5">
        <v>0.0108721208503508</v>
      </c>
      <c r="H864" s="4">
        <v>0.735316156618646</v>
      </c>
      <c r="I864" s="4">
        <v>1108.860434</v>
      </c>
      <c r="J864" s="6" t="s">
        <v>15</v>
      </c>
      <c r="K864" s="5" t="s">
        <v>15</v>
      </c>
      <c r="L864" s="7">
        <v>1.52568255967218</v>
      </c>
      <c r="M864" s="4">
        <v>11.05</v>
      </c>
      <c r="N864" s="2">
        <v>6.03</v>
      </c>
    </row>
    <row r="865">
      <c r="A865" s="2" t="s">
        <v>890</v>
      </c>
      <c r="B865" s="3" t="str">
        <f>HYPERLINK("https://www.suredividend.com/sure-analysis-research-database/","Kronos Bio Inc")</f>
        <v>Kronos Bio Inc</v>
      </c>
      <c r="C865" s="2" t="s">
        <v>15</v>
      </c>
      <c r="D865" s="4">
        <v>1.05</v>
      </c>
      <c r="E865" s="5">
        <v>0.0</v>
      </c>
      <c r="F865" s="5" t="s">
        <v>15</v>
      </c>
      <c r="G865" s="5" t="s">
        <v>15</v>
      </c>
      <c r="H865" s="4">
        <v>0.0</v>
      </c>
      <c r="I865" s="4">
        <v>68.813494</v>
      </c>
      <c r="J865" s="6">
        <v>0.0</v>
      </c>
      <c r="K865" s="5" t="s">
        <v>15</v>
      </c>
      <c r="L865" s="7">
        <v>1.79379082422854</v>
      </c>
      <c r="M865" s="4">
        <v>2.82</v>
      </c>
      <c r="N865" s="2">
        <v>0.731</v>
      </c>
    </row>
    <row r="866">
      <c r="A866" s="2" t="s">
        <v>891</v>
      </c>
      <c r="B866" s="3" t="str">
        <f>HYPERLINK("https://www.suredividend.com/sure-analysis-research-database/","Keros Therapeutics Inc")</f>
        <v>Keros Therapeutics Inc</v>
      </c>
      <c r="C866" s="2" t="s">
        <v>30</v>
      </c>
      <c r="D866" s="4">
        <v>53.59</v>
      </c>
      <c r="E866" s="5">
        <v>0.0</v>
      </c>
      <c r="F866" s="5" t="s">
        <v>15</v>
      </c>
      <c r="G866" s="5" t="s">
        <v>15</v>
      </c>
      <c r="H866" s="4">
        <v>0.0</v>
      </c>
      <c r="I866" s="4">
        <v>1748.129706</v>
      </c>
      <c r="J866" s="6">
        <v>0.0</v>
      </c>
      <c r="K866" s="5" t="s">
        <v>15</v>
      </c>
      <c r="L866" s="7">
        <v>1.11596960672418</v>
      </c>
      <c r="M866" s="4">
        <v>59.96</v>
      </c>
      <c r="N866" s="2">
        <v>27.02</v>
      </c>
    </row>
    <row r="867">
      <c r="A867" s="2" t="s">
        <v>892</v>
      </c>
      <c r="B867" s="3" t="str">
        <f>HYPERLINK("https://www.suredividend.com/sure-analysis-research-database/","Karat Packaging Inc")</f>
        <v>Karat Packaging Inc</v>
      </c>
      <c r="C867" s="2" t="s">
        <v>15</v>
      </c>
      <c r="D867" s="4">
        <v>24.25</v>
      </c>
      <c r="E867" s="5">
        <v>0.012030393124127</v>
      </c>
      <c r="F867" s="5" t="s">
        <v>15</v>
      </c>
      <c r="G867" s="5" t="s">
        <v>15</v>
      </c>
      <c r="H867" s="4">
        <v>0.298113141615874</v>
      </c>
      <c r="I867" s="4">
        <v>494.718154</v>
      </c>
      <c r="J867" s="6">
        <v>14.9403000072479</v>
      </c>
      <c r="K867" s="5">
        <v>0.17958622988908</v>
      </c>
      <c r="L867" s="7">
        <v>0.642149270861155</v>
      </c>
      <c r="M867" s="4">
        <v>26.19</v>
      </c>
      <c r="N867" s="2">
        <v>11.64</v>
      </c>
    </row>
    <row r="868">
      <c r="A868" s="2" t="s">
        <v>893</v>
      </c>
      <c r="B868" s="3" t="str">
        <f>HYPERLINK("https://www.suredividend.com/sure-analysis-research-database/","Karuna Therapeutics Inc")</f>
        <v>Karuna Therapeutics Inc</v>
      </c>
      <c r="C868" s="2" t="s">
        <v>30</v>
      </c>
      <c r="D868" s="4">
        <v>316.89</v>
      </c>
      <c r="E868" s="5">
        <v>0.0</v>
      </c>
      <c r="F868" s="5" t="s">
        <v>15</v>
      </c>
      <c r="G868" s="5" t="s">
        <v>15</v>
      </c>
      <c r="H868" s="4">
        <v>0.0</v>
      </c>
      <c r="I868" s="4">
        <v>11844.051111</v>
      </c>
      <c r="J868" s="6" t="s">
        <v>15</v>
      </c>
      <c r="K868" s="5">
        <v>0.0</v>
      </c>
      <c r="L868" s="7">
        <v>0.719018266008819</v>
      </c>
      <c r="M868" s="4">
        <v>319.42</v>
      </c>
      <c r="N868" s="2">
        <v>158.38</v>
      </c>
    </row>
    <row r="869">
      <c r="A869" s="2" t="s">
        <v>894</v>
      </c>
      <c r="B869" s="3" t="str">
        <f>HYPERLINK("https://www.suredividend.com/sure-analysis-research-database/","Kura Sushi USA Inc")</f>
        <v>Kura Sushi USA Inc</v>
      </c>
      <c r="C869" s="2" t="s">
        <v>25</v>
      </c>
      <c r="D869" s="4">
        <v>98.89</v>
      </c>
      <c r="E869" s="5">
        <v>0.0</v>
      </c>
      <c r="F869" s="5" t="s">
        <v>15</v>
      </c>
      <c r="G869" s="5" t="s">
        <v>15</v>
      </c>
      <c r="H869" s="4">
        <v>0.0</v>
      </c>
      <c r="I869" s="4">
        <v>972.913946</v>
      </c>
      <c r="J869" s="6">
        <v>630.533989578742</v>
      </c>
      <c r="K869" s="5">
        <v>0.0</v>
      </c>
      <c r="L869" s="7">
        <v>1.32378549765657</v>
      </c>
      <c r="M869" s="4">
        <v>110.0</v>
      </c>
      <c r="N869" s="2">
        <v>51.02</v>
      </c>
    </row>
    <row r="870">
      <c r="A870" s="2" t="s">
        <v>895</v>
      </c>
      <c r="B870" s="3" t="str">
        <f>HYPERLINK("https://www.suredividend.com/sure-analysis-research-database/","Krystal Biotech Inc")</f>
        <v>Krystal Biotech Inc</v>
      </c>
      <c r="C870" s="2" t="s">
        <v>30</v>
      </c>
      <c r="D870" s="4">
        <v>111.86</v>
      </c>
      <c r="E870" s="5">
        <v>0.0</v>
      </c>
      <c r="F870" s="5" t="s">
        <v>15</v>
      </c>
      <c r="G870" s="5" t="s">
        <v>15</v>
      </c>
      <c r="H870" s="4">
        <v>0.0</v>
      </c>
      <c r="I870" s="4">
        <v>3359.09184</v>
      </c>
      <c r="J870" s="6">
        <v>0.0</v>
      </c>
      <c r="K870" s="5" t="s">
        <v>15</v>
      </c>
      <c r="L870" s="7">
        <v>0.809473324599762</v>
      </c>
      <c r="M870" s="4">
        <v>133.6</v>
      </c>
      <c r="N870" s="2">
        <v>70.51</v>
      </c>
    </row>
    <row r="871">
      <c r="A871" s="2" t="s">
        <v>896</v>
      </c>
      <c r="B871" s="3" t="str">
        <f>HYPERLINK("https://www.suredividend.com/sure-analysis-KTB/","Kontoor Brands Inc")</f>
        <v>Kontoor Brands Inc</v>
      </c>
      <c r="C871" s="2" t="s">
        <v>25</v>
      </c>
      <c r="D871" s="4">
        <v>58.3</v>
      </c>
      <c r="E871" s="5">
        <v>0.0343053173241852</v>
      </c>
      <c r="F871" s="5" t="s">
        <v>15</v>
      </c>
      <c r="G871" s="5" t="s">
        <v>15</v>
      </c>
      <c r="H871" s="4">
        <v>1.91094265943007</v>
      </c>
      <c r="I871" s="4">
        <v>3453.955745</v>
      </c>
      <c r="J871" s="6">
        <v>16.1529628718409</v>
      </c>
      <c r="K871" s="5">
        <v>0.508229430699487</v>
      </c>
      <c r="L871" s="7">
        <v>1.03572157074031</v>
      </c>
      <c r="M871" s="4">
        <v>63.96</v>
      </c>
      <c r="N871" s="2">
        <v>36.35</v>
      </c>
    </row>
    <row r="872">
      <c r="A872" s="2" t="s">
        <v>897</v>
      </c>
      <c r="B872" s="3" t="str">
        <f>HYPERLINK("https://www.suredividend.com/sure-analysis-research-database/","Kratos Defense &amp; Security Solutions Inc")</f>
        <v>Kratos Defense &amp; Security Solutions Inc</v>
      </c>
      <c r="C872" s="2" t="s">
        <v>17</v>
      </c>
      <c r="D872" s="4">
        <v>17.44</v>
      </c>
      <c r="E872" s="5">
        <v>0.0</v>
      </c>
      <c r="F872" s="5" t="s">
        <v>15</v>
      </c>
      <c r="G872" s="5" t="s">
        <v>15</v>
      </c>
      <c r="H872" s="4">
        <v>0.0</v>
      </c>
      <c r="I872" s="4">
        <v>2273.187906</v>
      </c>
      <c r="J872" s="6" t="s">
        <v>15</v>
      </c>
      <c r="K872" s="5">
        <v>0.0</v>
      </c>
      <c r="L872" s="7">
        <v>0.870879231528515</v>
      </c>
      <c r="M872" s="4">
        <v>21.42</v>
      </c>
      <c r="N872" s="2">
        <v>11.0</v>
      </c>
    </row>
    <row r="873">
      <c r="A873" s="2" t="s">
        <v>898</v>
      </c>
      <c r="B873" s="3" t="str">
        <f>HYPERLINK("https://www.suredividend.com/sure-analysis-research-database/","Kura Oncology Inc")</f>
        <v>Kura Oncology Inc</v>
      </c>
      <c r="C873" s="2" t="s">
        <v>30</v>
      </c>
      <c r="D873" s="4">
        <v>20.55</v>
      </c>
      <c r="E873" s="5">
        <v>0.0</v>
      </c>
      <c r="F873" s="5" t="s">
        <v>15</v>
      </c>
      <c r="G873" s="5" t="s">
        <v>15</v>
      </c>
      <c r="H873" s="4">
        <v>0.0</v>
      </c>
      <c r="I873" s="4">
        <v>1381.461265</v>
      </c>
      <c r="J873" s="6">
        <v>0.0</v>
      </c>
      <c r="K873" s="5" t="s">
        <v>15</v>
      </c>
      <c r="L873" s="7">
        <v>0.872802699006292</v>
      </c>
      <c r="M873" s="4">
        <v>21.4</v>
      </c>
      <c r="N873" s="2">
        <v>7.41</v>
      </c>
    </row>
    <row r="874">
      <c r="A874" s="2" t="s">
        <v>899</v>
      </c>
      <c r="B874" s="3" t="str">
        <f>HYPERLINK("https://www.suredividend.com/sure-analysis-research-database/","Kennedy-Wilson Holdings Inc")</f>
        <v>Kennedy-Wilson Holdings Inc</v>
      </c>
      <c r="C874" s="2" t="s">
        <v>20</v>
      </c>
      <c r="D874" s="4">
        <v>9.72</v>
      </c>
      <c r="E874" s="5">
        <v>0.08463503143562</v>
      </c>
      <c r="F874" s="5">
        <v>0.0</v>
      </c>
      <c r="G874" s="5">
        <v>0.0270660870893517</v>
      </c>
      <c r="H874" s="4">
        <v>0.935217097363601</v>
      </c>
      <c r="I874" s="4">
        <v>1540.268749</v>
      </c>
      <c r="J874" s="6" t="s">
        <v>15</v>
      </c>
      <c r="K874" s="5" t="s">
        <v>15</v>
      </c>
      <c r="L874" s="7">
        <v>1.34374898949871</v>
      </c>
      <c r="M874" s="4">
        <v>17.7</v>
      </c>
      <c r="N874" s="2">
        <v>10.48</v>
      </c>
    </row>
    <row r="875">
      <c r="A875" s="2" t="s">
        <v>900</v>
      </c>
      <c r="B875" s="3" t="str">
        <f>HYPERLINK("https://www.suredividend.com/sure-analysis-KWR/","Quaker Houghton")</f>
        <v>Quaker Houghton</v>
      </c>
      <c r="C875" s="2" t="s">
        <v>130</v>
      </c>
      <c r="D875" s="4">
        <v>188.52</v>
      </c>
      <c r="E875" s="5">
        <v>0.00965414810099724</v>
      </c>
      <c r="F875" s="5">
        <v>0.0459770114942528</v>
      </c>
      <c r="G875" s="5">
        <v>0.0422260753047041</v>
      </c>
      <c r="H875" s="4">
        <v>1.77331650670992</v>
      </c>
      <c r="I875" s="4">
        <v>3555.977592</v>
      </c>
      <c r="J875" s="6">
        <v>215.867030384265</v>
      </c>
      <c r="K875" s="5">
        <v>1.92730845202687</v>
      </c>
      <c r="L875" s="7">
        <v>1.53484780356223</v>
      </c>
      <c r="M875" s="4">
        <v>221.44</v>
      </c>
      <c r="N875" s="2">
        <v>138.36</v>
      </c>
    </row>
    <row r="876">
      <c r="A876" s="2" t="s">
        <v>901</v>
      </c>
      <c r="B876" s="3" t="str">
        <f>HYPERLINK("https://www.suredividend.com/sure-analysis-research-database/","Kymera Therapeutics Inc")</f>
        <v>Kymera Therapeutics Inc</v>
      </c>
      <c r="C876" s="2" t="s">
        <v>15</v>
      </c>
      <c r="D876" s="4">
        <v>33.88</v>
      </c>
      <c r="E876" s="5">
        <v>0.0</v>
      </c>
      <c r="F876" s="5" t="s">
        <v>15</v>
      </c>
      <c r="G876" s="5" t="s">
        <v>15</v>
      </c>
      <c r="H876" s="4">
        <v>0.0</v>
      </c>
      <c r="I876" s="4">
        <v>1808.333486</v>
      </c>
      <c r="J876" s="6" t="s">
        <v>15</v>
      </c>
      <c r="K876" s="5">
        <v>0.0</v>
      </c>
      <c r="L876" s="7">
        <v>1.78016697540184</v>
      </c>
      <c r="M876" s="4">
        <v>39.85</v>
      </c>
      <c r="N876" s="2">
        <v>9.6</v>
      </c>
    </row>
    <row r="877">
      <c r="A877" s="2" t="s">
        <v>902</v>
      </c>
      <c r="B877" s="3" t="str">
        <f>HYPERLINK("https://www.suredividend.com/sure-analysis-research-database/","Kezar Life Sciences Inc")</f>
        <v>Kezar Life Sciences Inc</v>
      </c>
      <c r="C877" s="2" t="s">
        <v>30</v>
      </c>
      <c r="D877" s="4">
        <v>0.9335</v>
      </c>
      <c r="E877" s="5">
        <v>0.0</v>
      </c>
      <c r="F877" s="5" t="s">
        <v>15</v>
      </c>
      <c r="G877" s="5" t="s">
        <v>15</v>
      </c>
      <c r="H877" s="4">
        <v>0.0</v>
      </c>
      <c r="I877" s="4">
        <v>67.3573</v>
      </c>
      <c r="J877" s="6">
        <v>0.0</v>
      </c>
      <c r="K877" s="5" t="s">
        <v>15</v>
      </c>
      <c r="L877" s="7">
        <v>1.55863215037123</v>
      </c>
      <c r="M877" s="4">
        <v>7.44</v>
      </c>
      <c r="N877" s="2">
        <v>0.6746</v>
      </c>
    </row>
    <row r="878">
      <c r="A878" s="2" t="s">
        <v>903</v>
      </c>
      <c r="B878" s="3" t="str">
        <f>HYPERLINK("https://www.suredividend.com/sure-analysis-LADR/","Ladder Capital Corp")</f>
        <v>Ladder Capital Corp</v>
      </c>
      <c r="C878" s="2" t="s">
        <v>20</v>
      </c>
      <c r="D878" s="4">
        <v>10.8</v>
      </c>
      <c r="E878" s="5">
        <v>0.0851851851851851</v>
      </c>
      <c r="F878" s="5">
        <v>0.0</v>
      </c>
      <c r="G878" s="5">
        <v>-0.0751958205172961</v>
      </c>
      <c r="H878" s="4">
        <v>0.891861002166646</v>
      </c>
      <c r="I878" s="4">
        <v>1467.099125</v>
      </c>
      <c r="J878" s="6">
        <v>10.3722966321653</v>
      </c>
      <c r="K878" s="5">
        <v>0.789257524041279</v>
      </c>
      <c r="L878" s="7">
        <v>1.35160432945154</v>
      </c>
      <c r="M878" s="4">
        <v>11.77</v>
      </c>
      <c r="N878" s="2">
        <v>8.02</v>
      </c>
    </row>
    <row r="879">
      <c r="A879" s="2" t="s">
        <v>904</v>
      </c>
      <c r="B879" s="3" t="str">
        <f>HYPERLINK("https://www.suredividend.com/sure-analysis-LANC/","Lancaster Colony Corp.")</f>
        <v>Lancaster Colony Corp.</v>
      </c>
      <c r="C879" s="2" t="s">
        <v>89</v>
      </c>
      <c r="D879" s="4">
        <v>196.51</v>
      </c>
      <c r="E879" s="5">
        <v>0.0183196783878683</v>
      </c>
      <c r="F879" s="5">
        <v>0.0588235294117647</v>
      </c>
      <c r="G879" s="5">
        <v>0.0672491818795388</v>
      </c>
      <c r="H879" s="4">
        <v>3.39790836279028</v>
      </c>
      <c r="I879" s="4">
        <v>4996.26169</v>
      </c>
      <c r="J879" s="6">
        <v>42.5684731191957</v>
      </c>
      <c r="K879" s="5">
        <v>0.795763082620676</v>
      </c>
      <c r="L879" s="7">
        <v>0.346886081682915</v>
      </c>
      <c r="M879" s="4">
        <v>214.17</v>
      </c>
      <c r="N879" s="2">
        <v>155.65</v>
      </c>
    </row>
    <row r="880">
      <c r="A880" s="2" t="s">
        <v>905</v>
      </c>
      <c r="B880" s="3" t="str">
        <f>HYPERLINK("https://www.suredividend.com/sure-analysis-LAND/","Gladstone Land Corp")</f>
        <v>Gladstone Land Corp</v>
      </c>
      <c r="C880" s="2" t="s">
        <v>20</v>
      </c>
      <c r="D880" s="4">
        <v>13.6</v>
      </c>
      <c r="E880" s="5">
        <v>0.0411764705882353</v>
      </c>
      <c r="F880" s="5">
        <v>0.00649350649350632</v>
      </c>
      <c r="G880" s="5">
        <v>0.00479952249644943</v>
      </c>
      <c r="H880" s="4">
        <v>0.537456724106637</v>
      </c>
      <c r="I880" s="4">
        <v>513.923258</v>
      </c>
      <c r="J880" s="6">
        <v>0.0</v>
      </c>
      <c r="K880" s="5" t="s">
        <v>15</v>
      </c>
      <c r="L880" s="7">
        <v>1.1217762616436</v>
      </c>
      <c r="M880" s="4">
        <v>18.88</v>
      </c>
      <c r="N880" s="2">
        <v>13.09</v>
      </c>
    </row>
    <row r="881">
      <c r="A881" s="2" t="s">
        <v>906</v>
      </c>
      <c r="B881" s="3" t="str">
        <f>HYPERLINK("https://www.suredividend.com/sure-analysis-research-database/","nLIGHT Inc")</f>
        <v>nLIGHT Inc</v>
      </c>
      <c r="C881" s="2" t="s">
        <v>40</v>
      </c>
      <c r="D881" s="4">
        <v>12.89</v>
      </c>
      <c r="E881" s="5">
        <v>0.0</v>
      </c>
      <c r="F881" s="5" t="s">
        <v>15</v>
      </c>
      <c r="G881" s="5" t="s">
        <v>15</v>
      </c>
      <c r="H881" s="4">
        <v>0.0</v>
      </c>
      <c r="I881" s="4">
        <v>615.32289</v>
      </c>
      <c r="J881" s="6" t="s">
        <v>15</v>
      </c>
      <c r="K881" s="5">
        <v>0.0</v>
      </c>
      <c r="L881" s="7">
        <v>1.77950889513766</v>
      </c>
      <c r="M881" s="4">
        <v>15.91</v>
      </c>
      <c r="N881" s="2">
        <v>8.13</v>
      </c>
    </row>
    <row r="882">
      <c r="A882" s="2" t="s">
        <v>907</v>
      </c>
      <c r="B882" s="3" t="str">
        <f>HYPERLINK("https://www.suredividend.com/sure-analysis-research-database/","Laureate Education Inc")</f>
        <v>Laureate Education Inc</v>
      </c>
      <c r="C882" s="2" t="s">
        <v>89</v>
      </c>
      <c r="D882" s="4">
        <v>12.66</v>
      </c>
      <c r="E882" s="5">
        <v>0.0</v>
      </c>
      <c r="F882" s="5" t="s">
        <v>15</v>
      </c>
      <c r="G882" s="5" t="s">
        <v>15</v>
      </c>
      <c r="H882" s="4">
        <v>0.0</v>
      </c>
      <c r="I882" s="4">
        <v>2044.202084</v>
      </c>
      <c r="J882" s="6">
        <v>19.4737842885721</v>
      </c>
      <c r="K882" s="5">
        <v>0.0</v>
      </c>
      <c r="L882" s="7">
        <v>0.734561228897392</v>
      </c>
      <c r="M882" s="4">
        <v>14.17</v>
      </c>
      <c r="N882" s="2">
        <v>9.23</v>
      </c>
    </row>
    <row r="883">
      <c r="A883" s="2" t="s">
        <v>908</v>
      </c>
      <c r="B883" s="3" t="str">
        <f>HYPERLINK("https://www.suredividend.com/sure-analysis-research-database/","CS Disco Inc")</f>
        <v>CS Disco Inc</v>
      </c>
      <c r="C883" s="2" t="s">
        <v>15</v>
      </c>
      <c r="D883" s="4">
        <v>8.39</v>
      </c>
      <c r="E883" s="5">
        <v>0.0</v>
      </c>
      <c r="F883" s="5" t="s">
        <v>15</v>
      </c>
      <c r="G883" s="5" t="s">
        <v>15</v>
      </c>
      <c r="H883" s="4">
        <v>0.0</v>
      </c>
      <c r="I883" s="4">
        <v>524.427399</v>
      </c>
      <c r="J883" s="6" t="s">
        <v>15</v>
      </c>
      <c r="K883" s="5">
        <v>0.0</v>
      </c>
      <c r="L883" s="7">
        <v>2.16106413339845</v>
      </c>
      <c r="M883" s="4">
        <v>10.77</v>
      </c>
      <c r="N883" s="2">
        <v>5.07</v>
      </c>
    </row>
    <row r="884">
      <c r="A884" s="2" t="s">
        <v>909</v>
      </c>
      <c r="B884" s="3" t="str">
        <f>HYPERLINK("https://www.suredividend.com/sure-analysis-research-database/","Luminar Technologies Inc")</f>
        <v>Luminar Technologies Inc</v>
      </c>
      <c r="C884" s="2" t="s">
        <v>15</v>
      </c>
      <c r="D884" s="4">
        <v>2.59499999999999</v>
      </c>
      <c r="E884" s="5">
        <v>0.0</v>
      </c>
      <c r="F884" s="5" t="s">
        <v>15</v>
      </c>
      <c r="G884" s="5" t="s">
        <v>15</v>
      </c>
      <c r="H884" s="4">
        <v>0.0</v>
      </c>
      <c r="I884" s="4">
        <v>902.404544</v>
      </c>
      <c r="J884" s="6" t="s">
        <v>15</v>
      </c>
      <c r="K884" s="5">
        <v>0.0</v>
      </c>
      <c r="L884" s="7">
        <v>2.59896223805412</v>
      </c>
      <c r="M884" s="4">
        <v>10.55</v>
      </c>
      <c r="N884" s="2">
        <v>2.09</v>
      </c>
    </row>
    <row r="885">
      <c r="A885" s="2" t="s">
        <v>910</v>
      </c>
      <c r="B885" s="3" t="str">
        <f>HYPERLINK("https://www.suredividend.com/sure-analysis-LBAI/","Lakeland Bancorp, Inc.")</f>
        <v>Lakeland Bancorp, Inc.</v>
      </c>
      <c r="C885" s="2" t="s">
        <v>22</v>
      </c>
      <c r="D885" s="4">
        <v>12.42</v>
      </c>
      <c r="E885" s="5">
        <v>0.0466988727858293</v>
      </c>
      <c r="F885" s="5">
        <v>0.0</v>
      </c>
      <c r="G885" s="5">
        <v>0.04745176373283</v>
      </c>
      <c r="H885" s="4">
        <v>0.561022801652491</v>
      </c>
      <c r="I885" s="4">
        <v>944.889896</v>
      </c>
      <c r="J885" s="6">
        <v>9.71988947609348</v>
      </c>
      <c r="K885" s="5">
        <v>0.376525370236571</v>
      </c>
      <c r="L885" s="7">
        <v>1.55282730528109</v>
      </c>
      <c r="M885" s="4">
        <v>18.72</v>
      </c>
      <c r="N885" s="2">
        <v>10.4</v>
      </c>
    </row>
    <row r="886">
      <c r="A886" s="2" t="s">
        <v>911</v>
      </c>
      <c r="B886" s="3" t="str">
        <f>HYPERLINK("https://www.suredividend.com/sure-analysis-research-database/","Luther Burbank Corp")</f>
        <v>Luther Burbank Corp</v>
      </c>
      <c r="C886" s="2" t="s">
        <v>22</v>
      </c>
      <c r="D886" s="4">
        <v>9.22</v>
      </c>
      <c r="E886" s="5">
        <v>0.0</v>
      </c>
      <c r="F886" s="5" t="s">
        <v>15</v>
      </c>
      <c r="G886" s="5" t="s">
        <v>15</v>
      </c>
      <c r="H886" s="4">
        <v>0.0</v>
      </c>
      <c r="I886" s="4">
        <v>508.128802</v>
      </c>
      <c r="J886" s="6">
        <v>14.1323543896537</v>
      </c>
      <c r="K886" s="5">
        <v>0.0</v>
      </c>
      <c r="L886" s="7">
        <v>1.58825599183098</v>
      </c>
      <c r="M886" s="4">
        <v>12.27</v>
      </c>
      <c r="N886" s="2">
        <v>7.73</v>
      </c>
    </row>
    <row r="887">
      <c r="A887" s="2" t="s">
        <v>912</v>
      </c>
      <c r="B887" s="3" t="str">
        <f>HYPERLINK("https://www.suredividend.com/sure-analysis-research-database/","Liberty Energy Inc")</f>
        <v>Liberty Energy Inc</v>
      </c>
      <c r="C887" s="2" t="s">
        <v>125</v>
      </c>
      <c r="D887" s="4">
        <v>19.11</v>
      </c>
      <c r="E887" s="5">
        <v>0.011019092303707</v>
      </c>
      <c r="F887" s="5" t="s">
        <v>15</v>
      </c>
      <c r="G887" s="5" t="s">
        <v>15</v>
      </c>
      <c r="H887" s="4">
        <v>0.219169745920735</v>
      </c>
      <c r="I887" s="4">
        <v>3353.619624</v>
      </c>
      <c r="J887" s="6">
        <v>5.43710005306394</v>
      </c>
      <c r="K887" s="5">
        <v>0.0642726527626788</v>
      </c>
      <c r="L887" s="7">
        <v>0.974797597932163</v>
      </c>
      <c r="M887" s="4">
        <v>21.17</v>
      </c>
      <c r="N887" s="2">
        <v>11.11</v>
      </c>
    </row>
    <row r="888">
      <c r="A888" s="2" t="s">
        <v>913</v>
      </c>
      <c r="B888" s="3" t="str">
        <f>HYPERLINK("https://www.suredividend.com/sure-analysis-research-database/","LendingClub Corp")</f>
        <v>LendingClub Corp</v>
      </c>
      <c r="C888" s="2" t="s">
        <v>22</v>
      </c>
      <c r="D888" s="4">
        <v>8.73</v>
      </c>
      <c r="E888" s="5">
        <v>0.0</v>
      </c>
      <c r="F888" s="5" t="s">
        <v>15</v>
      </c>
      <c r="G888" s="5" t="s">
        <v>15</v>
      </c>
      <c r="H888" s="4">
        <v>0.0</v>
      </c>
      <c r="I888" s="4">
        <v>986.838921</v>
      </c>
      <c r="J888" s="6">
        <v>18.8417932410501</v>
      </c>
      <c r="K888" s="5">
        <v>0.0</v>
      </c>
      <c r="L888" s="7">
        <v>2.22760792165093</v>
      </c>
      <c r="M888" s="4">
        <v>10.92</v>
      </c>
      <c r="N888" s="2">
        <v>4.73</v>
      </c>
    </row>
    <row r="889">
      <c r="A889" s="2" t="s">
        <v>914</v>
      </c>
      <c r="B889" s="3" t="str">
        <f>HYPERLINK("https://www.suredividend.com/sure-analysis-research-database/","LCI Industries")</f>
        <v>LCI Industries</v>
      </c>
      <c r="C889" s="2" t="s">
        <v>25</v>
      </c>
      <c r="D889" s="4">
        <v>109.16</v>
      </c>
      <c r="E889" s="5">
        <v>0.035125264223886</v>
      </c>
      <c r="F889" s="5">
        <v>0.0</v>
      </c>
      <c r="G889" s="5">
        <v>0.118426914720144</v>
      </c>
      <c r="H889" s="4">
        <v>4.14267366256522</v>
      </c>
      <c r="I889" s="4">
        <v>2986.780847</v>
      </c>
      <c r="J889" s="6">
        <v>60.4085683971441</v>
      </c>
      <c r="K889" s="5">
        <v>2.13539879513671</v>
      </c>
      <c r="L889" s="7">
        <v>1.38942320550964</v>
      </c>
      <c r="M889" s="4">
        <v>134.64</v>
      </c>
      <c r="N889" s="2">
        <v>97.51</v>
      </c>
    </row>
    <row r="890">
      <c r="A890" s="2" t="s">
        <v>915</v>
      </c>
      <c r="B890" s="3" t="str">
        <f>HYPERLINK("https://www.suredividend.com/sure-analysis-research-database/","Lifetime Brands, Inc.")</f>
        <v>Lifetime Brands, Inc.</v>
      </c>
      <c r="C890" s="2" t="s">
        <v>25</v>
      </c>
      <c r="D890" s="4">
        <v>8.51</v>
      </c>
      <c r="E890" s="5">
        <v>0.021601260412876</v>
      </c>
      <c r="F890" s="5">
        <v>0.0</v>
      </c>
      <c r="G890" s="5">
        <v>0.0</v>
      </c>
      <c r="H890" s="4">
        <v>0.166329705179151</v>
      </c>
      <c r="I890" s="4">
        <v>167.969617</v>
      </c>
      <c r="J890" s="6" t="s">
        <v>15</v>
      </c>
      <c r="K890" s="5" t="s">
        <v>15</v>
      </c>
      <c r="L890" s="7">
        <v>0.439088497467094</v>
      </c>
      <c r="M890" s="4">
        <v>8.32</v>
      </c>
      <c r="N890" s="2">
        <v>4.18</v>
      </c>
    </row>
    <row r="891">
      <c r="A891" s="2" t="s">
        <v>916</v>
      </c>
      <c r="B891" s="3" t="str">
        <f>HYPERLINK("https://www.suredividend.com/sure-analysis-research-database/","Lands` End, Inc.")</f>
        <v>Lands` End, Inc.</v>
      </c>
      <c r="C891" s="2" t="s">
        <v>25</v>
      </c>
      <c r="D891" s="4">
        <v>9.41</v>
      </c>
      <c r="E891" s="5">
        <v>0.0</v>
      </c>
      <c r="F891" s="5" t="s">
        <v>15</v>
      </c>
      <c r="G891" s="5" t="s">
        <v>15</v>
      </c>
      <c r="H891" s="4">
        <v>0.0</v>
      </c>
      <c r="I891" s="4">
        <v>292.130674</v>
      </c>
      <c r="J891" s="6" t="s">
        <v>15</v>
      </c>
      <c r="K891" s="5">
        <v>0.0</v>
      </c>
      <c r="L891" s="7">
        <v>1.72498623066999</v>
      </c>
      <c r="M891" s="4">
        <v>10.81</v>
      </c>
      <c r="N891" s="2">
        <v>5.98</v>
      </c>
    </row>
    <row r="892">
      <c r="A892" s="2" t="s">
        <v>917</v>
      </c>
      <c r="B892" s="3" t="str">
        <f>HYPERLINK("https://www.suredividend.com/sure-analysis-research-database/","Legacy Housing Corp")</f>
        <v>Legacy Housing Corp</v>
      </c>
      <c r="C892" s="2" t="s">
        <v>25</v>
      </c>
      <c r="D892" s="4">
        <v>24.49</v>
      </c>
      <c r="E892" s="5">
        <v>0.0</v>
      </c>
      <c r="F892" s="5" t="s">
        <v>15</v>
      </c>
      <c r="G892" s="5" t="s">
        <v>15</v>
      </c>
      <c r="H892" s="4">
        <v>0.0</v>
      </c>
      <c r="I892" s="4">
        <v>582.963948</v>
      </c>
      <c r="J892" s="6">
        <v>8.69200298647661</v>
      </c>
      <c r="K892" s="5">
        <v>0.0</v>
      </c>
      <c r="L892" s="7">
        <v>1.36626604931261</v>
      </c>
      <c r="M892" s="4">
        <v>25.73</v>
      </c>
      <c r="N892" s="2">
        <v>17.67</v>
      </c>
    </row>
    <row r="893">
      <c r="A893" s="2" t="s">
        <v>918</v>
      </c>
      <c r="B893" s="3" t="str">
        <f>HYPERLINK("https://www.suredividend.com/sure-analysis-research-database/","Centrus Energy Corp")</f>
        <v>Centrus Energy Corp</v>
      </c>
      <c r="C893" s="2" t="s">
        <v>125</v>
      </c>
      <c r="D893" s="4">
        <v>48.25</v>
      </c>
      <c r="E893" s="5">
        <v>0.0</v>
      </c>
      <c r="F893" s="5" t="s">
        <v>15</v>
      </c>
      <c r="G893" s="5" t="s">
        <v>15</v>
      </c>
      <c r="H893" s="4">
        <v>0.0</v>
      </c>
      <c r="I893" s="4">
        <v>765.979301</v>
      </c>
      <c r="J893" s="6">
        <v>15.9912171430062</v>
      </c>
      <c r="K893" s="5">
        <v>0.0</v>
      </c>
      <c r="L893" s="7">
        <v>1.17728559098008</v>
      </c>
      <c r="M893" s="4">
        <v>61.35</v>
      </c>
      <c r="N893" s="2">
        <v>24.88</v>
      </c>
    </row>
    <row r="894">
      <c r="A894" s="2" t="s">
        <v>919</v>
      </c>
      <c r="B894" s="3" t="str">
        <f>HYPERLINK("https://www.suredividend.com/sure-analysis-research-database/","Lifecore Biomedical Inc")</f>
        <v>Lifecore Biomedical Inc</v>
      </c>
      <c r="C894" s="2" t="s">
        <v>15</v>
      </c>
      <c r="D894" s="4">
        <v>7.53</v>
      </c>
      <c r="E894" s="5">
        <v>0.0</v>
      </c>
      <c r="F894" s="5" t="s">
        <v>15</v>
      </c>
      <c r="G894" s="5" t="s">
        <v>15</v>
      </c>
      <c r="H894" s="4">
        <v>0.0</v>
      </c>
      <c r="I894" s="4">
        <v>212.861626</v>
      </c>
      <c r="J894" s="6" t="s">
        <v>15</v>
      </c>
      <c r="K894" s="5">
        <v>0.0</v>
      </c>
      <c r="L894" s="7"/>
      <c r="M894" s="4">
        <v>11.46</v>
      </c>
      <c r="N894" s="2">
        <v>1.8</v>
      </c>
    </row>
    <row r="895">
      <c r="A895" s="2" t="s">
        <v>920</v>
      </c>
      <c r="B895" s="3" t="str">
        <f>HYPERLINK("https://www.suredividend.com/sure-analysis-research-database/","LifeStance Health Group Inc")</f>
        <v>LifeStance Health Group Inc</v>
      </c>
      <c r="C895" s="2" t="s">
        <v>15</v>
      </c>
      <c r="D895" s="4">
        <v>5.7</v>
      </c>
      <c r="E895" s="5">
        <v>0.0</v>
      </c>
      <c r="F895" s="5" t="s">
        <v>15</v>
      </c>
      <c r="G895" s="5" t="s">
        <v>15</v>
      </c>
      <c r="H895" s="4">
        <v>0.0</v>
      </c>
      <c r="I895" s="4">
        <v>2495.02013</v>
      </c>
      <c r="J895" s="6" t="s">
        <v>15</v>
      </c>
      <c r="K895" s="5">
        <v>0.0</v>
      </c>
      <c r="L895" s="7">
        <v>1.24926708367714</v>
      </c>
      <c r="M895" s="4">
        <v>9.59</v>
      </c>
      <c r="N895" s="2">
        <v>4.63</v>
      </c>
    </row>
    <row r="896">
      <c r="A896" s="2" t="s">
        <v>921</v>
      </c>
      <c r="B896" s="3" t="str">
        <f>HYPERLINK("https://www.suredividend.com/sure-analysis-research-database/","LGI Homes Inc")</f>
        <v>LGI Homes Inc</v>
      </c>
      <c r="C896" s="2" t="s">
        <v>25</v>
      </c>
      <c r="D896" s="4">
        <v>118.51</v>
      </c>
      <c r="E896" s="5">
        <v>0.0</v>
      </c>
      <c r="F896" s="5" t="s">
        <v>15</v>
      </c>
      <c r="G896" s="5" t="s">
        <v>15</v>
      </c>
      <c r="H896" s="4">
        <v>0.0</v>
      </c>
      <c r="I896" s="4">
        <v>2827.899799</v>
      </c>
      <c r="J896" s="6">
        <v>15.6019475466888</v>
      </c>
      <c r="K896" s="5">
        <v>0.0</v>
      </c>
      <c r="L896" s="7">
        <v>1.91025982472916</v>
      </c>
      <c r="M896" s="4">
        <v>141.91</v>
      </c>
      <c r="N896" s="2">
        <v>84.16</v>
      </c>
    </row>
    <row r="897">
      <c r="A897" s="2" t="s">
        <v>922</v>
      </c>
      <c r="B897" s="3" t="str">
        <f>HYPERLINK("https://www.suredividend.com/sure-analysis-research-database/","Ligand Pharmaceuticals, Inc.")</f>
        <v>Ligand Pharmaceuticals, Inc.</v>
      </c>
      <c r="C897" s="2" t="s">
        <v>30</v>
      </c>
      <c r="D897" s="4">
        <v>74.72</v>
      </c>
      <c r="E897" s="5">
        <v>0.0</v>
      </c>
      <c r="F897" s="5" t="s">
        <v>15</v>
      </c>
      <c r="G897" s="5" t="s">
        <v>15</v>
      </c>
      <c r="H897" s="4">
        <v>0.0</v>
      </c>
      <c r="I897" s="4">
        <v>1302.68559</v>
      </c>
      <c r="J897" s="6">
        <v>79.0416595121655</v>
      </c>
      <c r="K897" s="5">
        <v>0.0</v>
      </c>
      <c r="L897" s="7">
        <v>1.01837199583203</v>
      </c>
      <c r="M897" s="4">
        <v>85.7</v>
      </c>
      <c r="N897" s="2">
        <v>49.24</v>
      </c>
    </row>
    <row r="898">
      <c r="A898" s="2" t="s">
        <v>923</v>
      </c>
      <c r="B898" s="3" t="str">
        <f>HYPERLINK("https://www.suredividend.com/sure-analysis-research-database/","Li-Cycle Holdings Corp")</f>
        <v>Li-Cycle Holdings Corp</v>
      </c>
      <c r="C898" s="2" t="s">
        <v>15</v>
      </c>
      <c r="D898" s="4">
        <v>0.3714</v>
      </c>
      <c r="E898" s="5">
        <v>0.0</v>
      </c>
      <c r="F898" s="5" t="s">
        <v>15</v>
      </c>
      <c r="G898" s="5" t="s">
        <v>15</v>
      </c>
      <c r="H898" s="4">
        <v>0.0</v>
      </c>
      <c r="I898" s="4">
        <v>91.012941</v>
      </c>
      <c r="J898" s="6">
        <v>0.0</v>
      </c>
      <c r="K898" s="5" t="s">
        <v>15</v>
      </c>
      <c r="L898" s="7">
        <v>1.50229824440941</v>
      </c>
      <c r="M898" s="4">
        <v>6.58</v>
      </c>
      <c r="N898" s="2">
        <v>0.35</v>
      </c>
    </row>
    <row r="899">
      <c r="A899" s="2" t="s">
        <v>924</v>
      </c>
      <c r="B899" s="3" t="str">
        <f>HYPERLINK("https://www.suredividend.com/sure-analysis-research-database/","AEye Inc")</f>
        <v>AEye Inc</v>
      </c>
      <c r="C899" s="2" t="s">
        <v>15</v>
      </c>
      <c r="D899" s="4">
        <v>1.2</v>
      </c>
      <c r="E899" s="5">
        <v>0.0</v>
      </c>
      <c r="F899" s="5" t="s">
        <v>15</v>
      </c>
      <c r="G899" s="5" t="s">
        <v>15</v>
      </c>
      <c r="H899" s="4">
        <v>0.0</v>
      </c>
      <c r="I899" s="4">
        <v>263.400392</v>
      </c>
      <c r="J899" s="6" t="s">
        <v>15</v>
      </c>
      <c r="K899" s="5">
        <v>0.0</v>
      </c>
      <c r="L899" s="7">
        <v>1.56598755168078</v>
      </c>
      <c r="M899" s="4">
        <v>28.5</v>
      </c>
      <c r="N899" s="2">
        <v>1.17</v>
      </c>
    </row>
    <row r="900">
      <c r="A900" s="2" t="s">
        <v>925</v>
      </c>
      <c r="B900" s="3" t="str">
        <f t="shared" ref="B900:B901" si="2">HYPERLINK("https://www.suredividend.com/sure-analysis-research-database/","Liberty Latin America Ltd")</f>
        <v>Liberty Latin America Ltd</v>
      </c>
      <c r="C900" s="2" t="s">
        <v>114</v>
      </c>
      <c r="D900" s="4">
        <v>6.56</v>
      </c>
      <c r="E900" s="5">
        <v>0.0</v>
      </c>
      <c r="F900" s="5" t="s">
        <v>15</v>
      </c>
      <c r="G900" s="5" t="s">
        <v>15</v>
      </c>
      <c r="H900" s="4">
        <v>0.0</v>
      </c>
      <c r="I900" s="4">
        <v>1496.052</v>
      </c>
      <c r="J900" s="6">
        <v>0.0</v>
      </c>
      <c r="K900" s="5" t="s">
        <v>15</v>
      </c>
      <c r="L900" s="7">
        <v>1.37179221904324</v>
      </c>
      <c r="M900" s="4">
        <v>10.01</v>
      </c>
      <c r="N900" s="2">
        <v>6.36</v>
      </c>
    </row>
    <row r="901">
      <c r="A901" s="2" t="s">
        <v>926</v>
      </c>
      <c r="B901" s="3" t="str">
        <f t="shared" si="2"/>
        <v>Liberty Latin America Ltd</v>
      </c>
      <c r="C901" s="2" t="s">
        <v>114</v>
      </c>
      <c r="D901" s="4">
        <v>6.61</v>
      </c>
      <c r="E901" s="5">
        <v>0.0</v>
      </c>
      <c r="F901" s="5" t="s">
        <v>15</v>
      </c>
      <c r="G901" s="5" t="s">
        <v>15</v>
      </c>
      <c r="H901" s="4">
        <v>0.0</v>
      </c>
      <c r="I901" s="4">
        <v>1496.052</v>
      </c>
      <c r="J901" s="6">
        <v>0.0</v>
      </c>
      <c r="K901" s="5" t="s">
        <v>15</v>
      </c>
      <c r="L901" s="7">
        <v>1.38404612958525</v>
      </c>
      <c r="M901" s="4">
        <v>9.98</v>
      </c>
      <c r="N901" s="2">
        <v>6.41</v>
      </c>
    </row>
    <row r="902">
      <c r="A902" s="2" t="s">
        <v>927</v>
      </c>
      <c r="B902" s="3" t="str">
        <f>HYPERLINK("https://www.suredividend.com/sure-analysis-research-database/","Lindblad Expeditions Holdings Inc")</f>
        <v>Lindblad Expeditions Holdings Inc</v>
      </c>
      <c r="C902" s="2" t="s">
        <v>25</v>
      </c>
      <c r="D902" s="4">
        <v>9.03</v>
      </c>
      <c r="E902" s="5">
        <v>0.0</v>
      </c>
      <c r="F902" s="5" t="s">
        <v>15</v>
      </c>
      <c r="G902" s="5" t="s">
        <v>15</v>
      </c>
      <c r="H902" s="4">
        <v>0.0</v>
      </c>
      <c r="I902" s="4">
        <v>513.59256</v>
      </c>
      <c r="J902" s="6" t="s">
        <v>15</v>
      </c>
      <c r="K902" s="5">
        <v>0.0</v>
      </c>
      <c r="L902" s="7">
        <v>2.19960554174609</v>
      </c>
      <c r="M902" s="4">
        <v>12.46</v>
      </c>
      <c r="N902" s="2">
        <v>5.47</v>
      </c>
    </row>
    <row r="903">
      <c r="A903" s="2" t="s">
        <v>928</v>
      </c>
      <c r="B903" s="3" t="str">
        <f>HYPERLINK("https://www.suredividend.com/sure-analysis-research-database/","LivaNova PLC")</f>
        <v>LivaNova PLC</v>
      </c>
      <c r="C903" s="2" t="s">
        <v>30</v>
      </c>
      <c r="D903" s="4">
        <v>48.6</v>
      </c>
      <c r="E903" s="5">
        <v>0.0</v>
      </c>
      <c r="F903" s="5" t="s">
        <v>15</v>
      </c>
      <c r="G903" s="5" t="s">
        <v>15</v>
      </c>
      <c r="H903" s="4">
        <v>0.0</v>
      </c>
      <c r="I903" s="4">
        <v>2718.32188</v>
      </c>
      <c r="J903" s="6">
        <v>947.81097627615</v>
      </c>
      <c r="K903" s="5">
        <v>0.0</v>
      </c>
      <c r="L903" s="7">
        <v>0.950552696236152</v>
      </c>
      <c r="M903" s="4">
        <v>59.86</v>
      </c>
      <c r="N903" s="2">
        <v>40.26</v>
      </c>
    </row>
    <row r="904">
      <c r="A904" s="2" t="s">
        <v>929</v>
      </c>
      <c r="B904" s="3" t="str">
        <f>HYPERLINK("https://www.suredividend.com/sure-analysis-research-database/","Lakeland Financial Corp.")</f>
        <v>Lakeland Financial Corp.</v>
      </c>
      <c r="C904" s="2" t="s">
        <v>22</v>
      </c>
      <c r="D904" s="4">
        <v>64.86</v>
      </c>
      <c r="E904" s="5">
        <v>0.025015407442145</v>
      </c>
      <c r="F904" s="5">
        <v>0.0434782608695651</v>
      </c>
      <c r="G904" s="5">
        <v>0.0985605433061176</v>
      </c>
      <c r="H904" s="4">
        <v>1.82512412697891</v>
      </c>
      <c r="I904" s="4">
        <v>1855.498583</v>
      </c>
      <c r="J904" s="6">
        <v>20.5896555964402</v>
      </c>
      <c r="K904" s="5">
        <v>0.521464036279689</v>
      </c>
      <c r="L904" s="7">
        <v>1.16757010253151</v>
      </c>
      <c r="M904" s="4">
        <v>73.22</v>
      </c>
      <c r="N904" s="2">
        <v>41.23</v>
      </c>
    </row>
    <row r="905">
      <c r="A905" s="2" t="s">
        <v>930</v>
      </c>
      <c r="B905" s="3" t="str">
        <f>HYPERLINK("https://www.suredividend.com/sure-analysis-research-database/","LL Flooring Holdings Inc")</f>
        <v>LL Flooring Holdings Inc</v>
      </c>
      <c r="C905" s="2" t="s">
        <v>25</v>
      </c>
      <c r="D905" s="4">
        <v>2.22</v>
      </c>
      <c r="E905" s="5">
        <v>0.0</v>
      </c>
      <c r="F905" s="5" t="s">
        <v>15</v>
      </c>
      <c r="G905" s="5" t="s">
        <v>15</v>
      </c>
      <c r="H905" s="4">
        <v>0.0</v>
      </c>
      <c r="I905" s="4">
        <v>87.650216</v>
      </c>
      <c r="J905" s="6" t="s">
        <v>15</v>
      </c>
      <c r="K905" s="5">
        <v>0.0</v>
      </c>
      <c r="L905" s="7">
        <v>1.04757734128439</v>
      </c>
      <c r="M905" s="4">
        <v>6.84</v>
      </c>
      <c r="N905" s="2">
        <v>2.6</v>
      </c>
    </row>
    <row r="906">
      <c r="A906" s="2" t="s">
        <v>931</v>
      </c>
      <c r="B906" s="3" t="str">
        <f>HYPERLINK("https://www.suredividend.com/sure-analysis-research-database/","Terran Orbital Corp")</f>
        <v>Terran Orbital Corp</v>
      </c>
      <c r="C906" s="2" t="s">
        <v>15</v>
      </c>
      <c r="D906" s="4">
        <v>0.7473</v>
      </c>
      <c r="E906" s="5">
        <v>0.0</v>
      </c>
      <c r="F906" s="5" t="s">
        <v>15</v>
      </c>
      <c r="G906" s="5" t="s">
        <v>15</v>
      </c>
      <c r="H906" s="4">
        <v>0.0</v>
      </c>
      <c r="I906" s="4">
        <v>162.511359</v>
      </c>
      <c r="J906" s="6" t="s">
        <v>15</v>
      </c>
      <c r="K906" s="5">
        <v>0.0</v>
      </c>
      <c r="L906" s="7">
        <v>1.7552902301765</v>
      </c>
      <c r="M906" s="4">
        <v>3.45</v>
      </c>
      <c r="N906" s="2">
        <v>0.62</v>
      </c>
    </row>
    <row r="907">
      <c r="A907" s="2" t="s">
        <v>932</v>
      </c>
      <c r="B907" s="3" t="str">
        <f>HYPERLINK("https://www.suredividend.com/sure-analysis-LMAT/","Lemaitre Vascular Inc")</f>
        <v>Lemaitre Vascular Inc</v>
      </c>
      <c r="C907" s="2" t="s">
        <v>30</v>
      </c>
      <c r="D907" s="4">
        <v>58.06</v>
      </c>
      <c r="E907" s="5">
        <v>0.0096451946262487</v>
      </c>
      <c r="F907" s="5">
        <v>0.12</v>
      </c>
      <c r="G907" s="5">
        <v>0.104947953796503</v>
      </c>
      <c r="H907" s="4">
        <v>0.556457637756814</v>
      </c>
      <c r="I907" s="4">
        <v>1296.165542</v>
      </c>
      <c r="J907" s="6">
        <v>47.5360524333443</v>
      </c>
      <c r="K907" s="5">
        <v>0.456112817833454</v>
      </c>
      <c r="L907" s="7">
        <v>0.718336703470246</v>
      </c>
      <c r="M907" s="4">
        <v>68.13</v>
      </c>
      <c r="N907" s="2">
        <v>44.03</v>
      </c>
    </row>
    <row r="908">
      <c r="A908" s="2" t="s">
        <v>933</v>
      </c>
      <c r="B908" s="3" t="str">
        <f>HYPERLINK("https://www.suredividend.com/sure-analysis-research-database/","Lemonade Inc")</f>
        <v>Lemonade Inc</v>
      </c>
      <c r="C908" s="2" t="s">
        <v>15</v>
      </c>
      <c r="D908" s="4">
        <v>15.31</v>
      </c>
      <c r="E908" s="5">
        <v>0.0</v>
      </c>
      <c r="F908" s="5" t="s">
        <v>15</v>
      </c>
      <c r="G908" s="5" t="s">
        <v>15</v>
      </c>
      <c r="H908" s="4">
        <v>0.0</v>
      </c>
      <c r="I908" s="4">
        <v>1223.662458</v>
      </c>
      <c r="J908" s="6" t="s">
        <v>15</v>
      </c>
      <c r="K908" s="5">
        <v>0.0</v>
      </c>
      <c r="L908" s="7">
        <v>2.94395311463861</v>
      </c>
      <c r="M908" s="4">
        <v>24.81</v>
      </c>
      <c r="N908" s="2">
        <v>10.27</v>
      </c>
    </row>
    <row r="909">
      <c r="A909" s="2" t="s">
        <v>934</v>
      </c>
      <c r="B909" s="3" t="str">
        <f>HYPERLINK("https://www.suredividend.com/sure-analysis-LNN/","Lindsay Corporation")</f>
        <v>Lindsay Corporation</v>
      </c>
      <c r="C909" s="2" t="s">
        <v>17</v>
      </c>
      <c r="D909" s="4">
        <v>128.09</v>
      </c>
      <c r="E909" s="5">
        <v>0.0109298149738465</v>
      </c>
      <c r="F909" s="5" t="s">
        <v>15</v>
      </c>
      <c r="G909" s="5" t="s">
        <v>15</v>
      </c>
      <c r="H909" s="4">
        <v>1.37433506046922</v>
      </c>
      <c r="I909" s="4">
        <v>1473.071193</v>
      </c>
      <c r="J909" s="6">
        <v>21.2930023191338</v>
      </c>
      <c r="K909" s="5">
        <v>0.219542341927991</v>
      </c>
      <c r="L909" s="7">
        <v>1.00205325223017</v>
      </c>
      <c r="M909" s="4">
        <v>157.81</v>
      </c>
      <c r="N909" s="2">
        <v>106.17</v>
      </c>
    </row>
    <row r="910">
      <c r="A910" s="2" t="s">
        <v>935</v>
      </c>
      <c r="B910" s="3" t="str">
        <f>HYPERLINK("https://www.suredividend.com/sure-analysis-research-database/","Lantheus Holdings Inc")</f>
        <v>Lantheus Holdings Inc</v>
      </c>
      <c r="C910" s="2" t="s">
        <v>30</v>
      </c>
      <c r="D910" s="4">
        <v>54.06</v>
      </c>
      <c r="E910" s="5">
        <v>0.0</v>
      </c>
      <c r="F910" s="5" t="s">
        <v>15</v>
      </c>
      <c r="G910" s="5" t="s">
        <v>15</v>
      </c>
      <c r="H910" s="4">
        <v>0.0</v>
      </c>
      <c r="I910" s="4">
        <v>3696.702033</v>
      </c>
      <c r="J910" s="6">
        <v>35.5124311517733</v>
      </c>
      <c r="K910" s="5">
        <v>0.0</v>
      </c>
      <c r="L910" s="7">
        <v>0.713704664393816</v>
      </c>
      <c r="M910" s="4">
        <v>100.85</v>
      </c>
      <c r="N910" s="2">
        <v>50.2</v>
      </c>
    </row>
    <row r="911">
      <c r="A911" s="2" t="s">
        <v>936</v>
      </c>
      <c r="B911" s="3" t="str">
        <f>HYPERLINK("https://www.suredividend.com/sure-analysis-research-database/","Light &amp; Wonder Inc")</f>
        <v>Light &amp; Wonder Inc</v>
      </c>
      <c r="C911" s="2" t="s">
        <v>15</v>
      </c>
      <c r="D911" s="4">
        <v>80.83</v>
      </c>
      <c r="E911" s="5">
        <v>0.0</v>
      </c>
      <c r="F911" s="5" t="s">
        <v>15</v>
      </c>
      <c r="G911" s="5" t="s">
        <v>15</v>
      </c>
      <c r="H911" s="4">
        <v>0.0</v>
      </c>
      <c r="I911" s="4">
        <v>7455.02408</v>
      </c>
      <c r="J911" s="6">
        <v>59.1668577811111</v>
      </c>
      <c r="K911" s="5">
        <v>0.0</v>
      </c>
      <c r="L911" s="7">
        <v>1.37206422950039</v>
      </c>
      <c r="M911" s="4">
        <v>89.02</v>
      </c>
      <c r="N911" s="2">
        <v>53.77</v>
      </c>
    </row>
    <row r="912">
      <c r="A912" s="2" t="s">
        <v>937</v>
      </c>
      <c r="B912" s="3" t="str">
        <f>HYPERLINK("https://www.suredividend.com/sure-analysis-research-database/","Live Oak Bancshares Inc")</f>
        <v>Live Oak Bancshares Inc</v>
      </c>
      <c r="C912" s="2" t="s">
        <v>22</v>
      </c>
      <c r="D912" s="4">
        <v>35.71</v>
      </c>
      <c r="E912" s="5">
        <v>0.0030060847772</v>
      </c>
      <c r="F912" s="5">
        <v>0.0</v>
      </c>
      <c r="G912" s="5">
        <v>0.0</v>
      </c>
      <c r="H912" s="4">
        <v>0.119822539219224</v>
      </c>
      <c r="I912" s="4">
        <v>1773.039964</v>
      </c>
      <c r="J912" s="6">
        <v>29.7854748954256</v>
      </c>
      <c r="K912" s="5">
        <v>0.0907746509236545</v>
      </c>
      <c r="L912" s="7">
        <v>1.89217383226761</v>
      </c>
      <c r="M912" s="4">
        <v>47.22</v>
      </c>
      <c r="N912" s="2">
        <v>17.25</v>
      </c>
    </row>
    <row r="913">
      <c r="A913" s="2" t="s">
        <v>938</v>
      </c>
      <c r="B913" s="3" t="str">
        <f>HYPERLINK("https://www.suredividend.com/sure-analysis-research-database/","Local Bounti Corp")</f>
        <v>Local Bounti Corp</v>
      </c>
      <c r="C913" s="2" t="s">
        <v>15</v>
      </c>
      <c r="D913" s="4">
        <v>2.11</v>
      </c>
      <c r="E913" s="5">
        <v>0.0</v>
      </c>
      <c r="F913" s="5" t="s">
        <v>15</v>
      </c>
      <c r="G913" s="5" t="s">
        <v>15</v>
      </c>
      <c r="H913" s="4">
        <v>0.0</v>
      </c>
      <c r="I913" s="4">
        <v>17.784237</v>
      </c>
      <c r="J913" s="6" t="s">
        <v>15</v>
      </c>
      <c r="K913" s="5">
        <v>0.0</v>
      </c>
      <c r="L913" s="7"/>
      <c r="M913" s="4">
        <v>14.64</v>
      </c>
      <c r="N913" s="2">
        <v>1.17</v>
      </c>
    </row>
    <row r="914">
      <c r="A914" s="2" t="s">
        <v>939</v>
      </c>
      <c r="B914" s="3" t="str">
        <f>HYPERLINK("https://www.suredividend.com/sure-analysis-research-database/","El Pollo Loco Holdings Inc")</f>
        <v>El Pollo Loco Holdings Inc</v>
      </c>
      <c r="C914" s="2" t="s">
        <v>25</v>
      </c>
      <c r="D914" s="4">
        <v>8.94</v>
      </c>
      <c r="E914" s="5">
        <v>0.0</v>
      </c>
      <c r="F914" s="5" t="s">
        <v>15</v>
      </c>
      <c r="G914" s="5" t="s">
        <v>15</v>
      </c>
      <c r="H914" s="4">
        <v>0.0</v>
      </c>
      <c r="I914" s="4">
        <v>311.408383</v>
      </c>
      <c r="J914" s="6">
        <v>11.2263737914128</v>
      </c>
      <c r="K914" s="5">
        <v>0.0</v>
      </c>
      <c r="L914" s="7">
        <v>0.89288312049234</v>
      </c>
      <c r="M914" s="4">
        <v>13.0</v>
      </c>
      <c r="N914" s="2">
        <v>8.11</v>
      </c>
    </row>
    <row r="915">
      <c r="A915" s="2" t="s">
        <v>940</v>
      </c>
      <c r="B915" s="3" t="str">
        <f>HYPERLINK("https://www.suredividend.com/sure-analysis-research-database/","Lovesac Company")</f>
        <v>Lovesac Company</v>
      </c>
      <c r="C915" s="2" t="s">
        <v>25</v>
      </c>
      <c r="D915" s="4">
        <v>22.84</v>
      </c>
      <c r="E915" s="5">
        <v>0.0</v>
      </c>
      <c r="F915" s="5" t="s">
        <v>15</v>
      </c>
      <c r="G915" s="5" t="s">
        <v>15</v>
      </c>
      <c r="H915" s="4">
        <v>0.0</v>
      </c>
      <c r="I915" s="4">
        <v>375.298446</v>
      </c>
      <c r="J915" s="6">
        <v>19.963745186978</v>
      </c>
      <c r="K915" s="5">
        <v>0.0</v>
      </c>
      <c r="L915" s="7">
        <v>1.91640404629292</v>
      </c>
      <c r="M915" s="4">
        <v>30.94</v>
      </c>
      <c r="N915" s="2">
        <v>14.18</v>
      </c>
    </row>
    <row r="916">
      <c r="A916" s="2" t="s">
        <v>941</v>
      </c>
      <c r="B916" s="3" t="str">
        <f>HYPERLINK("https://www.suredividend.com/sure-analysis-research-database/","Dorian LPG Ltd")</f>
        <v>Dorian LPG Ltd</v>
      </c>
      <c r="C916" s="2" t="s">
        <v>125</v>
      </c>
      <c r="D916" s="4">
        <v>34.93</v>
      </c>
      <c r="E916" s="5">
        <v>0.0</v>
      </c>
      <c r="F916" s="5" t="s">
        <v>15</v>
      </c>
      <c r="G916" s="5" t="s">
        <v>15</v>
      </c>
      <c r="H916" s="4">
        <v>0.0</v>
      </c>
      <c r="I916" s="4">
        <v>1571.931499</v>
      </c>
      <c r="J916" s="6">
        <v>6.15192719971126</v>
      </c>
      <c r="K916" s="5">
        <v>0.0</v>
      </c>
      <c r="L916" s="7">
        <v>1.09641534244031</v>
      </c>
      <c r="M916" s="4">
        <v>49.54</v>
      </c>
      <c r="N916" s="2">
        <v>16.25</v>
      </c>
    </row>
    <row r="917">
      <c r="A917" s="2" t="s">
        <v>942</v>
      </c>
      <c r="B917" s="3" t="str">
        <f>HYPERLINK("https://www.suredividend.com/sure-analysis-research-database/","Open Lending Corp")</f>
        <v>Open Lending Corp</v>
      </c>
      <c r="C917" s="2" t="s">
        <v>15</v>
      </c>
      <c r="D917" s="4">
        <v>6.78</v>
      </c>
      <c r="E917" s="5">
        <v>0.0</v>
      </c>
      <c r="F917" s="5" t="s">
        <v>15</v>
      </c>
      <c r="G917" s="5" t="s">
        <v>15</v>
      </c>
      <c r="H917" s="4">
        <v>0.0</v>
      </c>
      <c r="I917" s="4">
        <v>924.49885</v>
      </c>
      <c r="J917" s="6">
        <v>40.685598276636</v>
      </c>
      <c r="K917" s="5">
        <v>0.0</v>
      </c>
      <c r="L917" s="7">
        <v>1.99682460340328</v>
      </c>
      <c r="M917" s="4">
        <v>11.99</v>
      </c>
      <c r="N917" s="2">
        <v>4.89</v>
      </c>
    </row>
    <row r="918">
      <c r="A918" s="2" t="s">
        <v>943</v>
      </c>
      <c r="B918" s="3" t="str">
        <f>HYPERLINK("https://www.suredividend.com/sure-analysis-research-database/","Liveperson Inc")</f>
        <v>Liveperson Inc</v>
      </c>
      <c r="C918" s="2" t="s">
        <v>40</v>
      </c>
      <c r="D918" s="4">
        <v>2.59</v>
      </c>
      <c r="E918" s="5">
        <v>0.0</v>
      </c>
      <c r="F918" s="5" t="s">
        <v>15</v>
      </c>
      <c r="G918" s="5" t="s">
        <v>15</v>
      </c>
      <c r="H918" s="4">
        <v>0.0</v>
      </c>
      <c r="I918" s="4">
        <v>249.802404</v>
      </c>
      <c r="J918" s="6" t="s">
        <v>15</v>
      </c>
      <c r="K918" s="5">
        <v>0.0</v>
      </c>
      <c r="L918" s="7">
        <v>2.47958959014641</v>
      </c>
      <c r="M918" s="4">
        <v>18.17</v>
      </c>
      <c r="N918" s="2">
        <v>2.33</v>
      </c>
    </row>
    <row r="919">
      <c r="A919" s="2" t="s">
        <v>944</v>
      </c>
      <c r="B919" s="3" t="str">
        <f>HYPERLINK("https://www.suredividend.com/sure-analysis-research-database/","Liquidia Corp")</f>
        <v>Liquidia Corp</v>
      </c>
      <c r="C919" s="2" t="s">
        <v>30</v>
      </c>
      <c r="D919" s="4">
        <v>13.54</v>
      </c>
      <c r="E919" s="5">
        <v>0.0</v>
      </c>
      <c r="F919" s="5" t="s">
        <v>15</v>
      </c>
      <c r="G919" s="5" t="s">
        <v>15</v>
      </c>
      <c r="H919" s="4">
        <v>0.0</v>
      </c>
      <c r="I919" s="4">
        <v>811.967742</v>
      </c>
      <c r="J919" s="6" t="s">
        <v>15</v>
      </c>
      <c r="K919" s="5">
        <v>0.0</v>
      </c>
      <c r="L919" s="7">
        <v>0.289617281057882</v>
      </c>
      <c r="M919" s="4">
        <v>13.86</v>
      </c>
      <c r="N919" s="2">
        <v>5.71</v>
      </c>
    </row>
    <row r="920">
      <c r="A920" s="2" t="s">
        <v>945</v>
      </c>
      <c r="B920" s="3" t="str">
        <f>HYPERLINK("https://www.suredividend.com/sure-analysis-research-database/","Liquidity Services Inc")</f>
        <v>Liquidity Services Inc</v>
      </c>
      <c r="C920" s="2" t="s">
        <v>25</v>
      </c>
      <c r="D920" s="4">
        <v>16.92</v>
      </c>
      <c r="E920" s="5">
        <v>0.0</v>
      </c>
      <c r="F920" s="5" t="s">
        <v>15</v>
      </c>
      <c r="G920" s="5" t="s">
        <v>15</v>
      </c>
      <c r="H920" s="4">
        <v>0.0</v>
      </c>
      <c r="I920" s="4">
        <v>546.555574</v>
      </c>
      <c r="J920" s="6">
        <v>26.0549923096724</v>
      </c>
      <c r="K920" s="5">
        <v>0.0</v>
      </c>
      <c r="L920" s="7">
        <v>0.741887060832462</v>
      </c>
      <c r="M920" s="4">
        <v>21.1</v>
      </c>
      <c r="N920" s="2">
        <v>11.97</v>
      </c>
    </row>
    <row r="921">
      <c r="A921" s="2" t="s">
        <v>946</v>
      </c>
      <c r="B921" s="3" t="str">
        <f>HYPERLINK("https://www.suredividend.com/sure-analysis-research-database/","Stride Inc")</f>
        <v>Stride Inc</v>
      </c>
      <c r="C921" s="2" t="s">
        <v>89</v>
      </c>
      <c r="D921" s="4">
        <v>59.34</v>
      </c>
      <c r="E921" s="5">
        <v>0.0</v>
      </c>
      <c r="F921" s="5" t="s">
        <v>15</v>
      </c>
      <c r="G921" s="5" t="s">
        <v>15</v>
      </c>
      <c r="H921" s="4">
        <v>0.0</v>
      </c>
      <c r="I921" s="4">
        <v>2632.319569</v>
      </c>
      <c r="J921" s="6">
        <v>15.4344792591528</v>
      </c>
      <c r="K921" s="5">
        <v>0.0</v>
      </c>
      <c r="L921" s="7">
        <v>0.233200915569953</v>
      </c>
      <c r="M921" s="4">
        <v>69.7</v>
      </c>
      <c r="N921" s="2">
        <v>35.61</v>
      </c>
    </row>
    <row r="922">
      <c r="A922" s="2" t="s">
        <v>947</v>
      </c>
      <c r="B922" s="3" t="str">
        <f>HYPERLINK("https://www.suredividend.com/sure-analysis-research-database/","Landsea Homes Corporation")</f>
        <v>Landsea Homes Corporation</v>
      </c>
      <c r="C922" s="2" t="s">
        <v>15</v>
      </c>
      <c r="D922" s="4">
        <v>12.06</v>
      </c>
      <c r="E922" s="5">
        <v>0.0</v>
      </c>
      <c r="F922" s="5" t="s">
        <v>15</v>
      </c>
      <c r="G922" s="5" t="s">
        <v>15</v>
      </c>
      <c r="H922" s="4">
        <v>0.0</v>
      </c>
      <c r="I922" s="4">
        <v>487.935916</v>
      </c>
      <c r="J922" s="6">
        <v>0.0</v>
      </c>
      <c r="K922" s="5" t="s">
        <v>15</v>
      </c>
      <c r="L922" s="7">
        <v>1.16089869564833</v>
      </c>
      <c r="M922" s="4">
        <v>13.6</v>
      </c>
      <c r="N922" s="2">
        <v>5.74</v>
      </c>
    </row>
    <row r="923">
      <c r="A923" s="2" t="s">
        <v>948</v>
      </c>
      <c r="B923" s="3" t="str">
        <f>HYPERLINK("https://www.suredividend.com/sure-analysis-LTC/","LTC Properties, Inc.")</f>
        <v>LTC Properties, Inc.</v>
      </c>
      <c r="C923" s="2" t="s">
        <v>20</v>
      </c>
      <c r="D923" s="4">
        <v>30.5</v>
      </c>
      <c r="E923" s="5">
        <v>0.0747540983606557</v>
      </c>
      <c r="F923" s="5">
        <v>0.0</v>
      </c>
      <c r="G923" s="5">
        <v>0.0</v>
      </c>
      <c r="H923" s="4">
        <v>2.20846394457218</v>
      </c>
      <c r="I923" s="4">
        <v>1330.971813</v>
      </c>
      <c r="J923" s="6">
        <v>16.8579872963319</v>
      </c>
      <c r="K923" s="5">
        <v>1.15024163779801</v>
      </c>
      <c r="L923" s="7">
        <v>0.688058600741641</v>
      </c>
      <c r="M923" s="4">
        <v>36.35</v>
      </c>
      <c r="N923" s="2">
        <v>29.47</v>
      </c>
    </row>
    <row r="924">
      <c r="A924" s="2" t="s">
        <v>949</v>
      </c>
      <c r="B924" s="3" t="str">
        <f>HYPERLINK("https://www.suredividend.com/sure-analysis-research-database/","Latch Inc")</f>
        <v>Latch Inc</v>
      </c>
      <c r="C924" s="2" t="s">
        <v>15</v>
      </c>
      <c r="D924" s="4">
        <v>0.9298</v>
      </c>
      <c r="E924" s="5">
        <v>0.0</v>
      </c>
      <c r="F924" s="5" t="s">
        <v>15</v>
      </c>
      <c r="G924" s="5" t="s">
        <v>15</v>
      </c>
      <c r="H924" s="4">
        <v>0.0</v>
      </c>
      <c r="I924" s="4">
        <v>0.0</v>
      </c>
      <c r="J924" s="6">
        <v>0.0</v>
      </c>
      <c r="K924" s="5">
        <v>0.0</v>
      </c>
      <c r="L924" s="7"/>
      <c r="M924" s="4" t="s">
        <v>49</v>
      </c>
      <c r="N924" s="2" t="s">
        <v>49</v>
      </c>
    </row>
    <row r="925">
      <c r="A925" s="2" t="s">
        <v>950</v>
      </c>
      <c r="B925" s="3" t="str">
        <f>HYPERLINK("https://www.suredividend.com/sure-analysis-research-database/","Life Time Group Holdings Inc")</f>
        <v>Life Time Group Holdings Inc</v>
      </c>
      <c r="C925" s="2" t="s">
        <v>15</v>
      </c>
      <c r="D925" s="4">
        <v>12.95</v>
      </c>
      <c r="E925" s="5">
        <v>0.0</v>
      </c>
      <c r="F925" s="5" t="s">
        <v>15</v>
      </c>
      <c r="G925" s="5" t="s">
        <v>15</v>
      </c>
      <c r="H925" s="4">
        <v>0.0</v>
      </c>
      <c r="I925" s="4">
        <v>2743.832347</v>
      </c>
      <c r="J925" s="6">
        <v>0.0</v>
      </c>
      <c r="K925" s="5" t="s">
        <v>15</v>
      </c>
      <c r="L925" s="7">
        <v>1.7360348405545</v>
      </c>
      <c r="M925" s="4">
        <v>22.41</v>
      </c>
      <c r="N925" s="2">
        <v>11.1</v>
      </c>
    </row>
    <row r="926">
      <c r="A926" s="2" t="s">
        <v>951</v>
      </c>
      <c r="B926" s="3" t="str">
        <f>HYPERLINK("https://www.suredividend.com/sure-analysis-research-database/","Livent Corp")</f>
        <v>Livent Corp</v>
      </c>
      <c r="C926" s="2" t="s">
        <v>130</v>
      </c>
      <c r="D926" s="4">
        <v>16.51</v>
      </c>
      <c r="E926" s="5">
        <v>0.0</v>
      </c>
      <c r="F926" s="5" t="s">
        <v>15</v>
      </c>
      <c r="G926" s="5" t="s">
        <v>15</v>
      </c>
      <c r="H926" s="4">
        <v>0.0</v>
      </c>
      <c r="I926" s="4">
        <v>2967.333005</v>
      </c>
      <c r="J926" s="6">
        <v>7.91077847206078</v>
      </c>
      <c r="K926" s="5">
        <v>0.0</v>
      </c>
      <c r="L926" s="7">
        <v>1.88985590068552</v>
      </c>
      <c r="M926" s="4">
        <v>29.18</v>
      </c>
      <c r="N926" s="2">
        <v>12.76</v>
      </c>
    </row>
    <row r="927">
      <c r="A927" s="2" t="s">
        <v>952</v>
      </c>
      <c r="B927" s="3" t="str">
        <f>HYPERLINK("https://www.suredividend.com/sure-analysis-research-database/","Pulmonx Corp")</f>
        <v>Pulmonx Corp</v>
      </c>
      <c r="C927" s="2" t="s">
        <v>15</v>
      </c>
      <c r="D927" s="4">
        <v>14.31</v>
      </c>
      <c r="E927" s="5">
        <v>0.0</v>
      </c>
      <c r="F927" s="5" t="s">
        <v>15</v>
      </c>
      <c r="G927" s="5" t="s">
        <v>15</v>
      </c>
      <c r="H927" s="4">
        <v>0.0</v>
      </c>
      <c r="I927" s="4">
        <v>525.58731</v>
      </c>
      <c r="J927" s="6" t="s">
        <v>15</v>
      </c>
      <c r="K927" s="5">
        <v>0.0</v>
      </c>
      <c r="L927" s="7">
        <v>1.54538615338972</v>
      </c>
      <c r="M927" s="4">
        <v>14.28</v>
      </c>
      <c r="N927" s="2">
        <v>7.75</v>
      </c>
    </row>
    <row r="928">
      <c r="A928" s="2" t="s">
        <v>953</v>
      </c>
      <c r="B928" s="3" t="str">
        <f>HYPERLINK("https://www.suredividend.com/sure-analysis-research-database/","Lulus Fashion Lounge Holdings Inc")</f>
        <v>Lulus Fashion Lounge Holdings Inc</v>
      </c>
      <c r="C928" s="2" t="s">
        <v>15</v>
      </c>
      <c r="D928" s="4">
        <v>2.02</v>
      </c>
      <c r="E928" s="5">
        <v>0.0</v>
      </c>
      <c r="F928" s="5" t="s">
        <v>15</v>
      </c>
      <c r="G928" s="5" t="s">
        <v>15</v>
      </c>
      <c r="H928" s="4">
        <v>0.0</v>
      </c>
      <c r="I928" s="4">
        <v>79.732895</v>
      </c>
      <c r="J928" s="6" t="s">
        <v>15</v>
      </c>
      <c r="K928" s="5">
        <v>0.0</v>
      </c>
      <c r="L928" s="7">
        <v>0.581305431149274</v>
      </c>
      <c r="M928" s="4">
        <v>4.04</v>
      </c>
      <c r="N928" s="2">
        <v>1.44</v>
      </c>
    </row>
    <row r="929">
      <c r="A929" s="2" t="s">
        <v>954</v>
      </c>
      <c r="B929" s="3" t="str">
        <f>HYPERLINK("https://www.suredividend.com/sure-analysis-research-database/","LiveVox Holdings Inc")</f>
        <v>LiveVox Holdings Inc</v>
      </c>
      <c r="C929" s="2" t="s">
        <v>15</v>
      </c>
      <c r="D929" s="4">
        <v>3.73</v>
      </c>
      <c r="E929" s="5">
        <v>0.0</v>
      </c>
      <c r="F929" s="5" t="s">
        <v>15</v>
      </c>
      <c r="G929" s="5" t="s">
        <v>15</v>
      </c>
      <c r="H929" s="4">
        <v>0.0</v>
      </c>
      <c r="I929" s="4">
        <v>0.0</v>
      </c>
      <c r="J929" s="6">
        <v>0.0</v>
      </c>
      <c r="K929" s="5">
        <v>0.0</v>
      </c>
      <c r="L929" s="7"/>
      <c r="M929" s="4" t="s">
        <v>49</v>
      </c>
      <c r="N929" s="2" t="s">
        <v>49</v>
      </c>
    </row>
    <row r="930">
      <c r="A930" s="2" t="s">
        <v>955</v>
      </c>
      <c r="B930" s="3" t="str">
        <f>HYPERLINK("https://www.suredividend.com/sure-analysis-research-database/","Lightwave Logic Inc")</f>
        <v>Lightwave Logic Inc</v>
      </c>
      <c r="C930" s="2" t="s">
        <v>130</v>
      </c>
      <c r="D930" s="4">
        <v>4.44</v>
      </c>
      <c r="E930" s="5">
        <v>0.0</v>
      </c>
      <c r="F930" s="5" t="s">
        <v>15</v>
      </c>
      <c r="G930" s="5" t="s">
        <v>15</v>
      </c>
      <c r="H930" s="4">
        <v>0.0</v>
      </c>
      <c r="I930" s="4">
        <v>521.748143</v>
      </c>
      <c r="J930" s="6">
        <v>0.0</v>
      </c>
      <c r="K930" s="5" t="s">
        <v>15</v>
      </c>
      <c r="L930" s="7">
        <v>2.79793246800779</v>
      </c>
      <c r="M930" s="4">
        <v>9.18</v>
      </c>
      <c r="N930" s="2">
        <v>3.79</v>
      </c>
    </row>
    <row r="931">
      <c r="A931" s="2" t="s">
        <v>956</v>
      </c>
      <c r="B931" s="3" t="str">
        <f>HYPERLINK("https://www.suredividend.com/sure-analysis-research-database/","Luxfer Holdings PLC")</f>
        <v>Luxfer Holdings PLC</v>
      </c>
      <c r="C931" s="2" t="s">
        <v>17</v>
      </c>
      <c r="D931" s="4">
        <v>7.98</v>
      </c>
      <c r="E931" s="5">
        <v>0.061327303828011</v>
      </c>
      <c r="F931" s="5">
        <v>0.0</v>
      </c>
      <c r="G931" s="5">
        <v>0.00787498851789214</v>
      </c>
      <c r="H931" s="4">
        <v>0.509629894810779</v>
      </c>
      <c r="I931" s="4">
        <v>223.297727</v>
      </c>
      <c r="J931" s="6">
        <v>0.0</v>
      </c>
      <c r="K931" s="5" t="s">
        <v>15</v>
      </c>
      <c r="L931" s="7">
        <v>1.1006621628471</v>
      </c>
      <c r="M931" s="4">
        <v>17.04</v>
      </c>
      <c r="N931" s="2">
        <v>7.78</v>
      </c>
    </row>
    <row r="932">
      <c r="A932" s="2" t="s">
        <v>957</v>
      </c>
      <c r="B932" s="3" t="str">
        <f>HYPERLINK("https://www.suredividend.com/sure-analysis-LXP/","LXP Industrial Trust")</f>
        <v>LXP Industrial Trust</v>
      </c>
      <c r="C932" s="2" t="s">
        <v>20</v>
      </c>
      <c r="D932" s="4">
        <v>8.89</v>
      </c>
      <c r="E932" s="5">
        <v>0.0584926884139482</v>
      </c>
      <c r="F932" s="5">
        <v>0.04</v>
      </c>
      <c r="G932" s="5">
        <v>0.0486822021570174</v>
      </c>
      <c r="H932" s="4">
        <v>0.495185549067798</v>
      </c>
      <c r="I932" s="4">
        <v>2794.660191</v>
      </c>
      <c r="J932" s="6">
        <v>58.5232381473415</v>
      </c>
      <c r="K932" s="5">
        <v>3.07951212106839</v>
      </c>
      <c r="L932" s="7">
        <v>1.10076144458354</v>
      </c>
      <c r="M932" s="4">
        <v>11.31</v>
      </c>
      <c r="N932" s="2">
        <v>7.65</v>
      </c>
    </row>
    <row r="933">
      <c r="A933" s="2" t="s">
        <v>958</v>
      </c>
      <c r="B933" s="3" t="str">
        <f>HYPERLINK("https://www.suredividend.com/sure-analysis-research-database/","Lexicon Pharmaceuticals Inc")</f>
        <v>Lexicon Pharmaceuticals Inc</v>
      </c>
      <c r="C933" s="2" t="s">
        <v>30</v>
      </c>
      <c r="D933" s="4">
        <v>2.05</v>
      </c>
      <c r="E933" s="5">
        <v>0.0</v>
      </c>
      <c r="F933" s="5" t="s">
        <v>15</v>
      </c>
      <c r="G933" s="5" t="s">
        <v>15</v>
      </c>
      <c r="H933" s="4">
        <v>0.0</v>
      </c>
      <c r="I933" s="4">
        <v>470.255414</v>
      </c>
      <c r="J933" s="6" t="s">
        <v>15</v>
      </c>
      <c r="K933" s="5">
        <v>0.0</v>
      </c>
      <c r="L933" s="7">
        <v>1.83514336876689</v>
      </c>
      <c r="M933" s="4">
        <v>3.79</v>
      </c>
      <c r="N933" s="2">
        <v>0.92</v>
      </c>
    </row>
    <row r="934">
      <c r="A934" s="2" t="s">
        <v>959</v>
      </c>
      <c r="B934" s="3" t="str">
        <f>HYPERLINK("https://www.suredividend.com/sure-analysis-research-database/","LSB Industries, Inc.")</f>
        <v>LSB Industries, Inc.</v>
      </c>
      <c r="C934" s="2" t="s">
        <v>130</v>
      </c>
      <c r="D934" s="4">
        <v>7.54</v>
      </c>
      <c r="E934" s="5">
        <v>0.0</v>
      </c>
      <c r="F934" s="5" t="s">
        <v>15</v>
      </c>
      <c r="G934" s="5" t="s">
        <v>15</v>
      </c>
      <c r="H934" s="4">
        <v>0.0</v>
      </c>
      <c r="I934" s="4">
        <v>619.288319</v>
      </c>
      <c r="J934" s="6">
        <v>6.24660398305426</v>
      </c>
      <c r="K934" s="5">
        <v>0.0</v>
      </c>
      <c r="L934" s="7">
        <v>1.1620327067538</v>
      </c>
      <c r="M934" s="4">
        <v>14.71</v>
      </c>
      <c r="N934" s="2">
        <v>7.3</v>
      </c>
    </row>
    <row r="935">
      <c r="A935" s="2" t="s">
        <v>960</v>
      </c>
      <c r="B935" s="3" t="str">
        <f>HYPERLINK("https://www.suredividend.com/sure-analysis-research-database/","Lyell Immunopharma Inc")</f>
        <v>Lyell Immunopharma Inc</v>
      </c>
      <c r="C935" s="2" t="s">
        <v>15</v>
      </c>
      <c r="D935" s="4">
        <v>1.78</v>
      </c>
      <c r="E935" s="5">
        <v>0.0</v>
      </c>
      <c r="F935" s="5" t="s">
        <v>15</v>
      </c>
      <c r="G935" s="5" t="s">
        <v>15</v>
      </c>
      <c r="H935" s="4">
        <v>0.0</v>
      </c>
      <c r="I935" s="4">
        <v>528.924833</v>
      </c>
      <c r="J935" s="6" t="s">
        <v>15</v>
      </c>
      <c r="K935" s="5">
        <v>0.0</v>
      </c>
      <c r="L935" s="7">
        <v>2.09520115920355</v>
      </c>
      <c r="M935" s="4">
        <v>3.96999999999999</v>
      </c>
      <c r="N935" s="2">
        <v>1.32</v>
      </c>
    </row>
    <row r="936">
      <c r="A936" s="2" t="s">
        <v>961</v>
      </c>
      <c r="B936" s="3" t="str">
        <f>HYPERLINK("https://www.suredividend.com/sure-analysis-research-database/","LegalZoom.com Inc.")</f>
        <v>LegalZoom.com Inc.</v>
      </c>
      <c r="C936" s="2" t="s">
        <v>15</v>
      </c>
      <c r="D936" s="4">
        <v>10.21</v>
      </c>
      <c r="E936" s="5">
        <v>0.0</v>
      </c>
      <c r="F936" s="5" t="s">
        <v>15</v>
      </c>
      <c r="G936" s="5" t="s">
        <v>15</v>
      </c>
      <c r="H936" s="4">
        <v>0.0</v>
      </c>
      <c r="I936" s="4">
        <v>2052.239859</v>
      </c>
      <c r="J936" s="6">
        <v>174.896868822226</v>
      </c>
      <c r="K936" s="5">
        <v>0.0</v>
      </c>
      <c r="L936" s="7">
        <v>1.76353122234797</v>
      </c>
      <c r="M936" s="4">
        <v>15.68</v>
      </c>
      <c r="N936" s="2">
        <v>6.89</v>
      </c>
    </row>
    <row r="937">
      <c r="A937" s="2" t="s">
        <v>962</v>
      </c>
      <c r="B937" s="3" t="str">
        <f>HYPERLINK("https://www.suredividend.com/sure-analysis-research-database/","La-Z-Boy Inc.")</f>
        <v>La-Z-Boy Inc.</v>
      </c>
      <c r="C937" s="2" t="s">
        <v>25</v>
      </c>
      <c r="D937" s="4">
        <v>35.49</v>
      </c>
      <c r="E937" s="5">
        <v>0.020626119873639</v>
      </c>
      <c r="F937" s="5" t="s">
        <v>15</v>
      </c>
      <c r="G937" s="5" t="s">
        <v>15</v>
      </c>
      <c r="H937" s="4">
        <v>0.738208830277561</v>
      </c>
      <c r="I937" s="4">
        <v>1531.079021</v>
      </c>
      <c r="J937" s="6">
        <v>12.6769088551628</v>
      </c>
      <c r="K937" s="5">
        <v>0.264590978594107</v>
      </c>
      <c r="L937" s="7">
        <v>1.08035416316281</v>
      </c>
      <c r="M937" s="4">
        <v>38.0</v>
      </c>
      <c r="N937" s="2">
        <v>24.84</v>
      </c>
    </row>
    <row r="938">
      <c r="A938" s="2" t="s">
        <v>963</v>
      </c>
      <c r="B938" s="3" t="str">
        <f>HYPERLINK("https://www.suredividend.com/sure-analysis-MAC/","Macerich Co.")</f>
        <v>Macerich Co.</v>
      </c>
      <c r="C938" s="2" t="s">
        <v>20</v>
      </c>
      <c r="D938" s="4">
        <v>15.73</v>
      </c>
      <c r="E938" s="5">
        <v>0.0432294977749523</v>
      </c>
      <c r="F938" s="5">
        <v>0.0</v>
      </c>
      <c r="G938" s="5">
        <v>-0.256848204182384</v>
      </c>
      <c r="H938" s="4">
        <v>0.664121327405639</v>
      </c>
      <c r="I938" s="4">
        <v>3608.756965</v>
      </c>
      <c r="J938" s="6" t="s">
        <v>15</v>
      </c>
      <c r="K938" s="5" t="s">
        <v>15</v>
      </c>
      <c r="L938" s="7">
        <v>1.83187512543659</v>
      </c>
      <c r="M938" s="4">
        <v>16.84</v>
      </c>
      <c r="N938" s="2">
        <v>8.36</v>
      </c>
    </row>
    <row r="939">
      <c r="A939" s="2" t="s">
        <v>964</v>
      </c>
      <c r="B939" s="3" t="str">
        <f>HYPERLINK("https://www.suredividend.com/sure-analysis-research-database/","WM Technology Inc")</f>
        <v>WM Technology Inc</v>
      </c>
      <c r="C939" s="2" t="s">
        <v>15</v>
      </c>
      <c r="D939" s="4">
        <v>0.935</v>
      </c>
      <c r="E939" s="5">
        <v>0.0</v>
      </c>
      <c r="F939" s="5" t="s">
        <v>15</v>
      </c>
      <c r="G939" s="5" t="s">
        <v>15</v>
      </c>
      <c r="H939" s="4">
        <v>0.0</v>
      </c>
      <c r="I939" s="4">
        <v>78.362579</v>
      </c>
      <c r="J939" s="6" t="s">
        <v>15</v>
      </c>
      <c r="K939" s="5">
        <v>0.0</v>
      </c>
      <c r="L939" s="7">
        <v>2.33029575915722</v>
      </c>
      <c r="M939" s="4">
        <v>1.88</v>
      </c>
      <c r="N939" s="2">
        <v>0.596</v>
      </c>
    </row>
    <row r="940">
      <c r="A940" s="2" t="s">
        <v>965</v>
      </c>
      <c r="B940" s="3" t="str">
        <f>HYPERLINK("https://www.suredividend.com/sure-analysis-research-database/","Marathon Digital Holdings Inc")</f>
        <v>Marathon Digital Holdings Inc</v>
      </c>
      <c r="C940" s="2" t="s">
        <v>22</v>
      </c>
      <c r="D940" s="4">
        <v>16.64</v>
      </c>
      <c r="E940" s="5">
        <v>0.0</v>
      </c>
      <c r="F940" s="5" t="s">
        <v>15</v>
      </c>
      <c r="G940" s="5" t="s">
        <v>15</v>
      </c>
      <c r="H940" s="4">
        <v>0.0</v>
      </c>
      <c r="I940" s="4">
        <v>4123.016167</v>
      </c>
      <c r="J940" s="6">
        <v>0.0</v>
      </c>
      <c r="K940" s="5" t="s">
        <v>15</v>
      </c>
      <c r="L940" s="7">
        <v>3.16416744203006</v>
      </c>
      <c r="M940" s="4">
        <v>31.3</v>
      </c>
      <c r="N940" s="2">
        <v>5.13</v>
      </c>
    </row>
    <row r="941">
      <c r="A941" s="2" t="s">
        <v>966</v>
      </c>
      <c r="B941" s="3" t="str">
        <f>HYPERLINK("https://www.suredividend.com/sure-analysis-research-database/","908 Devices Inc")</f>
        <v>908 Devices Inc</v>
      </c>
      <c r="C941" s="2" t="s">
        <v>15</v>
      </c>
      <c r="D941" s="4">
        <v>7.02</v>
      </c>
      <c r="E941" s="5">
        <v>0.0</v>
      </c>
      <c r="F941" s="5" t="s">
        <v>15</v>
      </c>
      <c r="G941" s="5" t="s">
        <v>15</v>
      </c>
      <c r="H941" s="4">
        <v>0.0</v>
      </c>
      <c r="I941" s="4">
        <v>250.290543</v>
      </c>
      <c r="J941" s="6" t="s">
        <v>15</v>
      </c>
      <c r="K941" s="5">
        <v>0.0</v>
      </c>
      <c r="L941" s="7">
        <v>1.9725180010523</v>
      </c>
      <c r="M941" s="4">
        <v>12.51</v>
      </c>
      <c r="N941" s="2">
        <v>4.85</v>
      </c>
    </row>
    <row r="942">
      <c r="A942" s="2" t="s">
        <v>967</v>
      </c>
      <c r="B942" s="3" t="str">
        <f>HYPERLINK("https://www.suredividend.com/sure-analysis-research-database/","Mativ Holdings Inc")</f>
        <v>Mativ Holdings Inc</v>
      </c>
      <c r="C942" s="2" t="s">
        <v>15</v>
      </c>
      <c r="D942" s="4">
        <v>11.3</v>
      </c>
      <c r="E942" s="5">
        <v>0.075122564897063</v>
      </c>
      <c r="F942" s="5" t="s">
        <v>15</v>
      </c>
      <c r="G942" s="5" t="s">
        <v>15</v>
      </c>
      <c r="H942" s="4">
        <v>0.978847020608739</v>
      </c>
      <c r="I942" s="4">
        <v>706.23486</v>
      </c>
      <c r="J942" s="6" t="s">
        <v>15</v>
      </c>
      <c r="K942" s="5" t="s">
        <v>15</v>
      </c>
      <c r="L942" s="7">
        <v>1.27856391439357</v>
      </c>
      <c r="M942" s="4">
        <v>27.48</v>
      </c>
      <c r="N942" s="2">
        <v>11.6</v>
      </c>
    </row>
    <row r="943">
      <c r="A943" s="2" t="s">
        <v>968</v>
      </c>
      <c r="B943" s="3" t="str">
        <f>HYPERLINK("https://www.suredividend.com/sure-analysis-MATW/","Matthews International Corp.")</f>
        <v>Matthews International Corp.</v>
      </c>
      <c r="C943" s="2" t="s">
        <v>17</v>
      </c>
      <c r="D943" s="4">
        <v>28.3</v>
      </c>
      <c r="E943" s="5">
        <v>0.0339222614840989</v>
      </c>
      <c r="F943" s="5">
        <v>0.0434782608695651</v>
      </c>
      <c r="G943" s="5">
        <v>0.0371372893366481</v>
      </c>
      <c r="H943" s="4">
        <v>0.913182976199835</v>
      </c>
      <c r="I943" s="4">
        <v>1056.688424</v>
      </c>
      <c r="J943" s="6">
        <v>26.8939050774986</v>
      </c>
      <c r="K943" s="5">
        <v>0.724748393809392</v>
      </c>
      <c r="L943" s="7">
        <v>1.10251422974835</v>
      </c>
      <c r="M943" s="4">
        <v>47.7</v>
      </c>
      <c r="N943" s="2">
        <v>32.8</v>
      </c>
    </row>
    <row r="944">
      <c r="A944" s="2" t="s">
        <v>969</v>
      </c>
      <c r="B944" s="3" t="str">
        <f>HYPERLINK("https://www.suredividend.com/sure-analysis-research-database/","Matson Inc")</f>
        <v>Matson Inc</v>
      </c>
      <c r="C944" s="2" t="s">
        <v>17</v>
      </c>
      <c r="D944" s="4">
        <v>112.83</v>
      </c>
      <c r="E944" s="5">
        <v>0.010999820627695</v>
      </c>
      <c r="F944" s="5">
        <v>0.032258064516129</v>
      </c>
      <c r="G944" s="5">
        <v>0.087892885777757</v>
      </c>
      <c r="H944" s="4">
        <v>1.25309956590704</v>
      </c>
      <c r="I944" s="4">
        <v>4003.921178</v>
      </c>
      <c r="J944" s="6">
        <v>12.8043529824112</v>
      </c>
      <c r="K944" s="5">
        <v>0.144867001838964</v>
      </c>
      <c r="L944" s="7">
        <v>1.21247382464261</v>
      </c>
      <c r="M944" s="4">
        <v>122.45</v>
      </c>
      <c r="N944" s="2">
        <v>55.85</v>
      </c>
    </row>
    <row r="945">
      <c r="A945" s="2" t="s">
        <v>970</v>
      </c>
      <c r="B945" s="3" t="str">
        <f>HYPERLINK("https://www.suredividend.com/sure-analysis-research-database/","MediaAlpha Inc")</f>
        <v>MediaAlpha Inc</v>
      </c>
      <c r="C945" s="2" t="s">
        <v>15</v>
      </c>
      <c r="D945" s="4">
        <v>12.26</v>
      </c>
      <c r="E945" s="5">
        <v>0.0</v>
      </c>
      <c r="F945" s="5" t="s">
        <v>15</v>
      </c>
      <c r="G945" s="5" t="s">
        <v>15</v>
      </c>
      <c r="H945" s="4">
        <v>0.0</v>
      </c>
      <c r="I945" s="4">
        <v>613.436114</v>
      </c>
      <c r="J945" s="6" t="s">
        <v>15</v>
      </c>
      <c r="K945" s="5">
        <v>0.0</v>
      </c>
      <c r="L945" s="7">
        <v>1.66428630978993</v>
      </c>
      <c r="M945" s="4">
        <v>17.01</v>
      </c>
      <c r="N945" s="2">
        <v>5.08</v>
      </c>
    </row>
    <row r="946">
      <c r="A946" s="2" t="s">
        <v>971</v>
      </c>
      <c r="B946" s="3" t="str">
        <f>HYPERLINK("https://www.suredividend.com/sure-analysis-research-database/","MBIA Inc.")</f>
        <v>MBIA Inc.</v>
      </c>
      <c r="C946" s="2" t="s">
        <v>22</v>
      </c>
      <c r="D946" s="4">
        <v>6.13</v>
      </c>
      <c r="E946" s="5">
        <v>0.0</v>
      </c>
      <c r="F946" s="5" t="s">
        <v>15</v>
      </c>
      <c r="G946" s="5" t="s">
        <v>15</v>
      </c>
      <c r="H946" s="4">
        <v>0.0</v>
      </c>
      <c r="I946" s="4">
        <v>325.758596</v>
      </c>
      <c r="J946" s="6" t="s">
        <v>15</v>
      </c>
      <c r="K946" s="5">
        <v>0.0</v>
      </c>
      <c r="L946" s="7">
        <v>1.10739216922012</v>
      </c>
      <c r="M946" s="4">
        <v>7.33</v>
      </c>
      <c r="N946" s="2">
        <v>2.65</v>
      </c>
    </row>
    <row r="947">
      <c r="A947" s="2" t="s">
        <v>972</v>
      </c>
      <c r="B947" s="3" t="str">
        <f>HYPERLINK("https://www.suredividend.com/sure-analysis-research-database/","Merchants Bancorp")</f>
        <v>Merchants Bancorp</v>
      </c>
      <c r="C947" s="2" t="s">
        <v>22</v>
      </c>
      <c r="D947" s="4">
        <v>39.81</v>
      </c>
      <c r="E947" s="5">
        <v>0.007232043368296</v>
      </c>
      <c r="F947" s="5">
        <v>0.142857142857142</v>
      </c>
      <c r="G947" s="5">
        <v>0.0270660870893517</v>
      </c>
      <c r="H947" s="4">
        <v>0.317631344735603</v>
      </c>
      <c r="I947" s="4">
        <v>1899.110111</v>
      </c>
      <c r="J947" s="6">
        <v>8.47374412043709</v>
      </c>
      <c r="K947" s="5">
        <v>0.0614373974343526</v>
      </c>
      <c r="L947" s="7">
        <v>1.14537051870819</v>
      </c>
      <c r="M947" s="4">
        <v>44.27</v>
      </c>
      <c r="N947" s="2">
        <v>21.16</v>
      </c>
    </row>
    <row r="948">
      <c r="A948" s="2" t="s">
        <v>973</v>
      </c>
      <c r="B948" s="3" t="str">
        <f>HYPERLINK("https://www.suredividend.com/sure-analysis-research-database/","Malibu Boats Inc")</f>
        <v>Malibu Boats Inc</v>
      </c>
      <c r="C948" s="2" t="s">
        <v>25</v>
      </c>
      <c r="D948" s="4">
        <v>45.01</v>
      </c>
      <c r="E948" s="5">
        <v>0.0</v>
      </c>
      <c r="F948" s="5" t="s">
        <v>15</v>
      </c>
      <c r="G948" s="5" t="s">
        <v>15</v>
      </c>
      <c r="H948" s="4">
        <v>0.0</v>
      </c>
      <c r="I948" s="4">
        <v>1040.874372</v>
      </c>
      <c r="J948" s="6">
        <v>11.5795522487734</v>
      </c>
      <c r="K948" s="5">
        <v>0.0</v>
      </c>
      <c r="L948" s="7">
        <v>1.34815426537032</v>
      </c>
      <c r="M948" s="4">
        <v>65.45</v>
      </c>
      <c r="N948" s="2">
        <v>42.07</v>
      </c>
    </row>
    <row r="949">
      <c r="A949" s="2" t="s">
        <v>974</v>
      </c>
      <c r="B949" s="3" t="str">
        <f>HYPERLINK("https://www.suredividend.com/sure-analysis-research-database/","Mercantile Bank Corp.")</f>
        <v>Mercantile Bank Corp.</v>
      </c>
      <c r="C949" s="2" t="s">
        <v>22</v>
      </c>
      <c r="D949" s="4">
        <v>38.23</v>
      </c>
      <c r="E949" s="5">
        <v>0.03093530294157</v>
      </c>
      <c r="F949" s="5" t="s">
        <v>15</v>
      </c>
      <c r="G949" s="5" t="s">
        <v>15</v>
      </c>
      <c r="H949" s="4">
        <v>1.29990142960479</v>
      </c>
      <c r="I949" s="4">
        <v>673.351885</v>
      </c>
      <c r="J949" s="6">
        <v>8.01704828122395</v>
      </c>
      <c r="K949" s="5">
        <v>0.247129549354523</v>
      </c>
      <c r="L949" s="7">
        <v>1.22643242803189</v>
      </c>
      <c r="M949" s="4">
        <v>42.14</v>
      </c>
      <c r="N949" s="2">
        <v>22.39</v>
      </c>
    </row>
    <row r="950">
      <c r="A950" s="2" t="s">
        <v>975</v>
      </c>
      <c r="B950" s="3" t="str">
        <f>HYPERLINK("https://www.suredividend.com/sure-analysis-research-database/","Moelis &amp; Co")</f>
        <v>Moelis &amp; Co</v>
      </c>
      <c r="C950" s="2" t="s">
        <v>22</v>
      </c>
      <c r="D950" s="4">
        <v>55.03</v>
      </c>
      <c r="E950" s="5">
        <v>0.040742716447256</v>
      </c>
      <c r="F950" s="5">
        <v>0.0</v>
      </c>
      <c r="G950" s="5">
        <v>-0.043647500209963</v>
      </c>
      <c r="H950" s="4">
        <v>2.34963245751327</v>
      </c>
      <c r="I950" s="4">
        <v>3844.555556</v>
      </c>
      <c r="J950" s="6">
        <v>3787.73946384236</v>
      </c>
      <c r="K950" s="5">
        <v>162.043617759536</v>
      </c>
      <c r="L950" s="7">
        <v>1.28075114813002</v>
      </c>
      <c r="M950" s="4">
        <v>58.67</v>
      </c>
      <c r="N950" s="2">
        <v>32.97</v>
      </c>
    </row>
    <row r="951">
      <c r="A951" s="2" t="s">
        <v>976</v>
      </c>
      <c r="B951" s="3" t="str">
        <f>HYPERLINK("https://www.suredividend.com/sure-analysis-research-database/","Metropolitan Bank Holding Corp")</f>
        <v>Metropolitan Bank Holding Corp</v>
      </c>
      <c r="C951" s="2" t="s">
        <v>22</v>
      </c>
      <c r="D951" s="4">
        <v>43.8</v>
      </c>
      <c r="E951" s="5">
        <v>0.0</v>
      </c>
      <c r="F951" s="5" t="s">
        <v>15</v>
      </c>
      <c r="G951" s="5" t="s">
        <v>15</v>
      </c>
      <c r="H951" s="4">
        <v>0.0</v>
      </c>
      <c r="I951" s="4">
        <v>586.767146</v>
      </c>
      <c r="J951" s="6">
        <v>10.6762581179039</v>
      </c>
      <c r="K951" s="5">
        <v>0.0</v>
      </c>
      <c r="L951" s="7">
        <v>3.06850781261667</v>
      </c>
      <c r="M951" s="4">
        <v>61.02</v>
      </c>
      <c r="N951" s="2">
        <v>13.98</v>
      </c>
    </row>
    <row r="952">
      <c r="A952" s="2" t="s">
        <v>977</v>
      </c>
      <c r="B952" s="3" t="str">
        <f>HYPERLINK("https://www.suredividend.com/sure-analysis-research-database/","Macatawa Bank Corp.")</f>
        <v>Macatawa Bank Corp.</v>
      </c>
      <c r="C952" s="2" t="s">
        <v>22</v>
      </c>
      <c r="D952" s="4">
        <v>10.03</v>
      </c>
      <c r="E952" s="5">
        <v>0.02855344934068</v>
      </c>
      <c r="F952" s="5">
        <v>0.125</v>
      </c>
      <c r="G952" s="5">
        <v>0.0515474967972804</v>
      </c>
      <c r="H952" s="4">
        <v>0.322082908562879</v>
      </c>
      <c r="I952" s="4">
        <v>386.807973</v>
      </c>
      <c r="J952" s="6">
        <v>8.43693095207974</v>
      </c>
      <c r="K952" s="5">
        <v>0.240360379524536</v>
      </c>
      <c r="L952" s="7">
        <v>0.794701488051522</v>
      </c>
      <c r="M952" s="4">
        <v>11.91</v>
      </c>
      <c r="N952" s="2">
        <v>6.65</v>
      </c>
    </row>
    <row r="953">
      <c r="A953" s="2" t="s">
        <v>978</v>
      </c>
      <c r="B953" s="3" t="str">
        <f>HYPERLINK("https://www.suredividend.com/sure-analysis-research-database/","MetroCity Bankshares Inc")</f>
        <v>MetroCity Bankshares Inc</v>
      </c>
      <c r="C953" s="2" t="s">
        <v>22</v>
      </c>
      <c r="D953" s="4">
        <v>23.42</v>
      </c>
      <c r="E953" s="5">
        <v>0.027538999088527</v>
      </c>
      <c r="F953" s="5">
        <v>0.111111111111111</v>
      </c>
      <c r="G953" s="5">
        <v>0.0</v>
      </c>
      <c r="H953" s="4">
        <v>0.68868978140608</v>
      </c>
      <c r="I953" s="4">
        <v>630.348732</v>
      </c>
      <c r="J953" s="6">
        <v>12.4955146585061</v>
      </c>
      <c r="K953" s="5">
        <v>0.347823121922262</v>
      </c>
      <c r="L953" s="7">
        <v>1.38414233580877</v>
      </c>
      <c r="M953" s="4">
        <v>25.79</v>
      </c>
      <c r="N953" s="2">
        <v>12.43</v>
      </c>
    </row>
    <row r="954">
      <c r="A954" s="2" t="s">
        <v>979</v>
      </c>
      <c r="B954" s="3" t="str">
        <f>HYPERLINK("https://www.suredividend.com/sure-analysis-research-database/","MasterCraft Boat Holdings Inc")</f>
        <v>MasterCraft Boat Holdings Inc</v>
      </c>
      <c r="C954" s="2" t="s">
        <v>25</v>
      </c>
      <c r="D954" s="4">
        <v>19.67</v>
      </c>
      <c r="E954" s="5">
        <v>0.0</v>
      </c>
      <c r="F954" s="5" t="s">
        <v>15</v>
      </c>
      <c r="G954" s="5" t="s">
        <v>15</v>
      </c>
      <c r="H954" s="4">
        <v>0.0</v>
      </c>
      <c r="I954" s="4">
        <v>369.281417</v>
      </c>
      <c r="J954" s="6">
        <v>5.19646258865248</v>
      </c>
      <c r="K954" s="5">
        <v>0.0</v>
      </c>
      <c r="L954" s="7">
        <v>1.14627076569701</v>
      </c>
      <c r="M954" s="4">
        <v>35.29</v>
      </c>
      <c r="N954" s="2">
        <v>19.25</v>
      </c>
    </row>
    <row r="955">
      <c r="A955" s="2" t="s">
        <v>980</v>
      </c>
      <c r="B955" s="3" t="str">
        <f>HYPERLINK("https://www.suredividend.com/sure-analysis-research-database/","Seres Therapeutics Inc")</f>
        <v>Seres Therapeutics Inc</v>
      </c>
      <c r="C955" s="2" t="s">
        <v>30</v>
      </c>
      <c r="D955" s="4">
        <v>1.09</v>
      </c>
      <c r="E955" s="5">
        <v>0.0</v>
      </c>
      <c r="F955" s="5" t="s">
        <v>15</v>
      </c>
      <c r="G955" s="5" t="s">
        <v>15</v>
      </c>
      <c r="H955" s="4">
        <v>0.0</v>
      </c>
      <c r="I955" s="4">
        <v>161.571499</v>
      </c>
      <c r="J955" s="6" t="s">
        <v>15</v>
      </c>
      <c r="K955" s="5">
        <v>0.0</v>
      </c>
      <c r="L955" s="7">
        <v>0.647560042974201</v>
      </c>
      <c r="M955" s="4">
        <v>6.87</v>
      </c>
      <c r="N955" s="2">
        <v>0.91</v>
      </c>
    </row>
    <row r="956">
      <c r="A956" s="2" t="s">
        <v>981</v>
      </c>
      <c r="B956" s="3" t="str">
        <f>HYPERLINK("https://www.suredividend.com/sure-analysis-research-database/","Monarch Casino &amp; Resort, Inc.")</f>
        <v>Monarch Casino &amp; Resort, Inc.</v>
      </c>
      <c r="C956" s="2" t="s">
        <v>25</v>
      </c>
      <c r="D956" s="4">
        <v>68.86</v>
      </c>
      <c r="E956" s="5">
        <v>0.012819555394241</v>
      </c>
      <c r="F956" s="5" t="s">
        <v>15</v>
      </c>
      <c r="G956" s="5" t="s">
        <v>15</v>
      </c>
      <c r="H956" s="4">
        <v>0.891728273223407</v>
      </c>
      <c r="I956" s="4">
        <v>1326.33683</v>
      </c>
      <c r="J956" s="6">
        <v>15.3017089528028</v>
      </c>
      <c r="K956" s="5">
        <v>0.201748478104843</v>
      </c>
      <c r="L956" s="7">
        <v>0.92225186014546</v>
      </c>
      <c r="M956" s="4">
        <v>75.99</v>
      </c>
      <c r="N956" s="2">
        <v>55.72</v>
      </c>
    </row>
    <row r="957">
      <c r="A957" s="2" t="s">
        <v>982</v>
      </c>
      <c r="B957" s="3" t="str">
        <f>HYPERLINK("https://www.suredividend.com/sure-analysis-research-database/","Marcus Corp.")</f>
        <v>Marcus Corp.</v>
      </c>
      <c r="C957" s="2" t="s">
        <v>114</v>
      </c>
      <c r="D957" s="4">
        <v>13.36</v>
      </c>
      <c r="E957" s="5">
        <v>0.017414183330899</v>
      </c>
      <c r="F957" s="5" t="s">
        <v>15</v>
      </c>
      <c r="G957" s="5" t="s">
        <v>15</v>
      </c>
      <c r="H957" s="4">
        <v>0.238574311633329</v>
      </c>
      <c r="I957" s="4">
        <v>337.257613</v>
      </c>
      <c r="J957" s="6">
        <v>48.7718890527838</v>
      </c>
      <c r="K957" s="5">
        <v>1.09237322176432</v>
      </c>
      <c r="L957" s="7">
        <v>0.391143386429908</v>
      </c>
      <c r="M957" s="4">
        <v>17.82</v>
      </c>
      <c r="N957" s="2">
        <v>13.3</v>
      </c>
    </row>
    <row r="958">
      <c r="A958" s="2" t="s">
        <v>983</v>
      </c>
      <c r="B958" s="3" t="str">
        <f>HYPERLINK("https://www.suredividend.com/sure-analysis-MCY/","Mercury General Corp.")</f>
        <v>Mercury General Corp.</v>
      </c>
      <c r="C958" s="2" t="s">
        <v>22</v>
      </c>
      <c r="D958" s="4">
        <v>38.28</v>
      </c>
      <c r="E958" s="5">
        <v>0.0331765935214211</v>
      </c>
      <c r="F958" s="5">
        <v>0.0</v>
      </c>
      <c r="G958" s="5">
        <v>-0.127378317576999</v>
      </c>
      <c r="H958" s="4">
        <v>1.25221524984841</v>
      </c>
      <c r="I958" s="4">
        <v>2291.810947</v>
      </c>
      <c r="J958" s="6" t="s">
        <v>15</v>
      </c>
      <c r="K958" s="5" t="s">
        <v>15</v>
      </c>
      <c r="L958" s="7">
        <v>0.906408606494179</v>
      </c>
      <c r="M958" s="4">
        <v>41.9</v>
      </c>
      <c r="N958" s="2">
        <v>25.39</v>
      </c>
    </row>
    <row r="959">
      <c r="A959" s="2" t="s">
        <v>984</v>
      </c>
      <c r="B959" s="3" t="str">
        <f>HYPERLINK("https://www.suredividend.com/sure-analysis-research-database/","Pediatrix Medical Group Inc")</f>
        <v>Pediatrix Medical Group Inc</v>
      </c>
      <c r="C959" s="2" t="s">
        <v>30</v>
      </c>
      <c r="D959" s="4">
        <v>8.88</v>
      </c>
      <c r="E959" s="5">
        <v>0.0</v>
      </c>
      <c r="F959" s="5" t="s">
        <v>15</v>
      </c>
      <c r="G959" s="5" t="s">
        <v>15</v>
      </c>
      <c r="H959" s="4">
        <v>0.0</v>
      </c>
      <c r="I959" s="4">
        <v>828.475812</v>
      </c>
      <c r="J959" s="6">
        <v>8.85710419038251</v>
      </c>
      <c r="K959" s="5">
        <v>0.0</v>
      </c>
      <c r="L959" s="7">
        <v>0.903936664794288</v>
      </c>
      <c r="M959" s="4">
        <v>17.3</v>
      </c>
      <c r="N959" s="2">
        <v>8.18</v>
      </c>
    </row>
    <row r="960">
      <c r="A960" s="2" t="s">
        <v>985</v>
      </c>
      <c r="B960" s="3" t="str">
        <f>HYPERLINK("https://www.suredividend.com/sure-analysis-MDC/","M.D.C. Holdings, Inc.")</f>
        <v>M.D.C. Holdings, Inc.</v>
      </c>
      <c r="C960" s="2" t="s">
        <v>25</v>
      </c>
      <c r="D960" s="4">
        <v>62.84</v>
      </c>
      <c r="E960" s="5">
        <v>0.0350095480585614</v>
      </c>
      <c r="F960" s="5">
        <v>0.1</v>
      </c>
      <c r="G960" s="5">
        <v>0.128881320730197</v>
      </c>
      <c r="H960" s="4">
        <v>2.06351058890733</v>
      </c>
      <c r="I960" s="4">
        <v>4678.288274</v>
      </c>
      <c r="J960" s="6">
        <v>13.0209616051145</v>
      </c>
      <c r="K960" s="5">
        <v>0.428114230063761</v>
      </c>
      <c r="L960" s="7">
        <v>1.544084780171</v>
      </c>
      <c r="M960" s="4">
        <v>63.0</v>
      </c>
      <c r="N960" s="2">
        <v>33.56</v>
      </c>
    </row>
    <row r="961">
      <c r="A961" s="2" t="s">
        <v>986</v>
      </c>
      <c r="B961" s="3" t="str">
        <f>HYPERLINK("https://www.suredividend.com/sure-analysis-research-database/","Madrigal Pharmaceuticals Inc")</f>
        <v>Madrigal Pharmaceuticals Inc</v>
      </c>
      <c r="C961" s="2" t="s">
        <v>30</v>
      </c>
      <c r="D961" s="4">
        <v>227.05</v>
      </c>
      <c r="E961" s="5">
        <v>0.0</v>
      </c>
      <c r="F961" s="5" t="s">
        <v>15</v>
      </c>
      <c r="G961" s="5" t="s">
        <v>15</v>
      </c>
      <c r="H961" s="4">
        <v>0.0</v>
      </c>
      <c r="I961" s="4">
        <v>4481.383216</v>
      </c>
      <c r="J961" s="6">
        <v>0.0</v>
      </c>
      <c r="K961" s="5" t="s">
        <v>15</v>
      </c>
      <c r="L961" s="7">
        <v>0.77842003025266</v>
      </c>
      <c r="M961" s="4">
        <v>322.67</v>
      </c>
      <c r="N961" s="2">
        <v>119.76</v>
      </c>
    </row>
    <row r="962">
      <c r="A962" s="2" t="s">
        <v>987</v>
      </c>
      <c r="B962" s="3" t="str">
        <f>HYPERLINK("https://www.suredividend.com/sure-analysis-research-database/","Veradigm Inc")</f>
        <v>Veradigm Inc</v>
      </c>
      <c r="C962" s="2" t="s">
        <v>30</v>
      </c>
      <c r="D962" s="4">
        <v>9.11</v>
      </c>
      <c r="E962" s="5">
        <v>0.0</v>
      </c>
      <c r="F962" s="5" t="s">
        <v>15</v>
      </c>
      <c r="G962" s="5" t="s">
        <v>15</v>
      </c>
      <c r="H962" s="4">
        <v>0.0</v>
      </c>
      <c r="I962" s="4">
        <v>1055.449436</v>
      </c>
      <c r="J962" s="6">
        <v>17.4068911198337</v>
      </c>
      <c r="K962" s="5">
        <v>0.0</v>
      </c>
      <c r="L962" s="7">
        <v>0.818775196030148</v>
      </c>
      <c r="M962" s="4">
        <v>17.92</v>
      </c>
      <c r="N962" s="2">
        <v>8.68</v>
      </c>
    </row>
    <row r="963">
      <c r="A963" s="2" t="s">
        <v>988</v>
      </c>
      <c r="B963" s="3" t="str">
        <f>HYPERLINK("https://www.suredividend.com/sure-analysis-research-database/","Mimedx Group Inc")</f>
        <v>Mimedx Group Inc</v>
      </c>
      <c r="C963" s="2" t="s">
        <v>30</v>
      </c>
      <c r="D963" s="4">
        <v>7.68</v>
      </c>
      <c r="E963" s="5">
        <v>0.0</v>
      </c>
      <c r="F963" s="5" t="s">
        <v>15</v>
      </c>
      <c r="G963" s="5" t="s">
        <v>15</v>
      </c>
      <c r="H963" s="4">
        <v>0.0</v>
      </c>
      <c r="I963" s="4">
        <v>970.580702</v>
      </c>
      <c r="J963" s="6" t="s">
        <v>15</v>
      </c>
      <c r="K963" s="5">
        <v>0.0</v>
      </c>
      <c r="L963" s="7">
        <v>1.08707708577182</v>
      </c>
      <c r="M963" s="4">
        <v>9.27</v>
      </c>
      <c r="N963" s="2">
        <v>3.08</v>
      </c>
    </row>
    <row r="964">
      <c r="A964" s="2" t="s">
        <v>989</v>
      </c>
      <c r="B964" s="3" t="str">
        <f>HYPERLINK("https://www.suredividend.com/sure-analysis-research-database/","23andMe Holding Co")</f>
        <v>23andMe Holding Co</v>
      </c>
      <c r="C964" s="2" t="s">
        <v>15</v>
      </c>
      <c r="D964" s="4">
        <v>0.6572</v>
      </c>
      <c r="E964" s="5">
        <v>0.0</v>
      </c>
      <c r="F964" s="5" t="s">
        <v>15</v>
      </c>
      <c r="G964" s="5" t="s">
        <v>15</v>
      </c>
      <c r="H964" s="4">
        <v>0.0</v>
      </c>
      <c r="I964" s="4">
        <v>240.502987</v>
      </c>
      <c r="J964" s="6" t="s">
        <v>15</v>
      </c>
      <c r="K964" s="5">
        <v>0.0</v>
      </c>
      <c r="L964" s="7">
        <v>2.24943921672529</v>
      </c>
      <c r="M964" s="4">
        <v>2.99</v>
      </c>
      <c r="N964" s="2">
        <v>0.6101</v>
      </c>
    </row>
    <row r="965">
      <c r="A965" s="2" t="s">
        <v>990</v>
      </c>
      <c r="B965" s="3" t="str">
        <f>HYPERLINK("https://www.suredividend.com/sure-analysis-research-database/","Medifast Inc")</f>
        <v>Medifast Inc</v>
      </c>
      <c r="C965" s="2" t="s">
        <v>25</v>
      </c>
      <c r="D965" s="4">
        <v>51.67</v>
      </c>
      <c r="E965" s="5">
        <v>0.08695093785724</v>
      </c>
      <c r="F965" s="5" t="s">
        <v>15</v>
      </c>
      <c r="G965" s="5" t="s">
        <v>15</v>
      </c>
      <c r="H965" s="4">
        <v>4.85273184181258</v>
      </c>
      <c r="I965" s="4">
        <v>607.916118</v>
      </c>
      <c r="J965" s="6">
        <v>5.07027738260855</v>
      </c>
      <c r="K965" s="5">
        <v>0.442363887129679</v>
      </c>
      <c r="L965" s="7">
        <v>1.10597075071588</v>
      </c>
      <c r="M965" s="4">
        <v>111.95</v>
      </c>
      <c r="N965" s="2">
        <v>51.44</v>
      </c>
    </row>
    <row r="966">
      <c r="A966" s="2" t="s">
        <v>991</v>
      </c>
      <c r="B966" s="3" t="str">
        <f>HYPERLINK("https://www.suredividend.com/sure-analysis-research-database/","Medpace Holdings Inc")</f>
        <v>Medpace Holdings Inc</v>
      </c>
      <c r="C966" s="2" t="s">
        <v>30</v>
      </c>
      <c r="D966" s="4">
        <v>295.29</v>
      </c>
      <c r="E966" s="5">
        <v>0.0</v>
      </c>
      <c r="F966" s="5" t="s">
        <v>15</v>
      </c>
      <c r="G966" s="5" t="s">
        <v>15</v>
      </c>
      <c r="H966" s="4">
        <v>0.0</v>
      </c>
      <c r="I966" s="4">
        <v>9246.453439</v>
      </c>
      <c r="J966" s="6">
        <v>33.8700409475527</v>
      </c>
      <c r="K966" s="5">
        <v>0.0</v>
      </c>
      <c r="L966" s="7">
        <v>1.29581984899476</v>
      </c>
      <c r="M966" s="4">
        <v>317.57</v>
      </c>
      <c r="N966" s="2">
        <v>167.0</v>
      </c>
    </row>
    <row r="967">
      <c r="A967" s="2" t="s">
        <v>992</v>
      </c>
      <c r="B967" s="3" t="str">
        <f>HYPERLINK("https://www.suredividend.com/sure-analysis-research-database/","Montrose Environmental Group Inc")</f>
        <v>Montrose Environmental Group Inc</v>
      </c>
      <c r="C967" s="2" t="s">
        <v>15</v>
      </c>
      <c r="D967" s="4">
        <v>31.16</v>
      </c>
      <c r="E967" s="5">
        <v>0.0</v>
      </c>
      <c r="F967" s="5" t="s">
        <v>15</v>
      </c>
      <c r="G967" s="5" t="s">
        <v>15</v>
      </c>
      <c r="H967" s="4">
        <v>0.0</v>
      </c>
      <c r="I967" s="4">
        <v>962.702081</v>
      </c>
      <c r="J967" s="6" t="s">
        <v>15</v>
      </c>
      <c r="K967" s="5">
        <v>0.0</v>
      </c>
      <c r="L967" s="7">
        <v>1.78841215066058</v>
      </c>
      <c r="M967" s="4">
        <v>55.0</v>
      </c>
      <c r="N967" s="2">
        <v>21.96</v>
      </c>
    </row>
    <row r="968">
      <c r="A968" s="2" t="s">
        <v>993</v>
      </c>
      <c r="B968" s="3" t="str">
        <f>HYPERLINK("https://www.suredividend.com/sure-analysis-research-database/","Methode Electronics, Inc.")</f>
        <v>Methode Electronics, Inc.</v>
      </c>
      <c r="C968" s="2" t="s">
        <v>40</v>
      </c>
      <c r="D968" s="4">
        <v>20.78</v>
      </c>
      <c r="E968" s="5">
        <v>0.025732138835683</v>
      </c>
      <c r="F968" s="5">
        <v>0.0</v>
      </c>
      <c r="G968" s="5">
        <v>0.0494145228445839</v>
      </c>
      <c r="H968" s="4">
        <v>0.555042234685694</v>
      </c>
      <c r="I968" s="4">
        <v>767.879619</v>
      </c>
      <c r="J968" s="6" t="s">
        <v>15</v>
      </c>
      <c r="K968" s="5" t="s">
        <v>15</v>
      </c>
      <c r="L968" s="7">
        <v>1.15767709631781</v>
      </c>
      <c r="M968" s="4">
        <v>50.37</v>
      </c>
      <c r="N968" s="2">
        <v>20.09</v>
      </c>
    </row>
    <row r="969">
      <c r="A969" s="2" t="s">
        <v>994</v>
      </c>
      <c r="B969" s="3" t="str">
        <f>HYPERLINK("https://www.suredividend.com/sure-analysis-research-database/","Ramaco Resources Inc")</f>
        <v>Ramaco Resources Inc</v>
      </c>
      <c r="C969" s="2" t="s">
        <v>130</v>
      </c>
      <c r="D969" s="4">
        <v>17.07</v>
      </c>
      <c r="E969" s="5">
        <v>0.01321185423051</v>
      </c>
      <c r="F969" s="5" t="s">
        <v>15</v>
      </c>
      <c r="G969" s="5" t="s">
        <v>15</v>
      </c>
      <c r="H969" s="4">
        <v>0.248118622448979</v>
      </c>
      <c r="I969" s="4">
        <v>938.408661</v>
      </c>
      <c r="J969" s="6">
        <v>14.0773264837011</v>
      </c>
      <c r="K969" s="5">
        <v>0.201722457275592</v>
      </c>
      <c r="L969" s="7">
        <v>0.263045430801868</v>
      </c>
      <c r="M969" s="4">
        <v>22.7</v>
      </c>
      <c r="N969" s="2">
        <v>7.22</v>
      </c>
    </row>
    <row r="970">
      <c r="A970" s="2" t="s">
        <v>995</v>
      </c>
      <c r="B970" s="3" t="str">
        <f>HYPERLINK("https://www.suredividend.com/sure-analysis-research-database/","MFA Financial Inc")</f>
        <v>MFA Financial Inc</v>
      </c>
      <c r="C970" s="2" t="s">
        <v>20</v>
      </c>
      <c r="D970" s="4">
        <v>10.99</v>
      </c>
      <c r="E970" s="5">
        <v>0.115068458968155</v>
      </c>
      <c r="F970" s="5" t="s">
        <v>15</v>
      </c>
      <c r="G970" s="5" t="s">
        <v>15</v>
      </c>
      <c r="H970" s="4">
        <v>1.33479412403059</v>
      </c>
      <c r="I970" s="4">
        <v>1182.223245</v>
      </c>
      <c r="J970" s="6" t="s">
        <v>15</v>
      </c>
      <c r="K970" s="5" t="s">
        <v>15</v>
      </c>
      <c r="L970" s="7">
        <v>1.49175067009805</v>
      </c>
      <c r="M970" s="4">
        <v>11.7</v>
      </c>
      <c r="N970" s="2">
        <v>7.56</v>
      </c>
    </row>
    <row r="971">
      <c r="A971" s="2" t="s">
        <v>996</v>
      </c>
      <c r="B971" s="3" t="str">
        <f>HYPERLINK("https://www.suredividend.com/sure-analysis-MGEE/","MGE Energy, Inc.")</f>
        <v>MGE Energy, Inc.</v>
      </c>
      <c r="C971" s="2" t="s">
        <v>91</v>
      </c>
      <c r="D971" s="4">
        <v>62.19</v>
      </c>
      <c r="E971" s="5">
        <v>0.0274963820549927</v>
      </c>
      <c r="F971" s="5">
        <v>0.0490797546012269</v>
      </c>
      <c r="G971" s="5">
        <v>0.0484131712847215</v>
      </c>
      <c r="H971" s="4">
        <v>1.64195794644974</v>
      </c>
      <c r="I971" s="4">
        <v>2384.974252</v>
      </c>
      <c r="J971" s="6">
        <v>21.349311188592</v>
      </c>
      <c r="K971" s="5">
        <v>0.531377976197328</v>
      </c>
      <c r="L971" s="7">
        <v>0.506076886916591</v>
      </c>
      <c r="M971" s="4">
        <v>81.36</v>
      </c>
      <c r="N971" s="2">
        <v>64.35</v>
      </c>
    </row>
    <row r="972">
      <c r="A972" s="2" t="s">
        <v>997</v>
      </c>
      <c r="B972" s="3" t="str">
        <f>HYPERLINK("https://www.suredividend.com/sure-analysis-research-database/","Magnite Inc")</f>
        <v>Magnite Inc</v>
      </c>
      <c r="C972" s="2" t="s">
        <v>15</v>
      </c>
      <c r="D972" s="4">
        <v>8.76</v>
      </c>
      <c r="E972" s="5">
        <v>0.0</v>
      </c>
      <c r="F972" s="5" t="s">
        <v>15</v>
      </c>
      <c r="G972" s="5" t="s">
        <v>15</v>
      </c>
      <c r="H972" s="4">
        <v>0.0</v>
      </c>
      <c r="I972" s="4">
        <v>1320.612887</v>
      </c>
      <c r="J972" s="6" t="s">
        <v>15</v>
      </c>
      <c r="K972" s="5">
        <v>0.0</v>
      </c>
      <c r="L972" s="7">
        <v>2.10420533466252</v>
      </c>
      <c r="M972" s="4">
        <v>15.73</v>
      </c>
      <c r="N972" s="2">
        <v>6.28</v>
      </c>
    </row>
    <row r="973">
      <c r="A973" s="2" t="s">
        <v>998</v>
      </c>
      <c r="B973" s="3" t="str">
        <f>HYPERLINK("https://www.suredividend.com/sure-analysis-research-database/","Macrogenics Inc")</f>
        <v>Macrogenics Inc</v>
      </c>
      <c r="C973" s="2" t="s">
        <v>30</v>
      </c>
      <c r="D973" s="4">
        <v>16.75</v>
      </c>
      <c r="E973" s="5">
        <v>0.0</v>
      </c>
      <c r="F973" s="5" t="s">
        <v>15</v>
      </c>
      <c r="G973" s="5" t="s">
        <v>15</v>
      </c>
      <c r="H973" s="4">
        <v>0.0</v>
      </c>
      <c r="I973" s="4">
        <v>846.081657</v>
      </c>
      <c r="J973" s="6">
        <v>16.9841347575076</v>
      </c>
      <c r="K973" s="5">
        <v>0.0</v>
      </c>
      <c r="L973" s="7">
        <v>1.34640052292588</v>
      </c>
      <c r="M973" s="4">
        <v>13.82</v>
      </c>
      <c r="N973" s="2">
        <v>4.29</v>
      </c>
    </row>
    <row r="974">
      <c r="A974" s="2" t="s">
        <v>999</v>
      </c>
      <c r="B974" s="3" t="str">
        <f>HYPERLINK("https://www.suredividend.com/sure-analysis-research-database/","MGP Ingredients, Inc.")</f>
        <v>MGP Ingredients, Inc.</v>
      </c>
      <c r="C974" s="2" t="s">
        <v>89</v>
      </c>
      <c r="D974" s="4">
        <v>81.64</v>
      </c>
      <c r="E974" s="5">
        <v>0.005384748119193</v>
      </c>
      <c r="F974" s="5">
        <v>0.0</v>
      </c>
      <c r="G974" s="5">
        <v>0.0371372893366481</v>
      </c>
      <c r="H974" s="4">
        <v>0.478704107796329</v>
      </c>
      <c r="I974" s="4">
        <v>1951.431632</v>
      </c>
      <c r="J974" s="6">
        <v>19.8815281427974</v>
      </c>
      <c r="K974" s="5">
        <v>0.108059618012715</v>
      </c>
      <c r="L974" s="7">
        <v>0.943350721421549</v>
      </c>
      <c r="M974" s="4">
        <v>124.51</v>
      </c>
      <c r="N974" s="2">
        <v>82.6</v>
      </c>
    </row>
    <row r="975">
      <c r="A975" s="2" t="s">
        <v>1000</v>
      </c>
      <c r="B975" s="3" t="str">
        <f>HYPERLINK("https://www.suredividend.com/sure-analysis-MGRC/","McGrath Rentcorp")</f>
        <v>McGrath Rentcorp</v>
      </c>
      <c r="C975" s="2" t="s">
        <v>17</v>
      </c>
      <c r="D975" s="4">
        <v>127.48</v>
      </c>
      <c r="E975" s="5">
        <v>0.0145905240037652</v>
      </c>
      <c r="F975" s="5">
        <v>0.0219780219780219</v>
      </c>
      <c r="G975" s="5">
        <v>0.0439611497901928</v>
      </c>
      <c r="H975" s="4">
        <v>1.83536002305112</v>
      </c>
      <c r="I975" s="4">
        <v>3030.568819</v>
      </c>
      <c r="J975" s="6">
        <v>16.6290004650307</v>
      </c>
      <c r="K975" s="5">
        <v>0.247020191527742</v>
      </c>
      <c r="L975" s="7">
        <v>0.90784866348091</v>
      </c>
      <c r="M975" s="4">
        <v>124.0</v>
      </c>
      <c r="N975" s="2">
        <v>82.87</v>
      </c>
    </row>
    <row r="976">
      <c r="A976" s="2" t="s">
        <v>1001</v>
      </c>
      <c r="B976" s="3" t="str">
        <f>HYPERLINK("https://www.suredividend.com/sure-analysis-research-database/","MeiraGTx Holdings plc")</f>
        <v>MeiraGTx Holdings plc</v>
      </c>
      <c r="C976" s="2" t="s">
        <v>30</v>
      </c>
      <c r="D976" s="4">
        <v>6.05</v>
      </c>
      <c r="E976" s="5">
        <v>0.0</v>
      </c>
      <c r="F976" s="5" t="s">
        <v>15</v>
      </c>
      <c r="G976" s="5" t="s">
        <v>15</v>
      </c>
      <c r="H976" s="4">
        <v>0.0</v>
      </c>
      <c r="I976" s="4">
        <v>438.820342</v>
      </c>
      <c r="J976" s="6" t="s">
        <v>15</v>
      </c>
      <c r="K976" s="5">
        <v>0.0</v>
      </c>
      <c r="L976" s="7">
        <v>1.73862523726434</v>
      </c>
      <c r="M976" s="4">
        <v>8.77</v>
      </c>
      <c r="N976" s="2">
        <v>3.49</v>
      </c>
    </row>
    <row r="977">
      <c r="A977" s="2" t="s">
        <v>1002</v>
      </c>
      <c r="B977" s="3" t="str">
        <f>HYPERLINK("https://www.suredividend.com/sure-analysis-research-database/","Magnolia Oil &amp; Gas Corp")</f>
        <v>Magnolia Oil &amp; Gas Corp</v>
      </c>
      <c r="C977" s="2" t="s">
        <v>125</v>
      </c>
      <c r="D977" s="4">
        <v>19.87</v>
      </c>
      <c r="E977" s="5">
        <v>0.021668799753334</v>
      </c>
      <c r="F977" s="5" t="s">
        <v>15</v>
      </c>
      <c r="G977" s="5" t="s">
        <v>15</v>
      </c>
      <c r="H977" s="4">
        <v>0.456344922805226</v>
      </c>
      <c r="I977" s="4">
        <v>3900.805394</v>
      </c>
      <c r="J977" s="6">
        <v>7.59811799131656</v>
      </c>
      <c r="K977" s="5">
        <v>0.169016638076009</v>
      </c>
      <c r="L977" s="7">
        <v>1.0100833059562</v>
      </c>
      <c r="M977" s="4">
        <v>23.89</v>
      </c>
      <c r="N977" s="2">
        <v>18.42</v>
      </c>
    </row>
    <row r="978">
      <c r="A978" s="2" t="s">
        <v>1003</v>
      </c>
      <c r="B978" s="3" t="str">
        <f>HYPERLINK("https://www.suredividend.com/sure-analysis-research-database/","MI Homes Inc.")</f>
        <v>MI Homes Inc.</v>
      </c>
      <c r="C978" s="2" t="s">
        <v>25</v>
      </c>
      <c r="D978" s="4">
        <v>123.48</v>
      </c>
      <c r="E978" s="5">
        <v>0.0</v>
      </c>
      <c r="F978" s="5" t="s">
        <v>15</v>
      </c>
      <c r="G978" s="5" t="s">
        <v>15</v>
      </c>
      <c r="H978" s="4">
        <v>0.0</v>
      </c>
      <c r="I978" s="4">
        <v>3735.879226</v>
      </c>
      <c r="J978" s="6">
        <v>7.61681304013635</v>
      </c>
      <c r="K978" s="5">
        <v>0.0</v>
      </c>
      <c r="L978" s="7">
        <v>1.41617586551891</v>
      </c>
      <c r="M978" s="4">
        <v>140.73</v>
      </c>
      <c r="N978" s="2">
        <v>54.55</v>
      </c>
    </row>
    <row r="979">
      <c r="A979" s="2" t="s">
        <v>1004</v>
      </c>
      <c r="B979" s="3" t="str">
        <f>HYPERLINK("https://www.suredividend.com/sure-analysis-research-database/","Mirion Technologies Inc.")</f>
        <v>Mirion Technologies Inc.</v>
      </c>
      <c r="C979" s="2" t="s">
        <v>15</v>
      </c>
      <c r="D979" s="4">
        <v>9.74</v>
      </c>
      <c r="E979" s="5">
        <v>0.0</v>
      </c>
      <c r="F979" s="5" t="s">
        <v>15</v>
      </c>
      <c r="G979" s="5" t="s">
        <v>15</v>
      </c>
      <c r="H979" s="4">
        <v>0.0</v>
      </c>
      <c r="I979" s="4">
        <v>2114.331359</v>
      </c>
      <c r="J979" s="6" t="s">
        <v>15</v>
      </c>
      <c r="K979" s="5">
        <v>0.0</v>
      </c>
      <c r="L979" s="7">
        <v>1.10071689257936</v>
      </c>
      <c r="M979" s="4">
        <v>10.52</v>
      </c>
      <c r="N979" s="2">
        <v>6.7</v>
      </c>
    </row>
    <row r="980">
      <c r="A980" s="2" t="s">
        <v>1005</v>
      </c>
      <c r="B980" s="3" t="str">
        <f>HYPERLINK("https://www.suredividend.com/sure-analysis-research-database/","Mirum Pharmaceuticals Inc")</f>
        <v>Mirum Pharmaceuticals Inc</v>
      </c>
      <c r="C980" s="2" t="s">
        <v>30</v>
      </c>
      <c r="D980" s="4">
        <v>26.27</v>
      </c>
      <c r="E980" s="5">
        <v>0.0</v>
      </c>
      <c r="F980" s="5" t="s">
        <v>15</v>
      </c>
      <c r="G980" s="5" t="s">
        <v>15</v>
      </c>
      <c r="H980" s="4">
        <v>0.0</v>
      </c>
      <c r="I980" s="4">
        <v>1264.179111</v>
      </c>
      <c r="J980" s="6" t="s">
        <v>15</v>
      </c>
      <c r="K980" s="5">
        <v>0.0</v>
      </c>
      <c r="L980" s="7">
        <v>0.587434578231912</v>
      </c>
      <c r="M980" s="4">
        <v>35.56</v>
      </c>
      <c r="N980" s="2">
        <v>20.81</v>
      </c>
    </row>
    <row r="981">
      <c r="A981" s="2" t="s">
        <v>1006</v>
      </c>
      <c r="B981" s="3" t="str">
        <f>HYPERLINK("https://www.suredividend.com/sure-analysis-research-database/","Mitek Systems Inc")</f>
        <v>Mitek Systems Inc</v>
      </c>
      <c r="C981" s="2" t="s">
        <v>40</v>
      </c>
      <c r="D981" s="4">
        <v>12.67</v>
      </c>
      <c r="E981" s="5">
        <v>0.0</v>
      </c>
      <c r="F981" s="5" t="s">
        <v>15</v>
      </c>
      <c r="G981" s="5" t="s">
        <v>15</v>
      </c>
      <c r="H981" s="4">
        <v>0.0</v>
      </c>
      <c r="I981" s="4">
        <v>581.267081</v>
      </c>
      <c r="J981" s="6">
        <v>76.9380650231634</v>
      </c>
      <c r="K981" s="5">
        <v>0.0</v>
      </c>
      <c r="L981" s="7">
        <v>0.947517580727386</v>
      </c>
      <c r="M981" s="4">
        <v>13.98</v>
      </c>
      <c r="N981" s="2">
        <v>8.6</v>
      </c>
    </row>
    <row r="982">
      <c r="A982" s="2" t="s">
        <v>1007</v>
      </c>
      <c r="B982" s="3" t="str">
        <f>HYPERLINK("https://www.suredividend.com/sure-analysis-research-database/","Markforged Holding Corporation")</f>
        <v>Markforged Holding Corporation</v>
      </c>
      <c r="C982" s="2" t="s">
        <v>15</v>
      </c>
      <c r="D982" s="4">
        <v>0.6343</v>
      </c>
      <c r="E982" s="5">
        <v>0.0</v>
      </c>
      <c r="F982" s="5" t="s">
        <v>15</v>
      </c>
      <c r="G982" s="5" t="s">
        <v>15</v>
      </c>
      <c r="H982" s="4">
        <v>0.0</v>
      </c>
      <c r="I982" s="4">
        <v>143.414417</v>
      </c>
      <c r="J982" s="6" t="s">
        <v>15</v>
      </c>
      <c r="K982" s="5">
        <v>0.0</v>
      </c>
      <c r="L982" s="7">
        <v>2.41733154483248</v>
      </c>
      <c r="M982" s="4">
        <v>2.3</v>
      </c>
      <c r="N982" s="2">
        <v>0.62</v>
      </c>
    </row>
    <row r="983">
      <c r="A983" s="2" t="s">
        <v>1008</v>
      </c>
      <c r="B983" s="3" t="str">
        <f>HYPERLINK("https://www.suredividend.com/sure-analysis-research-database/","Marketwise Inc")</f>
        <v>Marketwise Inc</v>
      </c>
      <c r="C983" s="2" t="s">
        <v>15</v>
      </c>
      <c r="D983" s="4">
        <v>2.12</v>
      </c>
      <c r="E983" s="5">
        <v>0.011133635640686</v>
      </c>
      <c r="F983" s="5" t="s">
        <v>15</v>
      </c>
      <c r="G983" s="5" t="s">
        <v>15</v>
      </c>
      <c r="H983" s="4">
        <v>0.027388743676089</v>
      </c>
      <c r="I983" s="4">
        <v>96.302695</v>
      </c>
      <c r="J983" s="6">
        <v>16.2153047684795</v>
      </c>
      <c r="K983" s="5">
        <v>0.144379249742166</v>
      </c>
      <c r="L983" s="7">
        <v>1.20097495490985</v>
      </c>
      <c r="M983" s="4">
        <v>3.59</v>
      </c>
      <c r="N983" s="2">
        <v>1.07</v>
      </c>
    </row>
    <row r="984">
      <c r="A984" s="2" t="s">
        <v>1009</v>
      </c>
      <c r="B984" s="3" t="str">
        <f>HYPERLINK("https://www.suredividend.com/sure-analysis-research-database/","MoneyLion Inc")</f>
        <v>MoneyLion Inc</v>
      </c>
      <c r="C984" s="2" t="s">
        <v>15</v>
      </c>
      <c r="D984" s="4">
        <v>48.95</v>
      </c>
      <c r="E984" s="5">
        <v>0.0</v>
      </c>
      <c r="F984" s="5" t="s">
        <v>15</v>
      </c>
      <c r="G984" s="5" t="s">
        <v>15</v>
      </c>
      <c r="H984" s="4">
        <v>0.0</v>
      </c>
      <c r="I984" s="4">
        <v>525.919287</v>
      </c>
      <c r="J984" s="6" t="s">
        <v>15</v>
      </c>
      <c r="K984" s="5">
        <v>0.0</v>
      </c>
      <c r="L984" s="7">
        <v>2.14946892090498</v>
      </c>
      <c r="M984" s="4">
        <v>66.98</v>
      </c>
      <c r="N984" s="2">
        <v>7.5</v>
      </c>
    </row>
    <row r="985">
      <c r="A985" s="2" t="s">
        <v>1010</v>
      </c>
      <c r="B985" s="3" t="str">
        <f>HYPERLINK("https://www.suredividend.com/sure-analysis-research-database/","Mesa Laboratories, Inc.")</f>
        <v>Mesa Laboratories, Inc.</v>
      </c>
      <c r="C985" s="2" t="s">
        <v>40</v>
      </c>
      <c r="D985" s="4">
        <v>99.3</v>
      </c>
      <c r="E985" s="5">
        <v>0.006607381906905</v>
      </c>
      <c r="F985" s="5" t="s">
        <v>15</v>
      </c>
      <c r="G985" s="5" t="s">
        <v>15</v>
      </c>
      <c r="H985" s="4">
        <v>0.637149837282882</v>
      </c>
      <c r="I985" s="4">
        <v>519.924138</v>
      </c>
      <c r="J985" s="6" t="s">
        <v>15</v>
      </c>
      <c r="K985" s="5" t="s">
        <v>15</v>
      </c>
      <c r="L985" s="7">
        <v>1.30283203219223</v>
      </c>
      <c r="M985" s="4">
        <v>204.48</v>
      </c>
      <c r="N985" s="2">
        <v>82.56</v>
      </c>
    </row>
    <row r="986">
      <c r="A986" s="2" t="s">
        <v>1011</v>
      </c>
      <c r="B986" s="3" t="str">
        <f>HYPERLINK("https://www.suredividend.com/sure-analysis-MLI/","Mueller Industries, Inc.")</f>
        <v>Mueller Industries, Inc.</v>
      </c>
      <c r="C986" s="2" t="s">
        <v>17</v>
      </c>
      <c r="D986" s="4">
        <v>48.26</v>
      </c>
      <c r="E986" s="5">
        <v>0.0124326564442602</v>
      </c>
      <c r="F986" s="5">
        <v>-0.4</v>
      </c>
      <c r="G986" s="5">
        <v>0.0844717711976985</v>
      </c>
      <c r="H986" s="4">
        <v>0.596591027587739</v>
      </c>
      <c r="I986" s="4">
        <v>5587.91756</v>
      </c>
      <c r="J986" s="6">
        <v>8.97563717876848</v>
      </c>
      <c r="K986" s="5">
        <v>0.108668675334743</v>
      </c>
      <c r="L986" s="7">
        <v>1.12797050080137</v>
      </c>
      <c r="M986" s="4">
        <v>49.36</v>
      </c>
      <c r="N986" s="2">
        <v>30.76</v>
      </c>
    </row>
    <row r="987">
      <c r="A987" s="2" t="s">
        <v>1012</v>
      </c>
      <c r="B987" s="3" t="str">
        <f>HYPERLINK("https://www.suredividend.com/sure-analysis-research-database/","MillerKnoll Inc")</f>
        <v>MillerKnoll Inc</v>
      </c>
      <c r="C987" s="2" t="s">
        <v>15</v>
      </c>
      <c r="D987" s="4">
        <v>26.74</v>
      </c>
      <c r="E987" s="5">
        <v>0.026611910663527</v>
      </c>
      <c r="F987" s="5" t="s">
        <v>15</v>
      </c>
      <c r="G987" s="5" t="s">
        <v>15</v>
      </c>
      <c r="H987" s="4">
        <v>0.729698590393936</v>
      </c>
      <c r="I987" s="4">
        <v>1996.676634</v>
      </c>
      <c r="J987" s="6">
        <v>39.5381511754455</v>
      </c>
      <c r="K987" s="5">
        <v>1.09056731489154</v>
      </c>
      <c r="L987" s="7">
        <v>1.36949850471643</v>
      </c>
      <c r="M987" s="4">
        <v>31.33</v>
      </c>
      <c r="N987" s="2">
        <v>12.59</v>
      </c>
    </row>
    <row r="988">
      <c r="A988" s="2" t="s">
        <v>1013</v>
      </c>
      <c r="B988" s="3" t="str">
        <f>HYPERLINK("https://www.suredividend.com/sure-analysis-research-database/","MeridianLink Inc")</f>
        <v>MeridianLink Inc</v>
      </c>
      <c r="C988" s="2" t="s">
        <v>15</v>
      </c>
      <c r="D988" s="4">
        <v>22.23</v>
      </c>
      <c r="E988" s="5">
        <v>0.0</v>
      </c>
      <c r="F988" s="5" t="s">
        <v>15</v>
      </c>
      <c r="G988" s="5" t="s">
        <v>15</v>
      </c>
      <c r="H988" s="4">
        <v>0.0</v>
      </c>
      <c r="I988" s="4">
        <v>1866.935141</v>
      </c>
      <c r="J988" s="6" t="s">
        <v>15</v>
      </c>
      <c r="K988" s="5">
        <v>0.0</v>
      </c>
      <c r="L988" s="7">
        <v>1.4869749886861</v>
      </c>
      <c r="M988" s="4">
        <v>25.88</v>
      </c>
      <c r="N988" s="2">
        <v>13.62</v>
      </c>
    </row>
    <row r="989">
      <c r="A989" s="2" t="s">
        <v>1014</v>
      </c>
      <c r="B989" s="3" t="str">
        <f>HYPERLINK("https://www.suredividend.com/sure-analysis-MLR/","Miller Industries Inc.")</f>
        <v>Miller Industries Inc.</v>
      </c>
      <c r="C989" s="2" t="s">
        <v>25</v>
      </c>
      <c r="D989" s="4">
        <v>40.2</v>
      </c>
      <c r="E989" s="5">
        <v>0.017910447761194</v>
      </c>
      <c r="F989" s="5">
        <v>0.0</v>
      </c>
      <c r="G989" s="5">
        <v>0.0</v>
      </c>
      <c r="H989" s="4">
        <v>0.714993330105835</v>
      </c>
      <c r="I989" s="4">
        <v>475.222973</v>
      </c>
      <c r="J989" s="6">
        <v>0.0</v>
      </c>
      <c r="K989" s="5" t="s">
        <v>15</v>
      </c>
      <c r="L989" s="7">
        <v>0.466940990830961</v>
      </c>
      <c r="M989" s="4">
        <v>43.5</v>
      </c>
      <c r="N989" s="2">
        <v>26.36</v>
      </c>
    </row>
    <row r="990">
      <c r="A990" s="2" t="s">
        <v>1015</v>
      </c>
      <c r="B990" s="3" t="str">
        <f>HYPERLINK("https://www.suredividend.com/sure-analysis-research-database/","Mineralys Therapeutics Inc")</f>
        <v>Mineralys Therapeutics Inc</v>
      </c>
      <c r="C990" s="2" t="s">
        <v>15</v>
      </c>
      <c r="D990" s="4">
        <v>12.03</v>
      </c>
      <c r="E990" s="5">
        <v>0.0</v>
      </c>
      <c r="F990" s="5" t="s">
        <v>15</v>
      </c>
      <c r="G990" s="5" t="s">
        <v>15</v>
      </c>
      <c r="H990" s="4">
        <v>0.0</v>
      </c>
      <c r="I990" s="4">
        <v>449.689991</v>
      </c>
      <c r="J990" s="6">
        <v>0.0</v>
      </c>
      <c r="K990" s="5" t="s">
        <v>15</v>
      </c>
      <c r="L990" s="7">
        <v>1.39144185328934</v>
      </c>
      <c r="M990" s="4">
        <v>21.98</v>
      </c>
      <c r="N990" s="2">
        <v>5.85</v>
      </c>
    </row>
    <row r="991">
      <c r="A991" s="2" t="s">
        <v>1016</v>
      </c>
      <c r="B991" s="3" t="str">
        <f>HYPERLINK("https://www.suredividend.com/sure-analysis-research-database/","Marcus &amp; Millichap Inc")</f>
        <v>Marcus &amp; Millichap Inc</v>
      </c>
      <c r="C991" s="2" t="s">
        <v>20</v>
      </c>
      <c r="D991" s="4">
        <v>36.29</v>
      </c>
      <c r="E991" s="5">
        <v>0.012642843491658</v>
      </c>
      <c r="F991" s="5" t="s">
        <v>15</v>
      </c>
      <c r="G991" s="5" t="s">
        <v>15</v>
      </c>
      <c r="H991" s="4">
        <v>0.498001605136436</v>
      </c>
      <c r="I991" s="4">
        <v>1511.968173</v>
      </c>
      <c r="J991" s="6" t="s">
        <v>15</v>
      </c>
      <c r="K991" s="5" t="s">
        <v>15</v>
      </c>
      <c r="L991" s="7">
        <v>1.31009087353412</v>
      </c>
      <c r="M991" s="4">
        <v>44.24</v>
      </c>
      <c r="N991" s="2">
        <v>26.81</v>
      </c>
    </row>
    <row r="992">
      <c r="A992" s="2" t="s">
        <v>1017</v>
      </c>
      <c r="B992" s="3" t="str">
        <f>HYPERLINK("https://www.suredividend.com/sure-analysis-MMS/","Maximus Inc.")</f>
        <v>Maximus Inc.</v>
      </c>
      <c r="C992" s="2" t="s">
        <v>17</v>
      </c>
      <c r="D992" s="4">
        <v>78.63</v>
      </c>
      <c r="E992" s="5">
        <v>0.0152613506295307</v>
      </c>
      <c r="F992" s="5">
        <v>0.0714285714285714</v>
      </c>
      <c r="G992" s="5">
        <v>0.0371372893366481</v>
      </c>
      <c r="H992" s="4">
        <v>1.13373365412973</v>
      </c>
      <c r="I992" s="4">
        <v>5118.097145</v>
      </c>
      <c r="J992" s="6">
        <v>31.6338085036342</v>
      </c>
      <c r="K992" s="5">
        <v>0.431077435030317</v>
      </c>
      <c r="L992" s="7">
        <v>0.803203755813302</v>
      </c>
      <c r="M992" s="4">
        <v>89.02</v>
      </c>
      <c r="N992" s="2">
        <v>70.63</v>
      </c>
    </row>
    <row r="993">
      <c r="A993" s="2" t="s">
        <v>1018</v>
      </c>
      <c r="B993" s="3" t="str">
        <f>HYPERLINK("https://www.suredividend.com/sure-analysis-research-database/","Merit Medical Systems, Inc.")</f>
        <v>Merit Medical Systems, Inc.</v>
      </c>
      <c r="C993" s="2" t="s">
        <v>30</v>
      </c>
      <c r="D993" s="4">
        <v>78.36</v>
      </c>
      <c r="E993" s="5">
        <v>0.0</v>
      </c>
      <c r="F993" s="5" t="s">
        <v>15</v>
      </c>
      <c r="G993" s="5" t="s">
        <v>15</v>
      </c>
      <c r="H993" s="4">
        <v>0.0</v>
      </c>
      <c r="I993" s="4">
        <v>4635.05208</v>
      </c>
      <c r="J993" s="6">
        <v>46.2658542878532</v>
      </c>
      <c r="K993" s="5">
        <v>0.0</v>
      </c>
      <c r="L993" s="7">
        <v>0.783530350711032</v>
      </c>
      <c r="M993" s="4">
        <v>85.62</v>
      </c>
      <c r="N993" s="2">
        <v>62.58</v>
      </c>
    </row>
    <row r="994">
      <c r="A994" s="2" t="s">
        <v>1019</v>
      </c>
      <c r="B994" s="3" t="str">
        <f>HYPERLINK("https://www.suredividend.com/sure-analysis-research-database/","Mannkind Corp")</f>
        <v>Mannkind Corp</v>
      </c>
      <c r="C994" s="2" t="s">
        <v>30</v>
      </c>
      <c r="D994" s="4">
        <v>3.25</v>
      </c>
      <c r="E994" s="5">
        <v>0.0</v>
      </c>
      <c r="F994" s="5" t="s">
        <v>15</v>
      </c>
      <c r="G994" s="5" t="s">
        <v>15</v>
      </c>
      <c r="H994" s="4">
        <v>0.0</v>
      </c>
      <c r="I994" s="4">
        <v>948.902782</v>
      </c>
      <c r="J994" s="6" t="s">
        <v>15</v>
      </c>
      <c r="K994" s="5">
        <v>0.0</v>
      </c>
      <c r="L994" s="7">
        <v>1.23797966082302</v>
      </c>
      <c r="M994" s="4">
        <v>5.75</v>
      </c>
      <c r="N994" s="2">
        <v>3.21</v>
      </c>
    </row>
    <row r="995">
      <c r="A995" s="2" t="s">
        <v>1020</v>
      </c>
      <c r="B995" s="3" t="str">
        <f>HYPERLINK("https://www.suredividend.com/sure-analysis-research-database/","Monro Inc")</f>
        <v>Monro Inc</v>
      </c>
      <c r="C995" s="2" t="s">
        <v>25</v>
      </c>
      <c r="D995" s="4">
        <v>31.86</v>
      </c>
      <c r="E995" s="5">
        <v>0.034369699453244</v>
      </c>
      <c r="F995" s="5">
        <v>0.0</v>
      </c>
      <c r="G995" s="5">
        <v>0.0696103757250687</v>
      </c>
      <c r="H995" s="4">
        <v>1.09158165463503</v>
      </c>
      <c r="I995" s="4">
        <v>949.691998</v>
      </c>
      <c r="J995" s="6">
        <v>28.4773755782782</v>
      </c>
      <c r="K995" s="5">
        <v>1.04959774484138</v>
      </c>
      <c r="L995" s="7">
        <v>0.878523889565541</v>
      </c>
      <c r="M995" s="4">
        <v>52.74</v>
      </c>
      <c r="N995" s="2">
        <v>22.29</v>
      </c>
    </row>
    <row r="996">
      <c r="A996" s="2" t="s">
        <v>1021</v>
      </c>
      <c r="B996" s="3" t="str">
        <f>HYPERLINK("https://www.suredividend.com/sure-analysis-research-database/","Montauk Renewables Inc")</f>
        <v>Montauk Renewables Inc</v>
      </c>
      <c r="C996" s="2" t="s">
        <v>15</v>
      </c>
      <c r="D996" s="4">
        <v>6.36</v>
      </c>
      <c r="E996" s="5">
        <v>0.0</v>
      </c>
      <c r="F996" s="5" t="s">
        <v>15</v>
      </c>
      <c r="G996" s="5" t="s">
        <v>15</v>
      </c>
      <c r="H996" s="4">
        <v>0.0</v>
      </c>
      <c r="I996" s="4">
        <v>1083.209361</v>
      </c>
      <c r="J996" s="6">
        <v>67.2007792828339</v>
      </c>
      <c r="K996" s="5">
        <v>0.0</v>
      </c>
      <c r="L996" s="7">
        <v>1.05885042198175</v>
      </c>
      <c r="M996" s="4">
        <v>11.6</v>
      </c>
      <c r="N996" s="2">
        <v>5.46</v>
      </c>
    </row>
    <row r="997">
      <c r="A997" s="2" t="s">
        <v>1022</v>
      </c>
      <c r="B997" s="3" t="str">
        <f>HYPERLINK("https://www.suredividend.com/sure-analysis-research-database/","Momentus Inc")</f>
        <v>Momentus Inc</v>
      </c>
      <c r="C997" s="2" t="s">
        <v>15</v>
      </c>
      <c r="D997" s="4">
        <v>0.95</v>
      </c>
      <c r="E997" s="5">
        <v>0.0</v>
      </c>
      <c r="F997" s="5" t="s">
        <v>15</v>
      </c>
      <c r="G997" s="5" t="s">
        <v>15</v>
      </c>
      <c r="H997" s="4">
        <v>0.0</v>
      </c>
      <c r="I997" s="4">
        <v>6.463084</v>
      </c>
      <c r="J997" s="6" t="s">
        <v>15</v>
      </c>
      <c r="K997" s="5">
        <v>0.0</v>
      </c>
      <c r="L997" s="7">
        <v>2.42211724932885</v>
      </c>
      <c r="M997" s="4">
        <v>57.5</v>
      </c>
      <c r="N997" s="2">
        <v>0.6665</v>
      </c>
    </row>
    <row r="998">
      <c r="A998" s="2" t="s">
        <v>1023</v>
      </c>
      <c r="B998" s="3" t="str">
        <f>HYPERLINK("https://www.suredividend.com/sure-analysis-research-database/","Modine Manufacturing Co.")</f>
        <v>Modine Manufacturing Co.</v>
      </c>
      <c r="C998" s="2" t="s">
        <v>25</v>
      </c>
      <c r="D998" s="4">
        <v>69.91</v>
      </c>
      <c r="E998" s="5">
        <v>0.0</v>
      </c>
      <c r="F998" s="5" t="s">
        <v>15</v>
      </c>
      <c r="G998" s="5" t="s">
        <v>15</v>
      </c>
      <c r="H998" s="4">
        <v>0.0</v>
      </c>
      <c r="I998" s="4">
        <v>3448.512111</v>
      </c>
      <c r="J998" s="6">
        <v>16.7647647578026</v>
      </c>
      <c r="K998" s="5">
        <v>0.0</v>
      </c>
      <c r="L998" s="7">
        <v>1.81091094455218</v>
      </c>
      <c r="M998" s="4">
        <v>69.9</v>
      </c>
      <c r="N998" s="2">
        <v>19.41</v>
      </c>
    </row>
    <row r="999">
      <c r="A999" s="2" t="s">
        <v>1024</v>
      </c>
      <c r="B999" s="3" t="str">
        <f>HYPERLINK("https://www.suredividend.com/sure-analysis-research-database/","Topgolf Callaway Brands Corp")</f>
        <v>Topgolf Callaway Brands Corp</v>
      </c>
      <c r="C999" s="2" t="s">
        <v>15</v>
      </c>
      <c r="D999" s="4">
        <v>13.07</v>
      </c>
      <c r="E999" s="5">
        <v>0.0</v>
      </c>
      <c r="F999" s="5" t="s">
        <v>15</v>
      </c>
      <c r="G999" s="5" t="s">
        <v>15</v>
      </c>
      <c r="H999" s="4">
        <v>0.0</v>
      </c>
      <c r="I999" s="4">
        <v>2585.083842</v>
      </c>
      <c r="J999" s="6">
        <v>26.0068797030181</v>
      </c>
      <c r="K999" s="5">
        <v>0.0</v>
      </c>
      <c r="L999" s="7">
        <v>1.60536299434194</v>
      </c>
      <c r="M999" s="4">
        <v>25.96</v>
      </c>
      <c r="N999" s="2">
        <v>9.84</v>
      </c>
    </row>
    <row r="1000">
      <c r="A1000" s="2" t="s">
        <v>1025</v>
      </c>
      <c r="B1000" s="3" t="str">
        <f>HYPERLINK("https://www.suredividend.com/sure-analysis-research-database/","Model N Inc")</f>
        <v>Model N Inc</v>
      </c>
      <c r="C1000" s="2" t="s">
        <v>40</v>
      </c>
      <c r="D1000" s="4">
        <v>27.33</v>
      </c>
      <c r="E1000" s="5">
        <v>0.0</v>
      </c>
      <c r="F1000" s="5" t="s">
        <v>15</v>
      </c>
      <c r="G1000" s="5" t="s">
        <v>15</v>
      </c>
      <c r="H1000" s="4">
        <v>0.0</v>
      </c>
      <c r="I1000" s="4">
        <v>1094.854781</v>
      </c>
      <c r="J1000" s="6" t="s">
        <v>15</v>
      </c>
      <c r="K1000" s="5">
        <v>0.0</v>
      </c>
      <c r="L1000" s="7">
        <v>0.948220602135981</v>
      </c>
      <c r="M1000" s="4">
        <v>41.4</v>
      </c>
      <c r="N1000" s="2">
        <v>20.9</v>
      </c>
    </row>
    <row r="1001">
      <c r="A1001" s="2" t="s">
        <v>1026</v>
      </c>
      <c r="B1001" s="3" t="str">
        <f>HYPERLINK("https://www.suredividend.com/sure-analysis-research-database/","ModivCare Inc")</f>
        <v>ModivCare Inc</v>
      </c>
      <c r="C1001" s="2" t="s">
        <v>15</v>
      </c>
      <c r="D1001" s="4">
        <v>38.62</v>
      </c>
      <c r="E1001" s="5">
        <v>0.0</v>
      </c>
      <c r="F1001" s="5" t="s">
        <v>15</v>
      </c>
      <c r="G1001" s="5" t="s">
        <v>15</v>
      </c>
      <c r="H1001" s="4">
        <v>0.0</v>
      </c>
      <c r="I1001" s="4">
        <v>605.628302</v>
      </c>
      <c r="J1001" s="6" t="s">
        <v>15</v>
      </c>
      <c r="K1001" s="5">
        <v>0.0</v>
      </c>
      <c r="L1001" s="7">
        <v>1.48570774880277</v>
      </c>
      <c r="M1001" s="4">
        <v>112.25</v>
      </c>
      <c r="N1001" s="2">
        <v>26.05</v>
      </c>
    </row>
    <row r="1002">
      <c r="A1002" s="2" t="s">
        <v>1027</v>
      </c>
      <c r="B1002" s="3" t="str">
        <f>HYPERLINK("https://www.suredividend.com/sure-analysis-research-database/","MidWestOne Financial Group Inc")</f>
        <v>MidWestOne Financial Group Inc</v>
      </c>
      <c r="C1002" s="2" t="s">
        <v>22</v>
      </c>
      <c r="D1002" s="4">
        <v>23.98</v>
      </c>
      <c r="E1002" s="5">
        <v>0.036087024127047</v>
      </c>
      <c r="F1002" s="5">
        <v>0.0210526315789474</v>
      </c>
      <c r="G1002" s="5">
        <v>0.036710132153259</v>
      </c>
      <c r="H1002" s="4">
        <v>0.937901757061968</v>
      </c>
      <c r="I1002" s="4">
        <v>407.828271</v>
      </c>
      <c r="J1002" s="6">
        <v>11.9489106858867</v>
      </c>
      <c r="K1002" s="5">
        <v>0.432212791272796</v>
      </c>
      <c r="L1002" s="7">
        <v>1.17326398975749</v>
      </c>
      <c r="M1002" s="4">
        <v>29.78</v>
      </c>
      <c r="N1002" s="2">
        <v>16.61</v>
      </c>
    </row>
    <row r="1003">
      <c r="A1003" s="2" t="s">
        <v>1028</v>
      </c>
      <c r="B1003" s="3" t="str">
        <f>HYPERLINK("https://www.suredividend.com/sure-analysis-research-database/","Morphic Holding Inc")</f>
        <v>Morphic Holding Inc</v>
      </c>
      <c r="C1003" s="2" t="s">
        <v>30</v>
      </c>
      <c r="D1003" s="4">
        <v>35.98</v>
      </c>
      <c r="E1003" s="5">
        <v>0.0</v>
      </c>
      <c r="F1003" s="5" t="s">
        <v>15</v>
      </c>
      <c r="G1003" s="5" t="s">
        <v>15</v>
      </c>
      <c r="H1003" s="4">
        <v>0.0</v>
      </c>
      <c r="I1003" s="4">
        <v>1596.251779</v>
      </c>
      <c r="J1003" s="6" t="s">
        <v>15</v>
      </c>
      <c r="K1003" s="5">
        <v>0.0</v>
      </c>
      <c r="L1003" s="7">
        <v>1.140063213178</v>
      </c>
      <c r="M1003" s="4">
        <v>63.08</v>
      </c>
      <c r="N1003" s="2">
        <v>19.35</v>
      </c>
    </row>
    <row r="1004">
      <c r="A1004" s="2" t="s">
        <v>1029</v>
      </c>
      <c r="B1004" s="3" t="str">
        <f>HYPERLINK("https://www.suredividend.com/sure-analysis-research-database/","Movado Group, Inc.")</f>
        <v>Movado Group, Inc.</v>
      </c>
      <c r="C1004" s="2" t="s">
        <v>25</v>
      </c>
      <c r="D1004" s="4">
        <v>27.62</v>
      </c>
      <c r="E1004" s="5">
        <v>0.047843817192694</v>
      </c>
      <c r="F1004" s="5" t="s">
        <v>15</v>
      </c>
      <c r="G1004" s="5" t="s">
        <v>15</v>
      </c>
      <c r="H1004" s="4">
        <v>1.37359599160226</v>
      </c>
      <c r="I1004" s="4">
        <v>447.786855</v>
      </c>
      <c r="J1004" s="6">
        <v>7.81587054824408</v>
      </c>
      <c r="K1004" s="5">
        <v>0.542923316838841</v>
      </c>
      <c r="L1004" s="7">
        <v>0.987532104873339</v>
      </c>
      <c r="M1004" s="4">
        <v>35.42</v>
      </c>
      <c r="N1004" s="2">
        <v>23.33</v>
      </c>
    </row>
    <row r="1005">
      <c r="A1005" s="2" t="s">
        <v>1030</v>
      </c>
      <c r="B1005" s="3" t="str">
        <f>HYPERLINK("https://www.suredividend.com/sure-analysis-research-database/","Motorcar Parts of America Inc.")</f>
        <v>Motorcar Parts of America Inc.</v>
      </c>
      <c r="C1005" s="2" t="s">
        <v>25</v>
      </c>
      <c r="D1005" s="4">
        <v>9.56</v>
      </c>
      <c r="E1005" s="5">
        <v>0.0</v>
      </c>
      <c r="F1005" s="5" t="s">
        <v>15</v>
      </c>
      <c r="G1005" s="5" t="s">
        <v>15</v>
      </c>
      <c r="H1005" s="4">
        <v>0.0</v>
      </c>
      <c r="I1005" s="4">
        <v>194.113706</v>
      </c>
      <c r="J1005" s="6" t="s">
        <v>15</v>
      </c>
      <c r="K1005" s="5">
        <v>0.0</v>
      </c>
      <c r="L1005" s="7">
        <v>1.85515494579781</v>
      </c>
      <c r="M1005" s="4">
        <v>15.87</v>
      </c>
      <c r="N1005" s="2">
        <v>4.26</v>
      </c>
    </row>
    <row r="1006">
      <c r="A1006" s="2" t="s">
        <v>1031</v>
      </c>
      <c r="B1006" s="3" t="str">
        <f>HYPERLINK("https://www.suredividend.com/sure-analysis-research-database/","Mid Penn Bancorp, Inc.")</f>
        <v>Mid Penn Bancorp, Inc.</v>
      </c>
      <c r="C1006" s="2" t="s">
        <v>22</v>
      </c>
      <c r="D1006" s="4">
        <v>20.99</v>
      </c>
      <c r="E1006" s="5">
        <v>0.03395700682388</v>
      </c>
      <c r="F1006" s="5">
        <v>0.0</v>
      </c>
      <c r="G1006" s="5">
        <v>0.0212956876001351</v>
      </c>
      <c r="H1006" s="4">
        <v>0.781011156949255</v>
      </c>
      <c r="I1006" s="4">
        <v>383.377087</v>
      </c>
      <c r="J1006" s="6">
        <v>0.0</v>
      </c>
      <c r="K1006" s="5" t="s">
        <v>15</v>
      </c>
      <c r="L1006" s="7">
        <v>1.19276392481271</v>
      </c>
      <c r="M1006" s="4">
        <v>30.87</v>
      </c>
      <c r="N1006" s="2">
        <v>17.38</v>
      </c>
    </row>
    <row r="1007">
      <c r="A1007" s="2" t="s">
        <v>1032</v>
      </c>
      <c r="B1007" s="3" t="str">
        <f>HYPERLINK("https://www.suredividend.com/sure-analysis-research-database/","MultiPlan Corp")</f>
        <v>MultiPlan Corp</v>
      </c>
      <c r="C1007" s="2" t="s">
        <v>15</v>
      </c>
      <c r="D1007" s="4">
        <v>1.02</v>
      </c>
      <c r="E1007" s="5">
        <v>0.0</v>
      </c>
      <c r="F1007" s="5" t="s">
        <v>15</v>
      </c>
      <c r="G1007" s="5" t="s">
        <v>15</v>
      </c>
      <c r="H1007" s="4">
        <v>0.0</v>
      </c>
      <c r="I1007" s="4">
        <v>701.445155</v>
      </c>
      <c r="J1007" s="6" t="s">
        <v>15</v>
      </c>
      <c r="K1007" s="5">
        <v>0.0</v>
      </c>
      <c r="L1007" s="7">
        <v>1.5033707926323</v>
      </c>
      <c r="M1007" s="4">
        <v>2.29</v>
      </c>
      <c r="N1007" s="2">
        <v>0.6104</v>
      </c>
    </row>
    <row r="1008">
      <c r="A1008" s="2" t="s">
        <v>1033</v>
      </c>
      <c r="B1008" s="3" t="str">
        <f>HYPERLINK("https://www.suredividend.com/sure-analysis-research-database/","Marine Products Corp")</f>
        <v>Marine Products Corp</v>
      </c>
      <c r="C1008" s="2" t="s">
        <v>25</v>
      </c>
      <c r="D1008" s="4">
        <v>10.47</v>
      </c>
      <c r="E1008" s="5">
        <v>0.050621442436034</v>
      </c>
      <c r="F1008" s="5">
        <v>0.0</v>
      </c>
      <c r="G1008" s="5">
        <v>0.031310306477545</v>
      </c>
      <c r="H1008" s="4">
        <v>0.550255079279697</v>
      </c>
      <c r="I1008" s="4">
        <v>374.653312</v>
      </c>
      <c r="J1008" s="6">
        <v>7.96965138523718</v>
      </c>
      <c r="K1008" s="5">
        <v>0.39303934234264</v>
      </c>
      <c r="L1008" s="7">
        <v>0.966048651039863</v>
      </c>
      <c r="M1008" s="4">
        <v>17.55</v>
      </c>
      <c r="N1008" s="2">
        <v>9.18</v>
      </c>
    </row>
    <row r="1009">
      <c r="A1009" s="2" t="s">
        <v>1034</v>
      </c>
      <c r="B1009" s="3" t="str">
        <f>HYPERLINK("https://www.suredividend.com/sure-analysis-research-database/","Marqeta Inc")</f>
        <v>Marqeta Inc</v>
      </c>
      <c r="C1009" s="2" t="s">
        <v>15</v>
      </c>
      <c r="D1009" s="4">
        <v>5.85</v>
      </c>
      <c r="E1009" s="5">
        <v>0.0</v>
      </c>
      <c r="F1009" s="5" t="s">
        <v>15</v>
      </c>
      <c r="G1009" s="5" t="s">
        <v>15</v>
      </c>
      <c r="H1009" s="4">
        <v>0.0</v>
      </c>
      <c r="I1009" s="4">
        <v>3150.458</v>
      </c>
      <c r="J1009" s="6" t="s">
        <v>15</v>
      </c>
      <c r="K1009" s="5">
        <v>0.0</v>
      </c>
      <c r="L1009" s="7">
        <v>1.7373297895129</v>
      </c>
      <c r="M1009" s="4">
        <v>7.51</v>
      </c>
      <c r="N1009" s="2">
        <v>3.46</v>
      </c>
    </row>
    <row r="1010">
      <c r="A1010" s="2" t="s">
        <v>1035</v>
      </c>
      <c r="B1010" s="3" t="str">
        <f>HYPERLINK("https://www.suredividend.com/sure-analysis-research-database/","MRC Global Inc")</f>
        <v>MRC Global Inc</v>
      </c>
      <c r="C1010" s="2" t="s">
        <v>125</v>
      </c>
      <c r="D1010" s="4">
        <v>10.37</v>
      </c>
      <c r="E1010" s="5">
        <v>0.0</v>
      </c>
      <c r="F1010" s="5" t="s">
        <v>15</v>
      </c>
      <c r="G1010" s="5" t="s">
        <v>15</v>
      </c>
      <c r="H1010" s="4">
        <v>0.0</v>
      </c>
      <c r="I1010" s="4">
        <v>889.385066</v>
      </c>
      <c r="J1010" s="6">
        <v>9.88205629</v>
      </c>
      <c r="K1010" s="5">
        <v>0.0</v>
      </c>
      <c r="L1010" s="7">
        <v>1.44893159987963</v>
      </c>
      <c r="M1010" s="4">
        <v>13.9</v>
      </c>
      <c r="N1010" s="2">
        <v>8.15</v>
      </c>
    </row>
    <row r="1011">
      <c r="A1011" s="2" t="s">
        <v>1036</v>
      </c>
      <c r="B1011" s="3" t="str">
        <f>HYPERLINK("https://www.suredividend.com/sure-analysis-research-database/","Mersana Therapeutics Inc")</f>
        <v>Mersana Therapeutics Inc</v>
      </c>
      <c r="C1011" s="2" t="s">
        <v>30</v>
      </c>
      <c r="D1011" s="4">
        <v>3.53</v>
      </c>
      <c r="E1011" s="5">
        <v>0.0</v>
      </c>
      <c r="F1011" s="5" t="s">
        <v>15</v>
      </c>
      <c r="G1011" s="5" t="s">
        <v>15</v>
      </c>
      <c r="H1011" s="4">
        <v>0.0</v>
      </c>
      <c r="I1011" s="4">
        <v>420.076873</v>
      </c>
      <c r="J1011" s="6" t="s">
        <v>15</v>
      </c>
      <c r="K1011" s="5">
        <v>0.0</v>
      </c>
      <c r="L1011" s="7">
        <v>1.41800597986494</v>
      </c>
      <c r="M1011" s="4">
        <v>9.62</v>
      </c>
      <c r="N1011" s="2">
        <v>0.8014</v>
      </c>
    </row>
    <row r="1012">
      <c r="A1012" s="2" t="s">
        <v>1037</v>
      </c>
      <c r="B1012" s="3" t="str">
        <f>HYPERLINK("https://www.suredividend.com/sure-analysis-research-database/","Marten Transport, Ltd.")</f>
        <v>Marten Transport, Ltd.</v>
      </c>
      <c r="C1012" s="2" t="s">
        <v>17</v>
      </c>
      <c r="D1012" s="4">
        <v>19.11</v>
      </c>
      <c r="E1012" s="5">
        <v>0.012506381459164</v>
      </c>
      <c r="F1012" s="5">
        <v>0.0</v>
      </c>
      <c r="G1012" s="5">
        <v>0.148698354997035</v>
      </c>
      <c r="H1012" s="4">
        <v>0.237871375353314</v>
      </c>
      <c r="I1012" s="4">
        <v>1546.496571</v>
      </c>
      <c r="J1012" s="6">
        <v>18.5235790935224</v>
      </c>
      <c r="K1012" s="5">
        <v>0.230943082867295</v>
      </c>
      <c r="L1012" s="7">
        <v>0.868895745369041</v>
      </c>
      <c r="M1012" s="4">
        <v>23.1</v>
      </c>
      <c r="N1012" s="2">
        <v>17.23</v>
      </c>
    </row>
    <row r="1013">
      <c r="A1013" s="2" t="s">
        <v>1038</v>
      </c>
      <c r="B1013" s="3" t="str">
        <f>HYPERLINK("https://www.suredividend.com/sure-analysis-research-database/","Midland States Bancorp Inc")</f>
        <v>Midland States Bancorp Inc</v>
      </c>
      <c r="C1013" s="2" t="s">
        <v>22</v>
      </c>
      <c r="D1013" s="4">
        <v>24.97</v>
      </c>
      <c r="E1013" s="5">
        <v>0.042181633839396</v>
      </c>
      <c r="F1013" s="5">
        <v>0.0344827586206899</v>
      </c>
      <c r="G1013" s="5">
        <v>0.0434746488100117</v>
      </c>
      <c r="H1013" s="4">
        <v>1.15830766522982</v>
      </c>
      <c r="I1013" s="4">
        <v>591.445398</v>
      </c>
      <c r="J1013" s="6">
        <v>7.00706573672799</v>
      </c>
      <c r="K1013" s="5">
        <v>0.305622075258527</v>
      </c>
      <c r="L1013" s="7">
        <v>1.11814868129423</v>
      </c>
      <c r="M1013" s="4">
        <v>28.47</v>
      </c>
      <c r="N1013" s="2">
        <v>16.82</v>
      </c>
    </row>
    <row r="1014">
      <c r="A1014" s="2" t="s">
        <v>1039</v>
      </c>
      <c r="B1014" s="3" t="str">
        <f>HYPERLINK("https://www.suredividend.com/sure-analysis-MSEX/","Middlesex Water Co.")</f>
        <v>Middlesex Water Co.</v>
      </c>
      <c r="C1014" s="2" t="s">
        <v>91</v>
      </c>
      <c r="D1014" s="4">
        <v>54.56</v>
      </c>
      <c r="E1014" s="5">
        <v>0.0238269794721407</v>
      </c>
      <c r="F1014" s="5">
        <v>0.04</v>
      </c>
      <c r="G1014" s="5">
        <v>0.0625134194396774</v>
      </c>
      <c r="H1014" s="4">
        <v>1.2472328866923</v>
      </c>
      <c r="I1014" s="4">
        <v>1029.76123</v>
      </c>
      <c r="J1014" s="6">
        <v>31.3865472791002</v>
      </c>
      <c r="K1014" s="5">
        <v>0.677843960158861</v>
      </c>
      <c r="L1014" s="7">
        <v>0.753181947743153</v>
      </c>
      <c r="M1014" s="4">
        <v>88.28</v>
      </c>
      <c r="N1014" s="2">
        <v>55.83</v>
      </c>
    </row>
    <row r="1015">
      <c r="A1015" s="2" t="s">
        <v>1040</v>
      </c>
      <c r="B1015" s="3" t="str">
        <f>HYPERLINK("https://www.suredividend.com/sure-analysis-research-database/","Madison Square Garden Entertainment Corp.")</f>
        <v>Madison Square Garden Entertainment Corp.</v>
      </c>
      <c r="C1015" s="2" t="s">
        <v>15</v>
      </c>
      <c r="D1015" s="4">
        <v>33.65</v>
      </c>
      <c r="E1015" s="5">
        <v>0.0</v>
      </c>
      <c r="F1015" s="5" t="s">
        <v>15</v>
      </c>
      <c r="G1015" s="5" t="s">
        <v>15</v>
      </c>
      <c r="H1015" s="4">
        <v>0.0</v>
      </c>
      <c r="I1015" s="4">
        <v>1394.217966</v>
      </c>
      <c r="J1015" s="6">
        <v>0.0</v>
      </c>
      <c r="K1015" s="5" t="s">
        <v>15</v>
      </c>
      <c r="L1015" s="7">
        <v>0.873312580023882</v>
      </c>
      <c r="M1015" s="4">
        <v>40.81</v>
      </c>
      <c r="N1015" s="2">
        <v>27.55</v>
      </c>
    </row>
    <row r="1016">
      <c r="A1016" s="2" t="s">
        <v>1041</v>
      </c>
      <c r="B1016" s="3" t="str">
        <f>HYPERLINK("https://www.suredividend.com/sure-analysis-research-database/","Microstrategy Inc.")</f>
        <v>Microstrategy Inc.</v>
      </c>
      <c r="C1016" s="2" t="s">
        <v>40</v>
      </c>
      <c r="D1016" s="4">
        <v>490.6</v>
      </c>
      <c r="E1016" s="5">
        <v>0.0</v>
      </c>
      <c r="F1016" s="5" t="s">
        <v>15</v>
      </c>
      <c r="G1016" s="5" t="s">
        <v>15</v>
      </c>
      <c r="H1016" s="4">
        <v>0.0</v>
      </c>
      <c r="I1016" s="4">
        <v>7025.258362</v>
      </c>
      <c r="J1016" s="6">
        <v>77.776701750548</v>
      </c>
      <c r="K1016" s="5">
        <v>0.0</v>
      </c>
      <c r="L1016" s="7">
        <v>2.00869758131792</v>
      </c>
      <c r="M1016" s="4">
        <v>727.77</v>
      </c>
      <c r="N1016" s="2">
        <v>188.3</v>
      </c>
    </row>
    <row r="1017">
      <c r="A1017" s="2" t="s">
        <v>1042</v>
      </c>
      <c r="B1017" s="3" t="str">
        <f>HYPERLINK("https://www.suredividend.com/sure-analysis-research-database/","Matador Resources Co")</f>
        <v>Matador Resources Co</v>
      </c>
      <c r="C1017" s="2" t="s">
        <v>125</v>
      </c>
      <c r="D1017" s="4">
        <v>52.88</v>
      </c>
      <c r="E1017" s="5">
        <v>0.011642853560104</v>
      </c>
      <c r="F1017" s="5" t="s">
        <v>15</v>
      </c>
      <c r="G1017" s="5" t="s">
        <v>15</v>
      </c>
      <c r="H1017" s="4">
        <v>0.647109800870608</v>
      </c>
      <c r="I1017" s="4">
        <v>6621.518631</v>
      </c>
      <c r="J1017" s="6">
        <v>7.83308545838474</v>
      </c>
      <c r="K1017" s="5">
        <v>0.0919190058054841</v>
      </c>
      <c r="L1017" s="7">
        <v>1.15250073166893</v>
      </c>
      <c r="M1017" s="4">
        <v>67.47</v>
      </c>
      <c r="N1017" s="2">
        <v>41.64</v>
      </c>
    </row>
    <row r="1018">
      <c r="A1018" s="2" t="s">
        <v>1043</v>
      </c>
      <c r="B1018" s="3" t="str">
        <f>HYPERLINK("https://www.suredividend.com/sure-analysis-research-database/","Meritage Homes Corp.")</f>
        <v>Meritage Homes Corp.</v>
      </c>
      <c r="C1018" s="2" t="s">
        <v>25</v>
      </c>
      <c r="D1018" s="4">
        <v>151.69</v>
      </c>
      <c r="E1018" s="5">
        <v>0.006434752975315</v>
      </c>
      <c r="F1018" s="5" t="s">
        <v>15</v>
      </c>
      <c r="G1018" s="5" t="s">
        <v>15</v>
      </c>
      <c r="H1018" s="4">
        <v>1.07698460547859</v>
      </c>
      <c r="I1018" s="4">
        <v>6100.620767</v>
      </c>
      <c r="J1018" s="6">
        <v>7.60427487182491</v>
      </c>
      <c r="K1018" s="5">
        <v>0.0497912438963749</v>
      </c>
      <c r="L1018" s="7">
        <v>1.52245802578359</v>
      </c>
      <c r="M1018" s="4">
        <v>179.69</v>
      </c>
      <c r="N1018" s="2">
        <v>103.01</v>
      </c>
    </row>
    <row r="1019">
      <c r="A1019" s="2" t="s">
        <v>1044</v>
      </c>
      <c r="B1019" s="3" t="str">
        <f>HYPERLINK("https://www.suredividend.com/sure-analysis-research-database/","Materion Corp")</f>
        <v>Materion Corp</v>
      </c>
      <c r="C1019" s="2" t="s">
        <v>130</v>
      </c>
      <c r="D1019" s="4">
        <v>117.72</v>
      </c>
      <c r="E1019" s="5">
        <v>0.004314066623016</v>
      </c>
      <c r="F1019" s="5">
        <v>0.04</v>
      </c>
      <c r="G1019" s="5">
        <v>0.0339752265319501</v>
      </c>
      <c r="H1019" s="4">
        <v>0.514107319464897</v>
      </c>
      <c r="I1019" s="4">
        <v>2459.954331</v>
      </c>
      <c r="J1019" s="6">
        <v>23.4285827474809</v>
      </c>
      <c r="K1019" s="5">
        <v>0.102208214605347</v>
      </c>
      <c r="L1019" s="7">
        <v>1.18309411960198</v>
      </c>
      <c r="M1019" s="4">
        <v>132.5</v>
      </c>
      <c r="N1019" s="2">
        <v>83.83</v>
      </c>
    </row>
    <row r="1020">
      <c r="A1020" s="2" t="s">
        <v>1045</v>
      </c>
      <c r="B1020" s="3" t="str">
        <f>HYPERLINK("https://www.suredividend.com/sure-analysis-research-database/","MACOM Technology Solutions Holdings Inc")</f>
        <v>MACOM Technology Solutions Holdings Inc</v>
      </c>
      <c r="C1020" s="2" t="s">
        <v>40</v>
      </c>
      <c r="D1020" s="4">
        <v>81.27</v>
      </c>
      <c r="E1020" s="5">
        <v>0.0</v>
      </c>
      <c r="F1020" s="5" t="s">
        <v>15</v>
      </c>
      <c r="G1020" s="5" t="s">
        <v>15</v>
      </c>
      <c r="H1020" s="4">
        <v>0.0</v>
      </c>
      <c r="I1020" s="4">
        <v>6459.096806</v>
      </c>
      <c r="J1020" s="6">
        <v>70.5318672417746</v>
      </c>
      <c r="K1020" s="5">
        <v>0.0</v>
      </c>
      <c r="L1020" s="7">
        <v>1.52999996521238</v>
      </c>
      <c r="M1020" s="4">
        <v>96.09</v>
      </c>
      <c r="N1020" s="2">
        <v>48.53</v>
      </c>
    </row>
    <row r="1021">
      <c r="A1021" s="2" t="s">
        <v>1046</v>
      </c>
      <c r="B1021" s="3" t="str">
        <f>HYPERLINK("https://www.suredividend.com/sure-analysis-research-database/","Matterport Inc")</f>
        <v>Matterport Inc</v>
      </c>
      <c r="C1021" s="2" t="s">
        <v>15</v>
      </c>
      <c r="D1021" s="4">
        <v>2.25</v>
      </c>
      <c r="E1021" s="5">
        <v>0.0</v>
      </c>
      <c r="F1021" s="5" t="s">
        <v>15</v>
      </c>
      <c r="G1021" s="5" t="s">
        <v>15</v>
      </c>
      <c r="H1021" s="4">
        <v>0.0</v>
      </c>
      <c r="I1021" s="4">
        <v>754.9802</v>
      </c>
      <c r="J1021" s="6" t="s">
        <v>15</v>
      </c>
      <c r="K1021" s="5">
        <v>0.0</v>
      </c>
      <c r="L1021" s="7">
        <v>2.38712955898006</v>
      </c>
      <c r="M1021" s="4">
        <v>4.07</v>
      </c>
      <c r="N1021" s="2">
        <v>1.83999999999999</v>
      </c>
    </row>
    <row r="1022">
      <c r="A1022" s="2" t="s">
        <v>1047</v>
      </c>
      <c r="B1022" s="3" t="str">
        <f>HYPERLINK("https://www.suredividend.com/sure-analysis-research-database/","Manitowoc Co., Inc.")</f>
        <v>Manitowoc Co., Inc.</v>
      </c>
      <c r="C1022" s="2" t="s">
        <v>17</v>
      </c>
      <c r="D1022" s="4">
        <v>16.75</v>
      </c>
      <c r="E1022" s="5">
        <v>0.0</v>
      </c>
      <c r="F1022" s="5" t="s">
        <v>15</v>
      </c>
      <c r="G1022" s="5" t="s">
        <v>15</v>
      </c>
      <c r="H1022" s="4">
        <v>0.0</v>
      </c>
      <c r="I1022" s="4">
        <v>584.16575</v>
      </c>
      <c r="J1022" s="6" t="s">
        <v>15</v>
      </c>
      <c r="K1022" s="5">
        <v>0.0</v>
      </c>
      <c r="L1022" s="7">
        <v>1.64668280920735</v>
      </c>
      <c r="M1022" s="4">
        <v>20.2</v>
      </c>
      <c r="N1022" s="2">
        <v>12.2</v>
      </c>
    </row>
    <row r="1023">
      <c r="A1023" s="2" t="s">
        <v>1048</v>
      </c>
      <c r="B1023" s="3" t="str">
        <f>HYPERLINK("https://www.suredividend.com/sure-analysis-research-database/","Minerals Technologies, Inc.")</f>
        <v>Minerals Technologies, Inc.</v>
      </c>
      <c r="C1023" s="2" t="s">
        <v>130</v>
      </c>
      <c r="D1023" s="4">
        <v>69.18</v>
      </c>
      <c r="E1023" s="5">
        <v>0.003745369433645</v>
      </c>
      <c r="F1023" s="5">
        <v>1.0</v>
      </c>
      <c r="G1023" s="5">
        <v>0.148698354997035</v>
      </c>
      <c r="H1023" s="4">
        <v>0.249591419058158</v>
      </c>
      <c r="I1023" s="4">
        <v>2168.72283</v>
      </c>
      <c r="J1023" s="6">
        <v>33.7807294454828</v>
      </c>
      <c r="K1023" s="5">
        <v>0.126696151806171</v>
      </c>
      <c r="L1023" s="7">
        <v>1.2139202001374</v>
      </c>
      <c r="M1023" s="4">
        <v>73.25</v>
      </c>
      <c r="N1023" s="2">
        <v>48.52</v>
      </c>
    </row>
    <row r="1024">
      <c r="A1024" s="2" t="s">
        <v>1049</v>
      </c>
      <c r="B1024" s="3" t="str">
        <f>HYPERLINK("https://www.suredividend.com/sure-analysis-research-database/","Mullen Automotive Inc")</f>
        <v>Mullen Automotive Inc</v>
      </c>
      <c r="C1024" s="2" t="s">
        <v>15</v>
      </c>
      <c r="D1024" s="4">
        <v>6.85</v>
      </c>
      <c r="E1024" s="5">
        <v>0.0</v>
      </c>
      <c r="F1024" s="5" t="s">
        <v>15</v>
      </c>
      <c r="G1024" s="5" t="s">
        <v>15</v>
      </c>
      <c r="H1024" s="4">
        <v>0.0</v>
      </c>
      <c r="I1024" s="4">
        <v>32.1727</v>
      </c>
      <c r="J1024" s="6">
        <v>0.0</v>
      </c>
      <c r="K1024" s="5" t="s">
        <v>15</v>
      </c>
      <c r="L1024" s="7">
        <v>2.30431161115725</v>
      </c>
      <c r="M1024" s="4">
        <v>10080.0</v>
      </c>
      <c r="N1024" s="2">
        <v>6.36</v>
      </c>
    </row>
    <row r="1025">
      <c r="A1025" s="2" t="s">
        <v>1050</v>
      </c>
      <c r="B1025" s="3" t="str">
        <f>HYPERLINK("https://www.suredividend.com/sure-analysis-research-database/","Murphy Oil Corp.")</f>
        <v>Murphy Oil Corp.</v>
      </c>
      <c r="C1025" s="2" t="s">
        <v>125</v>
      </c>
      <c r="D1025" s="4">
        <v>37.68</v>
      </c>
      <c r="E1025" s="5">
        <v>0.027937465025551</v>
      </c>
      <c r="F1025" s="5">
        <v>0.1</v>
      </c>
      <c r="G1025" s="5">
        <v>0.0192448764914565</v>
      </c>
      <c r="H1025" s="4">
        <v>1.08900238669598</v>
      </c>
      <c r="I1025" s="4">
        <v>6021.363036</v>
      </c>
      <c r="J1025" s="6">
        <v>8.08594818668672</v>
      </c>
      <c r="K1025" s="5">
        <v>0.23072084463898</v>
      </c>
      <c r="L1025" s="7">
        <v>0.987146336798862</v>
      </c>
      <c r="M1025" s="4">
        <v>48.16</v>
      </c>
      <c r="N1025" s="2">
        <v>32.24</v>
      </c>
    </row>
    <row r="1026">
      <c r="A1026" s="2" t="s">
        <v>1051</v>
      </c>
      <c r="B1026" s="3" t="str">
        <f>HYPERLINK("https://www.suredividend.com/sure-analysis-research-database/","Murphy USA Inc")</f>
        <v>Murphy USA Inc</v>
      </c>
      <c r="C1026" s="2" t="s">
        <v>25</v>
      </c>
      <c r="D1026" s="4">
        <v>362.02</v>
      </c>
      <c r="E1026" s="5">
        <v>0.004370683946924</v>
      </c>
      <c r="F1026" s="5" t="s">
        <v>15</v>
      </c>
      <c r="G1026" s="5" t="s">
        <v>15</v>
      </c>
      <c r="H1026" s="4">
        <v>1.54730953089032</v>
      </c>
      <c r="I1026" s="4">
        <v>7532.494515</v>
      </c>
      <c r="J1026" s="6">
        <v>14.3612860145281</v>
      </c>
      <c r="K1026" s="5">
        <v>0.0654253501433541</v>
      </c>
      <c r="L1026" s="7">
        <v>0.290294760054651</v>
      </c>
      <c r="M1026" s="4">
        <v>384.25</v>
      </c>
      <c r="N1026" s="2">
        <v>230.79</v>
      </c>
    </row>
    <row r="1027">
      <c r="A1027" s="2" t="s">
        <v>1052</v>
      </c>
      <c r="B1027" s="3" t="str">
        <f>HYPERLINK("https://www.suredividend.com/sure-analysis-research-database/","MVB Financial Corp.")</f>
        <v>MVB Financial Corp.</v>
      </c>
      <c r="C1027" s="2" t="s">
        <v>22</v>
      </c>
      <c r="D1027" s="4">
        <v>20.82</v>
      </c>
      <c r="E1027" s="5">
        <v>0.029312901299728</v>
      </c>
      <c r="F1027" s="5">
        <v>0.0</v>
      </c>
      <c r="G1027" s="5">
        <v>0.371753810939719</v>
      </c>
      <c r="H1027" s="4">
        <v>0.663644085425852</v>
      </c>
      <c r="I1027" s="4">
        <v>288.357145</v>
      </c>
      <c r="J1027" s="6">
        <v>0.0</v>
      </c>
      <c r="K1027" s="5" t="s">
        <v>15</v>
      </c>
      <c r="L1027" s="7">
        <v>1.24873829828493</v>
      </c>
      <c r="M1027" s="4">
        <v>26.39</v>
      </c>
      <c r="N1027" s="2">
        <v>15.47</v>
      </c>
    </row>
    <row r="1028">
      <c r="A1028" s="2" t="s">
        <v>1053</v>
      </c>
      <c r="B1028" s="3" t="str">
        <f>HYPERLINK("https://www.suredividend.com/sure-analysis-research-database/","Microvision Inc.")</f>
        <v>Microvision Inc.</v>
      </c>
      <c r="C1028" s="2" t="s">
        <v>40</v>
      </c>
      <c r="D1028" s="4">
        <v>2.36</v>
      </c>
      <c r="E1028" s="5">
        <v>0.0</v>
      </c>
      <c r="F1028" s="5" t="s">
        <v>15</v>
      </c>
      <c r="G1028" s="5" t="s">
        <v>15</v>
      </c>
      <c r="H1028" s="4">
        <v>0.0</v>
      </c>
      <c r="I1028" s="4">
        <v>478.764072</v>
      </c>
      <c r="J1028" s="6" t="s">
        <v>15</v>
      </c>
      <c r="K1028" s="5">
        <v>0.0</v>
      </c>
      <c r="L1028" s="7">
        <v>2.73272878070119</v>
      </c>
      <c r="M1028" s="4">
        <v>8.2</v>
      </c>
      <c r="N1028" s="2">
        <v>1.82</v>
      </c>
    </row>
    <row r="1029">
      <c r="A1029" s="2" t="s">
        <v>1054</v>
      </c>
      <c r="B1029" s="3" t="str">
        <f>HYPERLINK("https://www.suredividend.com/sure-analysis-research-database/","Microvast Holdings Inc")</f>
        <v>Microvast Holdings Inc</v>
      </c>
      <c r="C1029" s="2" t="s">
        <v>15</v>
      </c>
      <c r="D1029" s="4">
        <v>0.8485</v>
      </c>
      <c r="E1029" s="5">
        <v>0.0</v>
      </c>
      <c r="F1029" s="5" t="s">
        <v>15</v>
      </c>
      <c r="G1029" s="5" t="s">
        <v>15</v>
      </c>
      <c r="H1029" s="4">
        <v>0.0</v>
      </c>
      <c r="I1029" s="4">
        <v>301.214539</v>
      </c>
      <c r="J1029" s="6" t="s">
        <v>15</v>
      </c>
      <c r="K1029" s="5">
        <v>0.0</v>
      </c>
      <c r="L1029" s="7">
        <v>3.29464826115258</v>
      </c>
      <c r="M1029" s="4">
        <v>2.91</v>
      </c>
      <c r="N1029" s="2">
        <v>0.83</v>
      </c>
    </row>
    <row r="1030">
      <c r="A1030" s="2" t="s">
        <v>1055</v>
      </c>
      <c r="B1030" s="3" t="str">
        <f>HYPERLINK("https://www.suredividend.com/sure-analysis-MWA/","Mueller Water Products Inc")</f>
        <v>Mueller Water Products Inc</v>
      </c>
      <c r="C1030" s="2" t="s">
        <v>17</v>
      </c>
      <c r="D1030" s="4">
        <v>13.59</v>
      </c>
      <c r="E1030" s="5">
        <v>0.0191317144959529</v>
      </c>
      <c r="F1030" s="5">
        <v>0.0491803278688525</v>
      </c>
      <c r="G1030" s="5">
        <v>0.0506111217615068</v>
      </c>
      <c r="H1030" s="4">
        <v>0.245292626483074</v>
      </c>
      <c r="I1030" s="4">
        <v>2204.579053</v>
      </c>
      <c r="J1030" s="6">
        <v>25.784550331228</v>
      </c>
      <c r="K1030" s="5">
        <v>0.449830600555793</v>
      </c>
      <c r="L1030" s="7">
        <v>1.14550811133722</v>
      </c>
      <c r="M1030" s="4">
        <v>16.46</v>
      </c>
      <c r="N1030" s="2">
        <v>12.0</v>
      </c>
    </row>
    <row r="1031">
      <c r="A1031" s="2" t="s">
        <v>1056</v>
      </c>
      <c r="B1031" s="3" t="str">
        <f>HYPERLINK("https://www.suredividend.com/sure-analysis-research-database/","MaxCyte Inc")</f>
        <v>MaxCyte Inc</v>
      </c>
      <c r="C1031" s="2" t="s">
        <v>15</v>
      </c>
      <c r="D1031" s="4">
        <v>4.94</v>
      </c>
      <c r="E1031" s="5">
        <v>0.0</v>
      </c>
      <c r="F1031" s="5" t="s">
        <v>15</v>
      </c>
      <c r="G1031" s="5" t="s">
        <v>15</v>
      </c>
      <c r="H1031" s="4">
        <v>0.0</v>
      </c>
      <c r="I1031" s="4">
        <v>0.0</v>
      </c>
      <c r="J1031" s="6">
        <v>0.0</v>
      </c>
      <c r="K1031" s="5" t="s">
        <v>15</v>
      </c>
      <c r="L1031" s="7"/>
      <c r="M1031" s="4" t="s">
        <v>49</v>
      </c>
      <c r="N1031" s="2" t="s">
        <v>49</v>
      </c>
    </row>
    <row r="1032">
      <c r="A1032" s="2" t="s">
        <v>1057</v>
      </c>
      <c r="B1032" s="3" t="str">
        <f>HYPERLINK("https://www.suredividend.com/sure-analysis-research-database/","MaxLinear Inc")</f>
        <v>MaxLinear Inc</v>
      </c>
      <c r="C1032" s="2" t="s">
        <v>40</v>
      </c>
      <c r="D1032" s="4">
        <v>17.81</v>
      </c>
      <c r="E1032" s="5">
        <v>0.0</v>
      </c>
      <c r="F1032" s="5" t="s">
        <v>15</v>
      </c>
      <c r="G1032" s="5" t="s">
        <v>15</v>
      </c>
      <c r="H1032" s="4">
        <v>0.0</v>
      </c>
      <c r="I1032" s="4">
        <v>1817.172418</v>
      </c>
      <c r="J1032" s="6" t="s">
        <v>15</v>
      </c>
      <c r="K1032" s="5">
        <v>0.0</v>
      </c>
      <c r="L1032" s="7">
        <v>1.95340987086342</v>
      </c>
      <c r="M1032" s="4">
        <v>43.66</v>
      </c>
      <c r="N1032" s="2">
        <v>13.43</v>
      </c>
    </row>
    <row r="1033">
      <c r="A1033" s="2" t="s">
        <v>1058</v>
      </c>
      <c r="B1033" s="3" t="str">
        <f>HYPERLINK("https://www.suredividend.com/sure-analysis-research-database/","Myers Industries Inc.")</f>
        <v>Myers Industries Inc.</v>
      </c>
      <c r="C1033" s="2" t="s">
        <v>25</v>
      </c>
      <c r="D1033" s="4">
        <v>18.53</v>
      </c>
      <c r="E1033" s="5">
        <v>0.028537678238371</v>
      </c>
      <c r="F1033" s="5">
        <v>0.0</v>
      </c>
      <c r="G1033" s="5">
        <v>0.0</v>
      </c>
      <c r="H1033" s="4">
        <v>0.533939959839935</v>
      </c>
      <c r="I1033" s="4">
        <v>689.247699</v>
      </c>
      <c r="J1033" s="6">
        <v>13.8525544428812</v>
      </c>
      <c r="K1033" s="5">
        <v>0.398462656596966</v>
      </c>
      <c r="L1033" s="7">
        <v>0.879170028571772</v>
      </c>
      <c r="M1033" s="4">
        <v>25.73</v>
      </c>
      <c r="N1033" s="2">
        <v>15.53</v>
      </c>
    </row>
    <row r="1034">
      <c r="A1034" s="2" t="s">
        <v>1059</v>
      </c>
      <c r="B1034" s="3" t="str">
        <f>HYPERLINK("https://www.suredividend.com/sure-analysis-research-database/","First Western Financial Inc")</f>
        <v>First Western Financial Inc</v>
      </c>
      <c r="C1034" s="2" t="s">
        <v>22</v>
      </c>
      <c r="D1034" s="4">
        <v>16.14</v>
      </c>
      <c r="E1034" s="5">
        <v>0.0</v>
      </c>
      <c r="F1034" s="5" t="s">
        <v>15</v>
      </c>
      <c r="G1034" s="5" t="s">
        <v>15</v>
      </c>
      <c r="H1034" s="4">
        <v>0.0</v>
      </c>
      <c r="I1034" s="4">
        <v>171.920607</v>
      </c>
      <c r="J1034" s="6">
        <v>12.3550561710384</v>
      </c>
      <c r="K1034" s="5">
        <v>0.0</v>
      </c>
      <c r="L1034" s="7">
        <v>1.79094428276586</v>
      </c>
      <c r="M1034" s="4">
        <v>27.84</v>
      </c>
      <c r="N1034" s="2">
        <v>12.85</v>
      </c>
    </row>
    <row r="1035">
      <c r="A1035" s="2" t="s">
        <v>1060</v>
      </c>
      <c r="B1035" s="3" t="str">
        <f>HYPERLINK("https://www.suredividend.com/sure-analysis-research-database/","Myriad Genetics, Inc.")</f>
        <v>Myriad Genetics, Inc.</v>
      </c>
      <c r="C1035" s="2" t="s">
        <v>30</v>
      </c>
      <c r="D1035" s="4">
        <v>21.85</v>
      </c>
      <c r="E1035" s="5">
        <v>0.0</v>
      </c>
      <c r="F1035" s="5" t="s">
        <v>15</v>
      </c>
      <c r="G1035" s="5" t="s">
        <v>15</v>
      </c>
      <c r="H1035" s="4">
        <v>0.0</v>
      </c>
      <c r="I1035" s="4">
        <v>1867.543172</v>
      </c>
      <c r="J1035" s="6" t="s">
        <v>15</v>
      </c>
      <c r="K1035" s="5">
        <v>0.0</v>
      </c>
      <c r="L1035" s="7">
        <v>1.3827964359193</v>
      </c>
      <c r="M1035" s="4">
        <v>24.21</v>
      </c>
      <c r="N1035" s="2">
        <v>13.82</v>
      </c>
    </row>
    <row r="1036">
      <c r="A1036" s="2" t="s">
        <v>1061</v>
      </c>
      <c r="B1036" s="3" t="str">
        <f>HYPERLINK("https://www.suredividend.com/sure-analysis-research-database/","PLAYSTUDIOS Inc")</f>
        <v>PLAYSTUDIOS Inc</v>
      </c>
      <c r="C1036" s="2" t="s">
        <v>15</v>
      </c>
      <c r="D1036" s="4">
        <v>2.16</v>
      </c>
      <c r="E1036" s="5">
        <v>0.0</v>
      </c>
      <c r="F1036" s="5" t="s">
        <v>15</v>
      </c>
      <c r="G1036" s="5" t="s">
        <v>15</v>
      </c>
      <c r="H1036" s="4">
        <v>0.0</v>
      </c>
      <c r="I1036" s="4">
        <v>275.121138</v>
      </c>
      <c r="J1036" s="6" t="s">
        <v>15</v>
      </c>
      <c r="K1036" s="5">
        <v>0.0</v>
      </c>
      <c r="L1036" s="7">
        <v>1.15878091748502</v>
      </c>
      <c r="M1036" s="4">
        <v>5.01</v>
      </c>
      <c r="N1036" s="2">
        <v>2.21</v>
      </c>
    </row>
    <row r="1037">
      <c r="A1037" s="2" t="s">
        <v>1062</v>
      </c>
      <c r="B1037" s="3" t="str">
        <f>HYPERLINK("https://www.suredividend.com/sure-analysis-research-database/","MYR Group Inc")</f>
        <v>MYR Group Inc</v>
      </c>
      <c r="C1037" s="2" t="s">
        <v>17</v>
      </c>
      <c r="D1037" s="4">
        <v>147.69</v>
      </c>
      <c r="E1037" s="5">
        <v>0.0</v>
      </c>
      <c r="F1037" s="5" t="s">
        <v>15</v>
      </c>
      <c r="G1037" s="5" t="s">
        <v>15</v>
      </c>
      <c r="H1037" s="4">
        <v>0.0</v>
      </c>
      <c r="I1037" s="4">
        <v>2479.360655</v>
      </c>
      <c r="J1037" s="6">
        <v>27.0906202392893</v>
      </c>
      <c r="K1037" s="5">
        <v>0.0</v>
      </c>
      <c r="L1037" s="7">
        <v>1.13826127336825</v>
      </c>
      <c r="M1037" s="4">
        <v>156.63</v>
      </c>
      <c r="N1037" s="2">
        <v>95.44</v>
      </c>
    </row>
    <row r="1038">
      <c r="A1038" s="2" t="s">
        <v>1063</v>
      </c>
      <c r="B1038" s="3" t="str">
        <f>HYPERLINK("https://www.suredividend.com/sure-analysis-research-database/","N-able Inc")</f>
        <v>N-able Inc</v>
      </c>
      <c r="C1038" s="2" t="s">
        <v>15</v>
      </c>
      <c r="D1038" s="4">
        <v>13.27</v>
      </c>
      <c r="E1038" s="5">
        <v>0.0</v>
      </c>
      <c r="F1038" s="5" t="s">
        <v>15</v>
      </c>
      <c r="G1038" s="5" t="s">
        <v>15</v>
      </c>
      <c r="H1038" s="4">
        <v>0.0</v>
      </c>
      <c r="I1038" s="4">
        <v>2443.909436</v>
      </c>
      <c r="J1038" s="6">
        <v>116.12227673097</v>
      </c>
      <c r="K1038" s="5">
        <v>0.0</v>
      </c>
      <c r="L1038" s="7">
        <v>0.942885233050846</v>
      </c>
      <c r="M1038" s="4">
        <v>15.44</v>
      </c>
      <c r="N1038" s="2">
        <v>9.87</v>
      </c>
    </row>
    <row r="1039">
      <c r="A1039" s="2" t="s">
        <v>1064</v>
      </c>
      <c r="B1039" s="3" t="str">
        <f>HYPERLINK("https://www.suredividend.com/sure-analysis-research-database/","Duckhorn Portfolio Inc (The)")</f>
        <v>Duckhorn Portfolio Inc (The)</v>
      </c>
      <c r="C1039" s="2" t="s">
        <v>15</v>
      </c>
      <c r="D1039" s="4">
        <v>8.55</v>
      </c>
      <c r="E1039" s="5">
        <v>0.0</v>
      </c>
      <c r="F1039" s="5" t="s">
        <v>15</v>
      </c>
      <c r="G1039" s="5" t="s">
        <v>15</v>
      </c>
      <c r="H1039" s="4">
        <v>0.0</v>
      </c>
      <c r="I1039" s="4">
        <v>1034.848359</v>
      </c>
      <c r="J1039" s="6">
        <v>15.9158467963703</v>
      </c>
      <c r="K1039" s="5">
        <v>0.0</v>
      </c>
      <c r="L1039" s="7">
        <v>0.547119718387116</v>
      </c>
      <c r="M1039" s="4">
        <v>16.73</v>
      </c>
      <c r="N1039" s="2">
        <v>8.34</v>
      </c>
    </row>
    <row r="1040">
      <c r="A1040" s="2" t="s">
        <v>1065</v>
      </c>
      <c r="B1040" s="3" t="str">
        <f>HYPERLINK("https://www.suredividend.com/sure-analysis-research-database/","Inari Medical Inc")</f>
        <v>Inari Medical Inc</v>
      </c>
      <c r="C1040" s="2" t="s">
        <v>15</v>
      </c>
      <c r="D1040" s="4">
        <v>56.21</v>
      </c>
      <c r="E1040" s="5">
        <v>0.0</v>
      </c>
      <c r="F1040" s="5" t="s">
        <v>15</v>
      </c>
      <c r="G1040" s="5" t="s">
        <v>15</v>
      </c>
      <c r="H1040" s="4">
        <v>0.0</v>
      </c>
      <c r="I1040" s="4">
        <v>3338.51914</v>
      </c>
      <c r="J1040" s="6" t="s">
        <v>15</v>
      </c>
      <c r="K1040" s="5">
        <v>0.0</v>
      </c>
      <c r="L1040" s="7">
        <v>0.64651510343343</v>
      </c>
      <c r="M1040" s="4">
        <v>71.85</v>
      </c>
      <c r="N1040" s="2">
        <v>47.81</v>
      </c>
    </row>
    <row r="1041">
      <c r="A1041" s="2" t="s">
        <v>1066</v>
      </c>
      <c r="B1041" s="3" t="str">
        <f>HYPERLINK("https://www.suredividend.com/sure-analysis-research-database/","Nordic American Tankers Ltd")</f>
        <v>Nordic American Tankers Ltd</v>
      </c>
      <c r="C1041" s="2" t="s">
        <v>17</v>
      </c>
      <c r="D1041" s="4">
        <v>4.11</v>
      </c>
      <c r="E1041" s="5">
        <v>0.105632531875433</v>
      </c>
      <c r="F1041" s="5">
        <v>0.199999999999999</v>
      </c>
      <c r="G1041" s="5">
        <v>0.0844717711976985</v>
      </c>
      <c r="H1041" s="4">
        <v>0.467952116208171</v>
      </c>
      <c r="I1041" s="4">
        <v>924.968247</v>
      </c>
      <c r="J1041" s="6">
        <v>7.88959515963118</v>
      </c>
      <c r="K1041" s="5">
        <v>0.823569370306531</v>
      </c>
      <c r="L1041" s="7">
        <v>0.521432375296258</v>
      </c>
      <c r="M1041" s="4">
        <v>4.76</v>
      </c>
      <c r="N1041" s="2">
        <v>2.61</v>
      </c>
    </row>
    <row r="1042">
      <c r="A1042" s="2" t="s">
        <v>1067</v>
      </c>
      <c r="B1042" s="3" t="str">
        <f>HYPERLINK("https://www.suredividend.com/sure-analysis-research-database/","Nature`s Sunshine Products, Inc.")</f>
        <v>Nature`s Sunshine Products, Inc.</v>
      </c>
      <c r="C1042" s="2" t="s">
        <v>89</v>
      </c>
      <c r="D1042" s="4">
        <v>17.58</v>
      </c>
      <c r="E1042" s="5">
        <v>0.0</v>
      </c>
      <c r="F1042" s="5" t="s">
        <v>15</v>
      </c>
      <c r="G1042" s="5" t="s">
        <v>15</v>
      </c>
      <c r="H1042" s="4">
        <v>0.0</v>
      </c>
      <c r="I1042" s="4">
        <v>340.107981</v>
      </c>
      <c r="J1042" s="6">
        <v>42.1551786105602</v>
      </c>
      <c r="K1042" s="5">
        <v>0.0</v>
      </c>
      <c r="L1042" s="7">
        <v>1.14961514091229</v>
      </c>
      <c r="M1042" s="4">
        <v>19.2</v>
      </c>
      <c r="N1042" s="2">
        <v>8.26</v>
      </c>
    </row>
    <row r="1043">
      <c r="A1043" s="2" t="s">
        <v>1068</v>
      </c>
      <c r="B1043" s="3" t="str">
        <f>HYPERLINK("https://www.suredividend.com/sure-analysis-research-database/","Nautilus Biotechnology Inc")</f>
        <v>Nautilus Biotechnology Inc</v>
      </c>
      <c r="C1043" s="2" t="s">
        <v>15</v>
      </c>
      <c r="D1043" s="4">
        <v>2.61</v>
      </c>
      <c r="E1043" s="5">
        <v>0.0</v>
      </c>
      <c r="F1043" s="5" t="s">
        <v>15</v>
      </c>
      <c r="G1043" s="5" t="s">
        <v>15</v>
      </c>
      <c r="H1043" s="4">
        <v>0.0</v>
      </c>
      <c r="I1043" s="4">
        <v>372.338407</v>
      </c>
      <c r="J1043" s="6">
        <v>0.0</v>
      </c>
      <c r="K1043" s="5" t="s">
        <v>15</v>
      </c>
      <c r="L1043" s="7">
        <v>1.608581871551</v>
      </c>
      <c r="M1043" s="4">
        <v>4.65</v>
      </c>
      <c r="N1043" s="2">
        <v>1.78</v>
      </c>
    </row>
    <row r="1044">
      <c r="A1044" s="2" t="s">
        <v>1069</v>
      </c>
      <c r="B1044" s="3" t="str">
        <f>HYPERLINK("https://www.suredividend.com/sure-analysis-NAVI/","Navient Corp")</f>
        <v>Navient Corp</v>
      </c>
      <c r="C1044" s="2" t="s">
        <v>22</v>
      </c>
      <c r="D1044" s="4">
        <v>16.04</v>
      </c>
      <c r="E1044" s="5">
        <v>0.0399002493765586</v>
      </c>
      <c r="F1044" s="5">
        <v>0.0</v>
      </c>
      <c r="G1044" s="5">
        <v>0.0</v>
      </c>
      <c r="H1044" s="4">
        <v>0.62491162144906</v>
      </c>
      <c r="I1044" s="4">
        <v>2136.266723</v>
      </c>
      <c r="J1044" s="6">
        <v>5.91763635310249</v>
      </c>
      <c r="K1044" s="5">
        <v>0.220816827367159</v>
      </c>
      <c r="L1044" s="7">
        <v>1.30394253794424</v>
      </c>
      <c r="M1044" s="4">
        <v>19.68</v>
      </c>
      <c r="N1044" s="2">
        <v>13.73</v>
      </c>
    </row>
    <row r="1045">
      <c r="A1045" s="2" t="s">
        <v>1070</v>
      </c>
      <c r="B1045" s="3" t="str">
        <f>HYPERLINK("https://www.suredividend.com/sure-analysis-research-database/","National Bank Holdings Corp")</f>
        <v>National Bank Holdings Corp</v>
      </c>
      <c r="C1045" s="2" t="s">
        <v>22</v>
      </c>
      <c r="D1045" s="4">
        <v>33.7</v>
      </c>
      <c r="E1045" s="5">
        <v>0.028063642887986</v>
      </c>
      <c r="F1045" s="5">
        <v>0.08</v>
      </c>
      <c r="G1045" s="5">
        <v>0.0969402404646646</v>
      </c>
      <c r="H1045" s="4">
        <v>1.0274099661292</v>
      </c>
      <c r="I1045" s="4">
        <v>1382.435262</v>
      </c>
      <c r="J1045" s="6">
        <v>11.0219193961379</v>
      </c>
      <c r="K1045" s="5">
        <v>0.31228266447696</v>
      </c>
      <c r="L1045" s="7">
        <v>1.44980175650093</v>
      </c>
      <c r="M1045" s="4">
        <v>43.1</v>
      </c>
      <c r="N1045" s="2">
        <v>25.83</v>
      </c>
    </row>
    <row r="1046">
      <c r="A1046" s="2" t="s">
        <v>1071</v>
      </c>
      <c r="B1046" s="3" t="str">
        <f>HYPERLINK("https://www.suredividend.com/sure-analysis-research-database/","Northeast Bank")</f>
        <v>Northeast Bank</v>
      </c>
      <c r="C1046" s="2" t="s">
        <v>22</v>
      </c>
      <c r="D1046" s="4">
        <v>52.77</v>
      </c>
      <c r="E1046" s="5">
        <v>6.99823432734E-4</v>
      </c>
      <c r="F1046" s="5" t="s">
        <v>15</v>
      </c>
      <c r="G1046" s="5" t="s">
        <v>15</v>
      </c>
      <c r="H1046" s="4">
        <v>0.039973914477817</v>
      </c>
      <c r="I1046" s="4">
        <v>513.90864</v>
      </c>
      <c r="J1046" s="6">
        <v>0.0</v>
      </c>
      <c r="K1046" s="5" t="s">
        <v>15</v>
      </c>
      <c r="L1046" s="7">
        <v>0.941722579200879</v>
      </c>
      <c r="M1046" s="4">
        <v>59.0</v>
      </c>
      <c r="N1046" s="2">
        <v>33.1</v>
      </c>
    </row>
    <row r="1047">
      <c r="A1047" s="2" t="s">
        <v>1072</v>
      </c>
      <c r="B1047" s="3" t="str">
        <f>HYPERLINK("https://www.suredividend.com/sure-analysis-research-database/","Nabors Industries Ltd")</f>
        <v>Nabors Industries Ltd</v>
      </c>
      <c r="C1047" s="2" t="s">
        <v>125</v>
      </c>
      <c r="D1047" s="4">
        <v>76.59</v>
      </c>
      <c r="E1047" s="5">
        <v>0.0</v>
      </c>
      <c r="F1047" s="5" t="s">
        <v>15</v>
      </c>
      <c r="G1047" s="5" t="s">
        <v>15</v>
      </c>
      <c r="H1047" s="4">
        <v>0.0</v>
      </c>
      <c r="I1047" s="4">
        <v>841.447923</v>
      </c>
      <c r="J1047" s="6" t="s">
        <v>15</v>
      </c>
      <c r="K1047" s="5">
        <v>0.0</v>
      </c>
      <c r="L1047" s="7">
        <v>1.39280026539159</v>
      </c>
      <c r="M1047" s="4">
        <v>190.9</v>
      </c>
      <c r="N1047" s="2">
        <v>71.42</v>
      </c>
    </row>
    <row r="1048">
      <c r="A1048" s="2" t="s">
        <v>1073</v>
      </c>
      <c r="B1048" s="3" t="str">
        <f>HYPERLINK("https://www.suredividend.com/sure-analysis-research-database/","NBT Bancorp. Inc.")</f>
        <v>NBT Bancorp. Inc.</v>
      </c>
      <c r="C1048" s="2" t="s">
        <v>22</v>
      </c>
      <c r="D1048" s="4">
        <v>33.97</v>
      </c>
      <c r="E1048" s="5">
        <v>0.031881896050983</v>
      </c>
      <c r="F1048" s="5">
        <v>0.0666666666666664</v>
      </c>
      <c r="G1048" s="5">
        <v>0.0424022162772979</v>
      </c>
      <c r="H1048" s="4">
        <v>1.21023677409534</v>
      </c>
      <c r="I1048" s="4">
        <v>1787.916</v>
      </c>
      <c r="J1048" s="6">
        <v>14.3657327430357</v>
      </c>
      <c r="K1048" s="5">
        <v>0.424644482138716</v>
      </c>
      <c r="L1048" s="7">
        <v>1.09809364786333</v>
      </c>
      <c r="M1048" s="4">
        <v>43.77</v>
      </c>
      <c r="N1048" s="2">
        <v>26.3</v>
      </c>
    </row>
    <row r="1049">
      <c r="A1049" s="2" t="s">
        <v>1074</v>
      </c>
      <c r="B1049" s="3" t="str">
        <f>HYPERLINK("https://www.suredividend.com/sure-analysis-NC/","Nacco Industries Inc.")</f>
        <v>Nacco Industries Inc.</v>
      </c>
      <c r="C1049" s="2" t="s">
        <v>125</v>
      </c>
      <c r="D1049" s="4">
        <v>36.6</v>
      </c>
      <c r="E1049" s="5">
        <v>0.0237704918032786</v>
      </c>
      <c r="F1049" s="5">
        <v>0.0481927710843372</v>
      </c>
      <c r="G1049" s="5">
        <v>0.0568054965364073</v>
      </c>
      <c r="H1049" s="4">
        <v>0.851734363462681</v>
      </c>
      <c r="I1049" s="4">
        <v>219.588602</v>
      </c>
      <c r="J1049" s="6">
        <v>12.0905517955071</v>
      </c>
      <c r="K1049" s="5">
        <v>0.351956348538298</v>
      </c>
      <c r="L1049" s="7">
        <v>0.528605332597578</v>
      </c>
      <c r="M1049" s="4">
        <v>39.28</v>
      </c>
      <c r="N1049" s="2">
        <v>28.99</v>
      </c>
    </row>
    <row r="1050">
      <c r="A1050" s="2" t="s">
        <v>1075</v>
      </c>
      <c r="B1050" s="3" t="str">
        <f>HYPERLINK("https://www.suredividend.com/sure-analysis-research-database/","Noodles &amp; Company")</f>
        <v>Noodles &amp; Company</v>
      </c>
      <c r="C1050" s="2" t="s">
        <v>25</v>
      </c>
      <c r="D1050" s="4">
        <v>2.4</v>
      </c>
      <c r="E1050" s="5">
        <v>0.0</v>
      </c>
      <c r="F1050" s="5" t="s">
        <v>15</v>
      </c>
      <c r="G1050" s="5" t="s">
        <v>15</v>
      </c>
      <c r="H1050" s="4">
        <v>0.0</v>
      </c>
      <c r="I1050" s="4">
        <v>124.902645</v>
      </c>
      <c r="J1050" s="6" t="s">
        <v>15</v>
      </c>
      <c r="K1050" s="5">
        <v>0.0</v>
      </c>
      <c r="L1050" s="7">
        <v>1.2961641043918</v>
      </c>
      <c r="M1050" s="4">
        <v>6.55</v>
      </c>
      <c r="N1050" s="2">
        <v>1.96</v>
      </c>
    </row>
    <row r="1051">
      <c r="A1051" s="2" t="s">
        <v>1076</v>
      </c>
      <c r="B1051" s="3" t="str">
        <f>HYPERLINK("https://www.suredividend.com/sure-analysis-research-database/","Noble Corp Plc")</f>
        <v>Noble Corp Plc</v>
      </c>
      <c r="C1051" s="2" t="s">
        <v>125</v>
      </c>
      <c r="D1051" s="4">
        <v>42.94</v>
      </c>
      <c r="E1051" s="5">
        <v>0.015465310416389</v>
      </c>
      <c r="F1051" s="5" t="s">
        <v>15</v>
      </c>
      <c r="G1051" s="5" t="s">
        <v>15</v>
      </c>
      <c r="H1051" s="4">
        <v>0.697485499779152</v>
      </c>
      <c r="I1051" s="4">
        <v>6361.538737</v>
      </c>
      <c r="J1051" s="6">
        <v>0.0</v>
      </c>
      <c r="K1051" s="5" t="s">
        <v>15</v>
      </c>
      <c r="L1051" s="7">
        <v>1.00382016736963</v>
      </c>
      <c r="M1051" s="4">
        <v>54.88</v>
      </c>
      <c r="N1051" s="2">
        <v>34.36</v>
      </c>
    </row>
    <row r="1052">
      <c r="A1052" s="2" t="s">
        <v>1077</v>
      </c>
      <c r="B1052" s="3" t="str">
        <f>HYPERLINK("https://www.suredividend.com/sure-analysis-research-database/","Neogenomics Inc.")</f>
        <v>Neogenomics Inc.</v>
      </c>
      <c r="C1052" s="2" t="s">
        <v>30</v>
      </c>
      <c r="D1052" s="4">
        <v>14.17</v>
      </c>
      <c r="E1052" s="5">
        <v>0.0</v>
      </c>
      <c r="F1052" s="5" t="s">
        <v>15</v>
      </c>
      <c r="G1052" s="5" t="s">
        <v>15</v>
      </c>
      <c r="H1052" s="4">
        <v>0.0</v>
      </c>
      <c r="I1052" s="4">
        <v>2090.439448</v>
      </c>
      <c r="J1052" s="6" t="s">
        <v>15</v>
      </c>
      <c r="K1052" s="5">
        <v>0.0</v>
      </c>
      <c r="L1052" s="7">
        <v>1.85578775649172</v>
      </c>
      <c r="M1052" s="4">
        <v>21.22</v>
      </c>
      <c r="N1052" s="2">
        <v>11.03</v>
      </c>
    </row>
    <row r="1053">
      <c r="A1053" s="2" t="s">
        <v>1078</v>
      </c>
      <c r="B1053" s="3" t="str">
        <f>HYPERLINK("https://www.suredividend.com/sure-analysis-research-database/","Neogen Corp.")</f>
        <v>Neogen Corp.</v>
      </c>
      <c r="C1053" s="2" t="s">
        <v>30</v>
      </c>
      <c r="D1053" s="4">
        <v>15.06</v>
      </c>
      <c r="E1053" s="5">
        <v>0.0</v>
      </c>
      <c r="F1053" s="5" t="s">
        <v>15</v>
      </c>
      <c r="G1053" s="5" t="s">
        <v>15</v>
      </c>
      <c r="H1053" s="4">
        <v>0.0</v>
      </c>
      <c r="I1053" s="4">
        <v>3490.307172</v>
      </c>
      <c r="J1053" s="6">
        <v>296.34124397351</v>
      </c>
      <c r="K1053" s="5">
        <v>0.0</v>
      </c>
      <c r="L1053" s="7">
        <v>1.11823994636446</v>
      </c>
      <c r="M1053" s="4">
        <v>24.1</v>
      </c>
      <c r="N1053" s="2">
        <v>14.44</v>
      </c>
    </row>
    <row r="1054">
      <c r="A1054" s="2" t="s">
        <v>1079</v>
      </c>
      <c r="B1054" s="3" t="str">
        <f>HYPERLINK("https://www.suredividend.com/sure-analysis-research-database/","Eneti Inc")</f>
        <v>Eneti Inc</v>
      </c>
      <c r="C1054" s="2" t="s">
        <v>15</v>
      </c>
      <c r="D1054" s="4">
        <v>11.33</v>
      </c>
      <c r="E1054" s="5">
        <v>0.003525153595327</v>
      </c>
      <c r="F1054" s="5">
        <v>0.0</v>
      </c>
      <c r="G1054" s="5">
        <v>-0.129449436703875</v>
      </c>
      <c r="H1054" s="4">
        <v>0.03993999023506</v>
      </c>
      <c r="I1054" s="4">
        <v>437.871858</v>
      </c>
      <c r="J1054" s="6" t="s">
        <v>15</v>
      </c>
      <c r="K1054" s="5" t="s">
        <v>15</v>
      </c>
      <c r="L1054" s="7">
        <v>0.466438876329747</v>
      </c>
      <c r="M1054" s="4">
        <v>13.51</v>
      </c>
      <c r="N1054" s="2">
        <v>7.73</v>
      </c>
    </row>
    <row r="1055">
      <c r="A1055" s="2" t="s">
        <v>1080</v>
      </c>
      <c r="B1055" s="3" t="str">
        <f>HYPERLINK("https://www.suredividend.com/sure-analysis-research-database/","NexTier Oilfield Solutions Inc")</f>
        <v>NexTier Oilfield Solutions Inc</v>
      </c>
      <c r="C1055" s="2" t="s">
        <v>125</v>
      </c>
      <c r="D1055" s="4">
        <v>10.61</v>
      </c>
      <c r="E1055" s="5">
        <v>0.0</v>
      </c>
      <c r="F1055" s="5" t="s">
        <v>15</v>
      </c>
      <c r="G1055" s="5" t="s">
        <v>15</v>
      </c>
      <c r="H1055" s="4">
        <v>0.0</v>
      </c>
      <c r="I1055" s="4">
        <v>2424.944837</v>
      </c>
      <c r="J1055" s="6">
        <v>3.77849099475517</v>
      </c>
      <c r="K1055" s="5">
        <v>0.0</v>
      </c>
      <c r="L1055" s="7">
        <v>1.43078048971929</v>
      </c>
      <c r="M1055" s="4">
        <v>11.99</v>
      </c>
      <c r="N1055" s="2">
        <v>6.66</v>
      </c>
    </row>
    <row r="1056">
      <c r="A1056" s="2" t="s">
        <v>1081</v>
      </c>
      <c r="B1056" s="3" t="str">
        <f>HYPERLINK("https://www.suredividend.com/sure-analysis-research-database/","NextDecade Corporation")</f>
        <v>NextDecade Corporation</v>
      </c>
      <c r="C1056" s="2" t="s">
        <v>125</v>
      </c>
      <c r="D1056" s="4">
        <v>4.86</v>
      </c>
      <c r="E1056" s="5">
        <v>0.0</v>
      </c>
      <c r="F1056" s="5" t="s">
        <v>15</v>
      </c>
      <c r="G1056" s="5" t="s">
        <v>15</v>
      </c>
      <c r="H1056" s="4">
        <v>0.0</v>
      </c>
      <c r="I1056" s="4">
        <v>1308.58479</v>
      </c>
      <c r="J1056" s="6">
        <v>0.0</v>
      </c>
      <c r="K1056" s="5" t="s">
        <v>15</v>
      </c>
      <c r="L1056" s="7">
        <v>1.28905925151627</v>
      </c>
      <c r="M1056" s="4">
        <v>8.74</v>
      </c>
      <c r="N1056" s="2">
        <v>3.93</v>
      </c>
    </row>
    <row r="1057">
      <c r="A1057" s="2" t="s">
        <v>1082</v>
      </c>
      <c r="B1057" s="3" t="str">
        <f>HYPERLINK("https://www.suredividend.com/sure-analysis-research-database/","Northfield Bancorp Inc")</f>
        <v>Northfield Bancorp Inc</v>
      </c>
      <c r="C1057" s="2" t="s">
        <v>22</v>
      </c>
      <c r="D1057" s="4">
        <v>11.25</v>
      </c>
      <c r="E1057" s="5">
        <v>0.037816797666548</v>
      </c>
      <c r="F1057" s="5">
        <v>0.0</v>
      </c>
      <c r="G1057" s="5">
        <v>0.0339752265319501</v>
      </c>
      <c r="H1057" s="4">
        <v>0.500694401105099</v>
      </c>
      <c r="I1057" s="4">
        <v>595.219002</v>
      </c>
      <c r="J1057" s="6">
        <v>13.6561969972009</v>
      </c>
      <c r="K1057" s="5">
        <v>0.510027911892736</v>
      </c>
      <c r="L1057" s="7">
        <v>1.09215086712762</v>
      </c>
      <c r="M1057" s="4">
        <v>13.78</v>
      </c>
      <c r="N1057" s="2">
        <v>8.16</v>
      </c>
    </row>
    <row r="1058">
      <c r="A1058" s="2" t="s">
        <v>1083</v>
      </c>
      <c r="B1058" s="3" t="str">
        <f>HYPERLINK("https://www.suredividend.com/sure-analysis-research-database/","Novagold Resources Inc.")</f>
        <v>Novagold Resources Inc.</v>
      </c>
      <c r="C1058" s="2" t="s">
        <v>130</v>
      </c>
      <c r="D1058" s="4">
        <v>2.39</v>
      </c>
      <c r="E1058" s="5">
        <v>0.0</v>
      </c>
      <c r="F1058" s="5" t="s">
        <v>15</v>
      </c>
      <c r="G1058" s="5" t="s">
        <v>15</v>
      </c>
      <c r="H1058" s="4">
        <v>0.0</v>
      </c>
      <c r="I1058" s="4">
        <v>936.239424</v>
      </c>
      <c r="J1058" s="6">
        <v>0.0</v>
      </c>
      <c r="K1058" s="5" t="s">
        <v>15</v>
      </c>
      <c r="L1058" s="7">
        <v>0.712458413664311</v>
      </c>
      <c r="M1058" s="4">
        <v>6.68</v>
      </c>
      <c r="N1058" s="2">
        <v>2.71</v>
      </c>
    </row>
    <row r="1059">
      <c r="A1059" s="2" t="s">
        <v>1084</v>
      </c>
      <c r="B1059" s="3" t="str">
        <f>HYPERLINK("https://www.suredividend.com/sure-analysis-research-database/","Ngm Biopharmaceuticals Inc")</f>
        <v>Ngm Biopharmaceuticals Inc</v>
      </c>
      <c r="C1059" s="2" t="s">
        <v>30</v>
      </c>
      <c r="D1059" s="4">
        <v>1.39</v>
      </c>
      <c r="E1059" s="5">
        <v>0.0</v>
      </c>
      <c r="F1059" s="5" t="s">
        <v>15</v>
      </c>
      <c r="G1059" s="5" t="s">
        <v>15</v>
      </c>
      <c r="H1059" s="4">
        <v>0.0</v>
      </c>
      <c r="I1059" s="4">
        <v>127.381881</v>
      </c>
      <c r="J1059" s="6" t="s">
        <v>15</v>
      </c>
      <c r="K1059" s="5">
        <v>0.0</v>
      </c>
      <c r="L1059" s="7">
        <v>1.25260220618564</v>
      </c>
      <c r="M1059" s="4">
        <v>5.68</v>
      </c>
      <c r="N1059" s="2">
        <v>0.6002</v>
      </c>
    </row>
    <row r="1060">
      <c r="A1060" s="2" t="s">
        <v>1085</v>
      </c>
      <c r="B1060" s="3" t="str">
        <f>HYPERLINK("https://www.suredividend.com/sure-analysis-research-database/","NeoGames SA")</f>
        <v>NeoGames SA</v>
      </c>
      <c r="C1060" s="2" t="s">
        <v>15</v>
      </c>
      <c r="D1060" s="4">
        <v>27.92</v>
      </c>
      <c r="E1060" s="5">
        <v>0.0</v>
      </c>
      <c r="F1060" s="5" t="s">
        <v>15</v>
      </c>
      <c r="G1060" s="5" t="s">
        <v>15</v>
      </c>
      <c r="H1060" s="4">
        <v>0.0</v>
      </c>
      <c r="I1060" s="4">
        <v>940.856761</v>
      </c>
      <c r="J1060" s="6">
        <v>0.0</v>
      </c>
      <c r="K1060" s="5" t="s">
        <v>15</v>
      </c>
      <c r="L1060" s="7">
        <v>1.03791650075631</v>
      </c>
      <c r="M1060" s="4">
        <v>28.64</v>
      </c>
      <c r="N1060" s="2">
        <v>12.06</v>
      </c>
    </row>
    <row r="1061">
      <c r="A1061" s="2" t="s">
        <v>1086</v>
      </c>
      <c r="B1061" s="3" t="str">
        <f>HYPERLINK("https://www.suredividend.com/sure-analysis-research-database/","Natural Grocers by Vitamin Cottage Inc")</f>
        <v>Natural Grocers by Vitamin Cottage Inc</v>
      </c>
      <c r="C1061" s="2" t="s">
        <v>89</v>
      </c>
      <c r="D1061" s="4">
        <v>14.66</v>
      </c>
      <c r="E1061" s="5">
        <v>0.025310755416213</v>
      </c>
      <c r="F1061" s="5" t="s">
        <v>15</v>
      </c>
      <c r="G1061" s="5" t="s">
        <v>15</v>
      </c>
      <c r="H1061" s="4">
        <v>0.395860214709573</v>
      </c>
      <c r="I1061" s="4">
        <v>355.847739</v>
      </c>
      <c r="J1061" s="6">
        <v>15.3098885393451</v>
      </c>
      <c r="K1061" s="5">
        <v>0.388098249715267</v>
      </c>
      <c r="L1061" s="7">
        <v>0.746420009126781</v>
      </c>
      <c r="M1061" s="4">
        <v>17.39</v>
      </c>
      <c r="N1061" s="2">
        <v>9.21</v>
      </c>
    </row>
    <row r="1062">
      <c r="A1062" s="2" t="s">
        <v>1087</v>
      </c>
      <c r="B1062" s="3" t="str">
        <f>HYPERLINK("https://www.suredividend.com/sure-analysis-research-database/","Ingevity Corp")</f>
        <v>Ingevity Corp</v>
      </c>
      <c r="C1062" s="2" t="s">
        <v>130</v>
      </c>
      <c r="D1062" s="4">
        <v>42.69</v>
      </c>
      <c r="E1062" s="5">
        <v>0.0</v>
      </c>
      <c r="F1062" s="5" t="s">
        <v>15</v>
      </c>
      <c r="G1062" s="5" t="s">
        <v>15</v>
      </c>
      <c r="H1062" s="4">
        <v>0.0</v>
      </c>
      <c r="I1062" s="4">
        <v>1655.768856</v>
      </c>
      <c r="J1062" s="6">
        <v>13.0375500488188</v>
      </c>
      <c r="K1062" s="5">
        <v>0.0</v>
      </c>
      <c r="L1062" s="7">
        <v>1.4044253640318</v>
      </c>
      <c r="M1062" s="4">
        <v>90.81</v>
      </c>
      <c r="N1062" s="2">
        <v>36.66</v>
      </c>
    </row>
    <row r="1063">
      <c r="A1063" s="2" t="s">
        <v>1088</v>
      </c>
      <c r="B1063" s="3" t="str">
        <f>HYPERLINK("https://www.suredividend.com/sure-analysis-NHC/","National Healthcare Corp.")</f>
        <v>National Healthcare Corp.</v>
      </c>
      <c r="C1063" s="2" t="s">
        <v>30</v>
      </c>
      <c r="D1063" s="4">
        <v>90.86</v>
      </c>
      <c r="E1063" s="5">
        <v>0.0259740259740259</v>
      </c>
      <c r="F1063" s="5">
        <v>0.0350877192982455</v>
      </c>
      <c r="G1063" s="5">
        <v>0.0336568843451934</v>
      </c>
      <c r="H1063" s="4">
        <v>2.29758241240487</v>
      </c>
      <c r="I1063" s="4">
        <v>1487.708285</v>
      </c>
      <c r="J1063" s="6">
        <v>33.2485927991954</v>
      </c>
      <c r="K1063" s="5">
        <v>0.786843291919476</v>
      </c>
      <c r="L1063" s="7">
        <v>0.518072329372737</v>
      </c>
      <c r="M1063" s="4">
        <v>99.98</v>
      </c>
      <c r="N1063" s="2">
        <v>49.01</v>
      </c>
    </row>
    <row r="1064">
      <c r="A1064" s="2" t="s">
        <v>1089</v>
      </c>
      <c r="B1064" s="3" t="str">
        <f>HYPERLINK("https://www.suredividend.com/sure-analysis-NHI/","National Health Investors, Inc.")</f>
        <v>National Health Investors, Inc.</v>
      </c>
      <c r="C1064" s="2" t="s">
        <v>20</v>
      </c>
      <c r="D1064" s="4">
        <v>52.15</v>
      </c>
      <c r="E1064" s="5">
        <v>0.0690316395014381</v>
      </c>
      <c r="F1064" s="5">
        <v>0.0</v>
      </c>
      <c r="G1064" s="5">
        <v>-0.0303597339044209</v>
      </c>
      <c r="H1064" s="4">
        <v>3.51146747577515</v>
      </c>
      <c r="I1064" s="4">
        <v>2352.379284</v>
      </c>
      <c r="J1064" s="6">
        <v>22.3073718508719</v>
      </c>
      <c r="K1064" s="5">
        <v>1.44504834394039</v>
      </c>
      <c r="L1064" s="7">
        <v>0.865225686229936</v>
      </c>
      <c r="M1064" s="4">
        <v>57.49</v>
      </c>
      <c r="N1064" s="2">
        <v>44.85</v>
      </c>
    </row>
    <row r="1065">
      <c r="A1065" s="2" t="s">
        <v>1090</v>
      </c>
      <c r="B1065" s="3" t="str">
        <f>HYPERLINK("https://www.suredividend.com/sure-analysis-research-database/","Nicolet Bankshares Inc.")</f>
        <v>Nicolet Bankshares Inc.</v>
      </c>
      <c r="C1065" s="2" t="s">
        <v>15</v>
      </c>
      <c r="D1065" s="4">
        <v>75.41</v>
      </c>
      <c r="E1065" s="5">
        <v>0.009006220872175</v>
      </c>
      <c r="F1065" s="5" t="s">
        <v>15</v>
      </c>
      <c r="G1065" s="5" t="s">
        <v>15</v>
      </c>
      <c r="H1065" s="4">
        <v>0.74751633239059</v>
      </c>
      <c r="I1065" s="4">
        <v>1225.173624</v>
      </c>
      <c r="J1065" s="6">
        <v>20.9589028328999</v>
      </c>
      <c r="K1065" s="5">
        <v>0.191180647670227</v>
      </c>
      <c r="L1065" s="7">
        <v>1.31771448322841</v>
      </c>
      <c r="M1065" s="4">
        <v>84.94</v>
      </c>
      <c r="N1065" s="2">
        <v>51.22</v>
      </c>
    </row>
    <row r="1066">
      <c r="A1066" s="2" t="s">
        <v>1091</v>
      </c>
      <c r="B1066" s="3" t="str">
        <f>HYPERLINK("https://www.suredividend.com/sure-analysis-NJR/","New Jersey Resources Corporation")</f>
        <v>New Jersey Resources Corporation</v>
      </c>
      <c r="C1066" s="2" t="s">
        <v>91</v>
      </c>
      <c r="D1066" s="4">
        <v>39.48</v>
      </c>
      <c r="E1066" s="5">
        <v>0.0425531914893617</v>
      </c>
      <c r="F1066" s="5">
        <v>0.0769230769230768</v>
      </c>
      <c r="G1066" s="5">
        <v>0.0750401491418122</v>
      </c>
      <c r="H1066" s="4">
        <v>1.59797621351509</v>
      </c>
      <c r="I1066" s="4">
        <v>4116.82167</v>
      </c>
      <c r="J1066" s="6">
        <v>15.5513730141581</v>
      </c>
      <c r="K1066" s="5">
        <v>0.589659119378263</v>
      </c>
      <c r="L1066" s="7">
        <v>0.639243952413638</v>
      </c>
      <c r="M1066" s="4">
        <v>54.33</v>
      </c>
      <c r="N1066" s="2">
        <v>38.55</v>
      </c>
    </row>
    <row r="1067">
      <c r="A1067" s="2" t="s">
        <v>1092</v>
      </c>
      <c r="B1067" s="3" t="str">
        <f>HYPERLINK("https://www.suredividend.com/sure-analysis-research-database/","Nikola Corp")</f>
        <v>Nikola Corp</v>
      </c>
      <c r="C1067" s="2" t="s">
        <v>15</v>
      </c>
      <c r="D1067" s="4">
        <v>0.6785</v>
      </c>
      <c r="E1067" s="5">
        <v>0.0</v>
      </c>
      <c r="F1067" s="5" t="s">
        <v>15</v>
      </c>
      <c r="G1067" s="5" t="s">
        <v>15</v>
      </c>
      <c r="H1067" s="4">
        <v>0.0</v>
      </c>
      <c r="I1067" s="4">
        <v>814.523123</v>
      </c>
      <c r="J1067" s="6" t="s">
        <v>15</v>
      </c>
      <c r="K1067" s="5">
        <v>0.0</v>
      </c>
      <c r="L1067" s="7">
        <v>2.59562488891094</v>
      </c>
      <c r="M1067" s="4">
        <v>3.71</v>
      </c>
      <c r="N1067" s="2">
        <v>0.521</v>
      </c>
    </row>
    <row r="1068">
      <c r="A1068" s="2" t="s">
        <v>1093</v>
      </c>
      <c r="B1068" s="3" t="str">
        <f>HYPERLINK("https://www.suredividend.com/sure-analysis-research-database/","Nektar Therapeutics")</f>
        <v>Nektar Therapeutics</v>
      </c>
      <c r="C1068" s="2" t="s">
        <v>30</v>
      </c>
      <c r="D1068" s="4">
        <v>0.56</v>
      </c>
      <c r="E1068" s="5">
        <v>0.0</v>
      </c>
      <c r="F1068" s="5" t="s">
        <v>15</v>
      </c>
      <c r="G1068" s="5" t="s">
        <v>15</v>
      </c>
      <c r="H1068" s="4">
        <v>0.0</v>
      </c>
      <c r="I1068" s="4">
        <v>106.831517</v>
      </c>
      <c r="J1068" s="6" t="s">
        <v>15</v>
      </c>
      <c r="K1068" s="5">
        <v>0.0</v>
      </c>
      <c r="L1068" s="7">
        <v>2.7967000068055</v>
      </c>
      <c r="M1068" s="4">
        <v>3.19</v>
      </c>
      <c r="N1068" s="2">
        <v>0.4126</v>
      </c>
    </row>
    <row r="1069">
      <c r="A1069" s="2" t="s">
        <v>1094</v>
      </c>
      <c r="B1069" s="3" t="str">
        <f>HYPERLINK("https://www.suredividend.com/sure-analysis-research-database/","Nkarta Inc")</f>
        <v>Nkarta Inc</v>
      </c>
      <c r="C1069" s="2" t="s">
        <v>15</v>
      </c>
      <c r="D1069" s="4">
        <v>9.12</v>
      </c>
      <c r="E1069" s="5">
        <v>0.0</v>
      </c>
      <c r="F1069" s="5" t="s">
        <v>15</v>
      </c>
      <c r="G1069" s="5" t="s">
        <v>15</v>
      </c>
      <c r="H1069" s="4">
        <v>0.0</v>
      </c>
      <c r="I1069" s="4">
        <v>466.187249</v>
      </c>
      <c r="J1069" s="6">
        <v>0.0</v>
      </c>
      <c r="K1069" s="5" t="s">
        <v>15</v>
      </c>
      <c r="L1069" s="7">
        <v>2.13402152682667</v>
      </c>
      <c r="M1069" s="4">
        <v>11.62</v>
      </c>
      <c r="N1069" s="2">
        <v>1.28</v>
      </c>
    </row>
    <row r="1070">
      <c r="A1070" s="2" t="s">
        <v>1095</v>
      </c>
      <c r="B1070" s="3" t="str">
        <f>HYPERLINK("https://www.suredividend.com/sure-analysis-research-database/","NL Industries, Inc.")</f>
        <v>NL Industries, Inc.</v>
      </c>
      <c r="C1070" s="2" t="s">
        <v>17</v>
      </c>
      <c r="D1070" s="4">
        <v>5.16</v>
      </c>
      <c r="E1070" s="5">
        <v>0.051991692956108</v>
      </c>
      <c r="F1070" s="5" t="s">
        <v>15</v>
      </c>
      <c r="G1070" s="5" t="s">
        <v>15</v>
      </c>
      <c r="H1070" s="4">
        <v>0.27451613880825</v>
      </c>
      <c r="I1070" s="4">
        <v>257.840796</v>
      </c>
      <c r="J1070" s="6" t="s">
        <v>15</v>
      </c>
      <c r="K1070" s="5" t="s">
        <v>15</v>
      </c>
      <c r="L1070" s="7">
        <v>0.828695395529926</v>
      </c>
      <c r="M1070" s="4">
        <v>7.14</v>
      </c>
      <c r="N1070" s="2">
        <v>4.45</v>
      </c>
    </row>
    <row r="1071">
      <c r="A1071" s="2" t="s">
        <v>1096</v>
      </c>
      <c r="B1071" s="3" t="str">
        <f>HYPERLINK("https://www.suredividend.com/sure-analysis-research-database/","NMI Holdings Inc")</f>
        <v>NMI Holdings Inc</v>
      </c>
      <c r="C1071" s="2" t="s">
        <v>22</v>
      </c>
      <c r="D1071" s="4">
        <v>30.56</v>
      </c>
      <c r="E1071" s="5">
        <v>0.0</v>
      </c>
      <c r="F1071" s="5" t="s">
        <v>15</v>
      </c>
      <c r="G1071" s="5" t="s">
        <v>15</v>
      </c>
      <c r="H1071" s="4">
        <v>0.0</v>
      </c>
      <c r="I1071" s="4">
        <v>2592.960594</v>
      </c>
      <c r="J1071" s="6">
        <v>8.3204516604896</v>
      </c>
      <c r="K1071" s="5">
        <v>0.0</v>
      </c>
      <c r="L1071" s="7">
        <v>0.978701365903563</v>
      </c>
      <c r="M1071" s="4">
        <v>32.07</v>
      </c>
      <c r="N1071" s="2">
        <v>20.61</v>
      </c>
    </row>
    <row r="1072">
      <c r="A1072" s="2" t="s">
        <v>1097</v>
      </c>
      <c r="B1072" s="3" t="str">
        <f>HYPERLINK("https://www.suredividend.com/sure-analysis-research-database/","Newmark Group Inc")</f>
        <v>Newmark Group Inc</v>
      </c>
      <c r="C1072" s="2" t="s">
        <v>20</v>
      </c>
      <c r="D1072" s="4">
        <v>9.93</v>
      </c>
      <c r="E1072" s="5">
        <v>0.011379140607924</v>
      </c>
      <c r="F1072" s="5">
        <v>0.0</v>
      </c>
      <c r="G1072" s="5">
        <v>-0.213996914403377</v>
      </c>
      <c r="H1072" s="4">
        <v>0.119253393571051</v>
      </c>
      <c r="I1072" s="4">
        <v>1586.762788</v>
      </c>
      <c r="J1072" s="6">
        <v>127.389433866409</v>
      </c>
      <c r="K1072" s="5">
        <v>2.15648089640236</v>
      </c>
      <c r="L1072" s="7">
        <v>1.9115275429817</v>
      </c>
      <c r="M1072" s="4">
        <v>11.23</v>
      </c>
      <c r="N1072" s="2">
        <v>5.0</v>
      </c>
    </row>
    <row r="1073">
      <c r="A1073" s="2" t="s">
        <v>1098</v>
      </c>
      <c r="B1073" s="3" t="str">
        <f>HYPERLINK("https://www.suredividend.com/sure-analysis-research-database/","NextNav Inc")</f>
        <v>NextNav Inc</v>
      </c>
      <c r="C1073" s="2" t="s">
        <v>15</v>
      </c>
      <c r="D1073" s="4">
        <v>4.16</v>
      </c>
      <c r="E1073" s="5">
        <v>0.0</v>
      </c>
      <c r="F1073" s="5" t="s">
        <v>15</v>
      </c>
      <c r="G1073" s="5" t="s">
        <v>15</v>
      </c>
      <c r="H1073" s="4">
        <v>0.0</v>
      </c>
      <c r="I1073" s="4">
        <v>457.153252</v>
      </c>
      <c r="J1073" s="6">
        <v>0.0</v>
      </c>
      <c r="K1073" s="5" t="s">
        <v>15</v>
      </c>
      <c r="L1073" s="7">
        <v>1.02861367530119</v>
      </c>
      <c r="M1073" s="4">
        <v>6.07</v>
      </c>
      <c r="N1073" s="2">
        <v>1.58999999999999</v>
      </c>
    </row>
    <row r="1074">
      <c r="A1074" s="2" t="s">
        <v>1099</v>
      </c>
      <c r="B1074" s="3" t="str">
        <f>HYPERLINK("https://www.suredividend.com/sure-analysis-research-database/","Nelnet Inc")</f>
        <v>Nelnet Inc</v>
      </c>
      <c r="C1074" s="2" t="s">
        <v>22</v>
      </c>
      <c r="D1074" s="4">
        <v>88.62</v>
      </c>
      <c r="E1074" s="5">
        <v>0.011950114313882</v>
      </c>
      <c r="F1074" s="5">
        <v>0.0769230769230771</v>
      </c>
      <c r="G1074" s="5">
        <v>0.0923884641403731</v>
      </c>
      <c r="H1074" s="4">
        <v>1.05519509391581</v>
      </c>
      <c r="I1074" s="4">
        <v>2353.648332</v>
      </c>
      <c r="J1074" s="6">
        <v>17.5650641228096</v>
      </c>
      <c r="K1074" s="5">
        <v>0.295572855438602</v>
      </c>
      <c r="L1074" s="7">
        <v>0.708395490028405</v>
      </c>
      <c r="M1074" s="4">
        <v>100.97</v>
      </c>
      <c r="N1074" s="2">
        <v>81.4</v>
      </c>
    </row>
    <row r="1075">
      <c r="A1075" s="2" t="s">
        <v>1100</v>
      </c>
      <c r="B1075" s="3" t="str">
        <f>HYPERLINK("https://www.suredividend.com/sure-analysis-research-database/","Nano X Imaging Ltd")</f>
        <v>Nano X Imaging Ltd</v>
      </c>
      <c r="C1075" s="2" t="s">
        <v>15</v>
      </c>
      <c r="D1075" s="4">
        <v>5.32</v>
      </c>
      <c r="E1075" s="5">
        <v>0.0</v>
      </c>
      <c r="F1075" s="5" t="s">
        <v>15</v>
      </c>
      <c r="G1075" s="5" t="s">
        <v>15</v>
      </c>
      <c r="H1075" s="4">
        <v>0.0</v>
      </c>
      <c r="I1075" s="4">
        <v>325.387036</v>
      </c>
      <c r="J1075" s="6">
        <v>0.0</v>
      </c>
      <c r="K1075" s="5" t="s">
        <v>15</v>
      </c>
      <c r="L1075" s="7">
        <v>1.8982647125159</v>
      </c>
      <c r="M1075" s="4">
        <v>22.69</v>
      </c>
      <c r="N1075" s="2">
        <v>4.89</v>
      </c>
    </row>
    <row r="1076">
      <c r="A1076" s="2" t="s">
        <v>1101</v>
      </c>
      <c r="B1076" s="3" t="str">
        <f>HYPERLINK("https://www.suredividend.com/sure-analysis-research-database/","NI Holdings Inc")</f>
        <v>NI Holdings Inc</v>
      </c>
      <c r="C1076" s="2" t="s">
        <v>22</v>
      </c>
      <c r="D1076" s="4">
        <v>13.43</v>
      </c>
      <c r="E1076" s="5">
        <v>0.0</v>
      </c>
      <c r="F1076" s="5" t="s">
        <v>15</v>
      </c>
      <c r="G1076" s="5" t="s">
        <v>15</v>
      </c>
      <c r="H1076" s="4">
        <v>0.0</v>
      </c>
      <c r="I1076" s="4">
        <v>279.622309</v>
      </c>
      <c r="J1076" s="6">
        <v>0.0</v>
      </c>
      <c r="K1076" s="5" t="s">
        <v>15</v>
      </c>
      <c r="L1076" s="7">
        <v>0.615783275308626</v>
      </c>
      <c r="M1076" s="4">
        <v>15.28</v>
      </c>
      <c r="N1076" s="2">
        <v>12.01</v>
      </c>
    </row>
    <row r="1077">
      <c r="A1077" s="2" t="s">
        <v>1102</v>
      </c>
      <c r="B1077" s="3" t="str">
        <f>HYPERLINK("https://www.suredividend.com/sure-analysis-research-database/","Northern Oil and Gas Inc.")</f>
        <v>Northern Oil and Gas Inc.</v>
      </c>
      <c r="C1077" s="2" t="s">
        <v>125</v>
      </c>
      <c r="D1077" s="4">
        <v>31.73</v>
      </c>
      <c r="E1077" s="5">
        <v>0.042363693414025</v>
      </c>
      <c r="F1077" s="5" t="s">
        <v>15</v>
      </c>
      <c r="G1077" s="5" t="s">
        <v>15</v>
      </c>
      <c r="H1077" s="4">
        <v>1.46832561373013</v>
      </c>
      <c r="I1077" s="4">
        <v>3483.594733</v>
      </c>
      <c r="J1077" s="6">
        <v>5.21958791785534</v>
      </c>
      <c r="K1077" s="5">
        <v>0.200865337035586</v>
      </c>
      <c r="L1077" s="7">
        <v>0.959983667035884</v>
      </c>
      <c r="M1077" s="4">
        <v>42.78</v>
      </c>
      <c r="N1077" s="2">
        <v>24.49</v>
      </c>
    </row>
    <row r="1078">
      <c r="A1078" s="2" t="s">
        <v>1103</v>
      </c>
      <c r="B1078" s="3" t="str">
        <f>HYPERLINK("https://www.suredividend.com/sure-analysis-research-database/","Inotiv Inc")</f>
        <v>Inotiv Inc</v>
      </c>
      <c r="C1078" s="2" t="s">
        <v>15</v>
      </c>
      <c r="D1078" s="4">
        <v>3.57</v>
      </c>
      <c r="E1078" s="5">
        <v>0.0</v>
      </c>
      <c r="F1078" s="5" t="s">
        <v>15</v>
      </c>
      <c r="G1078" s="5" t="s">
        <v>15</v>
      </c>
      <c r="H1078" s="4">
        <v>0.0</v>
      </c>
      <c r="I1078" s="4">
        <v>88.977846</v>
      </c>
      <c r="J1078" s="6">
        <v>0.0</v>
      </c>
      <c r="K1078" s="5" t="s">
        <v>15</v>
      </c>
      <c r="L1078" s="7">
        <v>2.13284910023404</v>
      </c>
      <c r="M1078" s="4">
        <v>8.43</v>
      </c>
      <c r="N1078" s="2">
        <v>1.60999999999999</v>
      </c>
    </row>
    <row r="1079">
      <c r="A1079" s="2" t="s">
        <v>1104</v>
      </c>
      <c r="B1079" s="3" t="str">
        <f>HYPERLINK("https://www.suredividend.com/sure-analysis-research-database/","Sunnova Energy International Inc")</f>
        <v>Sunnova Energy International Inc</v>
      </c>
      <c r="C1079" s="2" t="s">
        <v>40</v>
      </c>
      <c r="D1079" s="4">
        <v>8.86</v>
      </c>
      <c r="E1079" s="5">
        <v>0.0</v>
      </c>
      <c r="F1079" s="5" t="s">
        <v>15</v>
      </c>
      <c r="G1079" s="5" t="s">
        <v>15</v>
      </c>
      <c r="H1079" s="4">
        <v>0.0</v>
      </c>
      <c r="I1079" s="4">
        <v>1325.769168</v>
      </c>
      <c r="J1079" s="6" t="s">
        <v>15</v>
      </c>
      <c r="K1079" s="5">
        <v>0.0</v>
      </c>
      <c r="L1079" s="7">
        <v>3.16532204482777</v>
      </c>
      <c r="M1079" s="4">
        <v>24.56</v>
      </c>
      <c r="N1079" s="2">
        <v>7.62</v>
      </c>
    </row>
    <row r="1080">
      <c r="A1080" s="2" t="s">
        <v>1105</v>
      </c>
      <c r="B1080" s="3" t="str">
        <f>HYPERLINK("https://www.suredividend.com/sure-analysis-research-database/","Novanta Inc")</f>
        <v>Novanta Inc</v>
      </c>
      <c r="C1080" s="2" t="s">
        <v>40</v>
      </c>
      <c r="D1080" s="4">
        <v>155.5</v>
      </c>
      <c r="E1080" s="5">
        <v>0.0</v>
      </c>
      <c r="F1080" s="5" t="s">
        <v>15</v>
      </c>
      <c r="G1080" s="5" t="s">
        <v>15</v>
      </c>
      <c r="H1080" s="4">
        <v>0.0</v>
      </c>
      <c r="I1080" s="4">
        <v>5810.232533</v>
      </c>
      <c r="J1080" s="6">
        <v>76.8254575956313</v>
      </c>
      <c r="K1080" s="5">
        <v>0.0</v>
      </c>
      <c r="L1080" s="7">
        <v>1.54044128716209</v>
      </c>
      <c r="M1080" s="4">
        <v>187.61</v>
      </c>
      <c r="N1080" s="2">
        <v>111.2</v>
      </c>
    </row>
    <row r="1081">
      <c r="A1081" s="2" t="s">
        <v>1106</v>
      </c>
      <c r="B1081" s="3" t="str">
        <f>HYPERLINK("https://www.suredividend.com/sure-analysis-research-database/","National Presto Industries, Inc.")</f>
        <v>National Presto Industries, Inc.</v>
      </c>
      <c r="C1081" s="2" t="s">
        <v>17</v>
      </c>
      <c r="D1081" s="4">
        <v>77.91</v>
      </c>
      <c r="E1081" s="5">
        <v>0.012124151309408</v>
      </c>
      <c r="F1081" s="5" t="s">
        <v>15</v>
      </c>
      <c r="G1081" s="5" t="s">
        <v>15</v>
      </c>
      <c r="H1081" s="4">
        <v>1.0</v>
      </c>
      <c r="I1081" s="4">
        <v>584.156929</v>
      </c>
      <c r="J1081" s="6">
        <v>24.780763134094</v>
      </c>
      <c r="K1081" s="5">
        <v>0.301204819277108</v>
      </c>
      <c r="L1081" s="7">
        <v>0.575496881442243</v>
      </c>
      <c r="M1081" s="4">
        <v>84.29</v>
      </c>
      <c r="N1081" s="2">
        <v>66.83</v>
      </c>
    </row>
    <row r="1082">
      <c r="A1082" s="2" t="s">
        <v>1107</v>
      </c>
      <c r="B1082" s="3" t="str">
        <f>HYPERLINK("https://www.suredividend.com/sure-analysis-research-database/","Enpro Inc")</f>
        <v>Enpro Inc</v>
      </c>
      <c r="C1082" s="2" t="s">
        <v>17</v>
      </c>
      <c r="D1082" s="4">
        <v>155.13</v>
      </c>
      <c r="E1082" s="5">
        <v>0.007394953890969</v>
      </c>
      <c r="F1082" s="5">
        <v>0.0357142857142855</v>
      </c>
      <c r="G1082" s="5">
        <v>0.0301289628183989</v>
      </c>
      <c r="H1082" s="4">
        <v>1.15597919223639</v>
      </c>
      <c r="I1082" s="4">
        <v>3268.23914</v>
      </c>
      <c r="J1082" s="6">
        <v>20.9502509005128</v>
      </c>
      <c r="K1082" s="5">
        <v>0.155164992246495</v>
      </c>
      <c r="L1082" s="7">
        <v>1.19132154329119</v>
      </c>
      <c r="M1082" s="4">
        <v>161.66</v>
      </c>
      <c r="N1082" s="2">
        <v>91.08</v>
      </c>
    </row>
    <row r="1083">
      <c r="A1083" s="2" t="s">
        <v>1108</v>
      </c>
      <c r="B1083" s="3" t="str">
        <f>HYPERLINK("https://www.suredividend.com/sure-analysis-research-database/","Newpark Resources, Inc.")</f>
        <v>Newpark Resources, Inc.</v>
      </c>
      <c r="C1083" s="2" t="s">
        <v>125</v>
      </c>
      <c r="D1083" s="4">
        <v>5.95</v>
      </c>
      <c r="E1083" s="5">
        <v>0.0</v>
      </c>
      <c r="F1083" s="5" t="s">
        <v>15</v>
      </c>
      <c r="G1083" s="5" t="s">
        <v>15</v>
      </c>
      <c r="H1083" s="4">
        <v>0.0</v>
      </c>
      <c r="I1083" s="4">
        <v>555.625704</v>
      </c>
      <c r="J1083" s="6">
        <v>23.1665153598232</v>
      </c>
      <c r="K1083" s="5">
        <v>0.0</v>
      </c>
      <c r="L1083" s="7">
        <v>0.601012725353001</v>
      </c>
      <c r="M1083" s="4">
        <v>7.63</v>
      </c>
      <c r="N1083" s="2">
        <v>3.4</v>
      </c>
    </row>
    <row r="1084">
      <c r="A1084" s="2" t="s">
        <v>1109</v>
      </c>
      <c r="B1084" s="3" t="str">
        <f>HYPERLINK("https://www.suredividend.com/sure-analysis-research-database/","National Research Corp")</f>
        <v>National Research Corp</v>
      </c>
      <c r="C1084" s="2" t="s">
        <v>30</v>
      </c>
      <c r="D1084" s="4">
        <v>36.87</v>
      </c>
      <c r="E1084" s="5">
        <v>0.011624742095876</v>
      </c>
      <c r="F1084" s="5" t="s">
        <v>15</v>
      </c>
      <c r="G1084" s="5" t="s">
        <v>15</v>
      </c>
      <c r="H1084" s="4">
        <v>0.465687168360815</v>
      </c>
      <c r="I1084" s="4">
        <v>984.518246</v>
      </c>
      <c r="J1084" s="6">
        <v>34.2548361407049</v>
      </c>
      <c r="K1084" s="5">
        <v>0.401454455483461</v>
      </c>
      <c r="L1084" s="7">
        <v>0.448324711699278</v>
      </c>
      <c r="M1084" s="4">
        <v>46.72</v>
      </c>
      <c r="N1084" s="2">
        <v>37.53</v>
      </c>
    </row>
    <row r="1085">
      <c r="A1085" s="2" t="s">
        <v>1110</v>
      </c>
      <c r="B1085" s="3" t="str">
        <f>HYPERLINK("https://www.suredividend.com/sure-analysis-research-database/","Nerdwallet Inc")</f>
        <v>Nerdwallet Inc</v>
      </c>
      <c r="C1085" s="2" t="s">
        <v>15</v>
      </c>
      <c r="D1085" s="4">
        <v>15.0</v>
      </c>
      <c r="E1085" s="5">
        <v>0.0</v>
      </c>
      <c r="F1085" s="5" t="s">
        <v>15</v>
      </c>
      <c r="G1085" s="5" t="s">
        <v>15</v>
      </c>
      <c r="H1085" s="4">
        <v>0.0</v>
      </c>
      <c r="I1085" s="4">
        <v>1199.413873</v>
      </c>
      <c r="J1085" s="6" t="s">
        <v>15</v>
      </c>
      <c r="K1085" s="5">
        <v>0.0</v>
      </c>
      <c r="L1085" s="7">
        <v>1.56039026797079</v>
      </c>
      <c r="M1085" s="4">
        <v>21.74</v>
      </c>
      <c r="N1085" s="2">
        <v>6.38</v>
      </c>
    </row>
    <row r="1086">
      <c r="A1086" s="2" t="s">
        <v>1111</v>
      </c>
      <c r="B1086" s="3" t="str">
        <f>HYPERLINK("https://www.suredividend.com/sure-analysis-research-database/","Nerdy Inc")</f>
        <v>Nerdy Inc</v>
      </c>
      <c r="C1086" s="2" t="s">
        <v>15</v>
      </c>
      <c r="D1086" s="4">
        <v>3.12</v>
      </c>
      <c r="E1086" s="5">
        <v>0.0</v>
      </c>
      <c r="F1086" s="5" t="s">
        <v>15</v>
      </c>
      <c r="G1086" s="5" t="s">
        <v>15</v>
      </c>
      <c r="H1086" s="4">
        <v>0.0</v>
      </c>
      <c r="I1086" s="4">
        <v>342.48118</v>
      </c>
      <c r="J1086" s="6" t="s">
        <v>15</v>
      </c>
      <c r="K1086" s="5">
        <v>0.0</v>
      </c>
      <c r="L1086" s="7">
        <v>1.90098090288517</v>
      </c>
      <c r="M1086" s="4">
        <v>5.37</v>
      </c>
      <c r="N1086" s="2">
        <v>2.33</v>
      </c>
    </row>
    <row r="1087">
      <c r="A1087" s="2" t="s">
        <v>1112</v>
      </c>
      <c r="B1087" s="3" t="str">
        <f>HYPERLINK("https://www.suredividend.com/sure-analysis-research-database/","NexPoint Real Estate Finance Inc")</f>
        <v>NexPoint Real Estate Finance Inc</v>
      </c>
      <c r="C1087" s="2" t="s">
        <v>20</v>
      </c>
      <c r="D1087" s="4">
        <v>14.2</v>
      </c>
      <c r="E1087" s="5">
        <v>0.159689737030164</v>
      </c>
      <c r="F1087" s="5">
        <v>0.0</v>
      </c>
      <c r="G1087" s="5">
        <v>-0.0338850378157328</v>
      </c>
      <c r="H1087" s="4">
        <v>2.48477230818936</v>
      </c>
      <c r="I1087" s="4">
        <v>268.128566</v>
      </c>
      <c r="J1087" s="6" t="s">
        <v>15</v>
      </c>
      <c r="K1087" s="5" t="s">
        <v>15</v>
      </c>
      <c r="L1087" s="7">
        <v>1.18883240168399</v>
      </c>
      <c r="M1087" s="4">
        <v>18.0</v>
      </c>
      <c r="N1087" s="2">
        <v>11.66</v>
      </c>
    </row>
    <row r="1088">
      <c r="A1088" s="2" t="s">
        <v>1113</v>
      </c>
      <c r="B1088" s="3" t="str">
        <f>HYPERLINK("https://www.suredividend.com/sure-analysis-research-database/","Energy Vault Holdings Inc")</f>
        <v>Energy Vault Holdings Inc</v>
      </c>
      <c r="C1088" s="2" t="s">
        <v>15</v>
      </c>
      <c r="D1088" s="4">
        <v>1.35999999999999</v>
      </c>
      <c r="E1088" s="5">
        <v>0.0</v>
      </c>
      <c r="F1088" s="5" t="s">
        <v>15</v>
      </c>
      <c r="G1088" s="5" t="s">
        <v>15</v>
      </c>
      <c r="H1088" s="4">
        <v>0.0</v>
      </c>
      <c r="I1088" s="4">
        <v>236.85044</v>
      </c>
      <c r="J1088" s="6" t="s">
        <v>15</v>
      </c>
      <c r="K1088" s="5">
        <v>0.0</v>
      </c>
      <c r="L1088" s="7">
        <v>2.68235058034776</v>
      </c>
      <c r="M1088" s="4">
        <v>5.05</v>
      </c>
      <c r="N1088" s="2">
        <v>1.35</v>
      </c>
    </row>
    <row r="1089">
      <c r="A1089" s="2" t="s">
        <v>1114</v>
      </c>
      <c r="B1089" s="3" t="str">
        <f>HYPERLINK("https://www.suredividend.com/sure-analysis-research-database/","Nurix Therapeutics Inc")</f>
        <v>Nurix Therapeutics Inc</v>
      </c>
      <c r="C1089" s="2" t="s">
        <v>15</v>
      </c>
      <c r="D1089" s="4">
        <v>8.41</v>
      </c>
      <c r="E1089" s="5">
        <v>0.0</v>
      </c>
      <c r="F1089" s="5" t="s">
        <v>15</v>
      </c>
      <c r="G1089" s="5" t="s">
        <v>15</v>
      </c>
      <c r="H1089" s="4">
        <v>0.0</v>
      </c>
      <c r="I1089" s="4">
        <v>405.97848</v>
      </c>
      <c r="J1089" s="6" t="s">
        <v>15</v>
      </c>
      <c r="K1089" s="5">
        <v>0.0</v>
      </c>
      <c r="L1089" s="7">
        <v>1.7980885643929</v>
      </c>
      <c r="M1089" s="4">
        <v>13.99</v>
      </c>
      <c r="N1089" s="2">
        <v>4.22</v>
      </c>
    </row>
    <row r="1090">
      <c r="A1090" s="2" t="s">
        <v>1115</v>
      </c>
      <c r="B1090" s="3" t="str">
        <f>HYPERLINK("https://www.suredividend.com/sure-analysis-research-database/","Insight Enterprises Inc.")</f>
        <v>Insight Enterprises Inc.</v>
      </c>
      <c r="C1090" s="2" t="s">
        <v>40</v>
      </c>
      <c r="D1090" s="4">
        <v>183.69</v>
      </c>
      <c r="E1090" s="5">
        <v>0.0</v>
      </c>
      <c r="F1090" s="5" t="s">
        <v>15</v>
      </c>
      <c r="G1090" s="5" t="s">
        <v>15</v>
      </c>
      <c r="H1090" s="4">
        <v>0.0</v>
      </c>
      <c r="I1090" s="4">
        <v>6066.457469</v>
      </c>
      <c r="J1090" s="6">
        <v>22.6210109286369</v>
      </c>
      <c r="K1090" s="5">
        <v>0.0</v>
      </c>
      <c r="L1090" s="7">
        <v>0.605390416029169</v>
      </c>
      <c r="M1090" s="4">
        <v>194.17</v>
      </c>
      <c r="N1090" s="2">
        <v>111.02</v>
      </c>
    </row>
    <row r="1091">
      <c r="A1091" s="2" t="s">
        <v>1116</v>
      </c>
      <c r="B1091" s="3" t="str">
        <f>HYPERLINK("https://www.suredividend.com/sure-analysis-NSP/","Insperity Inc")</f>
        <v>Insperity Inc</v>
      </c>
      <c r="C1091" s="2" t="s">
        <v>17</v>
      </c>
      <c r="D1091" s="4">
        <v>112.35</v>
      </c>
      <c r="E1091" s="5">
        <v>0.0202937249666221</v>
      </c>
      <c r="F1091" s="5">
        <v>0.0961538461538462</v>
      </c>
      <c r="G1091" s="5">
        <v>0.136974488810138</v>
      </c>
      <c r="H1091" s="4">
        <v>2.21304642226937</v>
      </c>
      <c r="I1091" s="4">
        <v>4282.426772</v>
      </c>
      <c r="J1091" s="6">
        <v>22.5311430821236</v>
      </c>
      <c r="K1091" s="5">
        <v>0.448893797620563</v>
      </c>
      <c r="L1091" s="7">
        <v>0.824149617600435</v>
      </c>
      <c r="M1091" s="4">
        <v>129.07</v>
      </c>
      <c r="N1091" s="2">
        <v>92.88</v>
      </c>
    </row>
    <row r="1092">
      <c r="A1092" s="2" t="s">
        <v>1117</v>
      </c>
      <c r="B1092" s="3" t="str">
        <f>HYPERLINK("https://www.suredividend.com/sure-analysis-research-database/","NAPCO Security Technologies Inc")</f>
        <v>NAPCO Security Technologies Inc</v>
      </c>
      <c r="C1092" s="2" t="s">
        <v>17</v>
      </c>
      <c r="D1092" s="4">
        <v>42.55</v>
      </c>
      <c r="E1092" s="5">
        <v>0.004443516641098</v>
      </c>
      <c r="F1092" s="5" t="s">
        <v>15</v>
      </c>
      <c r="G1092" s="5" t="s">
        <v>15</v>
      </c>
      <c r="H1092" s="4">
        <v>0.159788858413912</v>
      </c>
      <c r="I1092" s="4">
        <v>1322.252688</v>
      </c>
      <c r="J1092" s="6">
        <v>38.3028500947249</v>
      </c>
      <c r="K1092" s="5">
        <v>0.171392103844161</v>
      </c>
      <c r="L1092" s="7">
        <v>1.11018592439575</v>
      </c>
      <c r="M1092" s="4">
        <v>40.88</v>
      </c>
      <c r="N1092" s="2">
        <v>17.71</v>
      </c>
    </row>
    <row r="1093">
      <c r="A1093" s="2" t="s">
        <v>1118</v>
      </c>
      <c r="B1093" s="3" t="str">
        <f>HYPERLINK("https://www.suredividend.com/sure-analysis-research-database/","Nanostring Technologies Inc")</f>
        <v>Nanostring Technologies Inc</v>
      </c>
      <c r="C1093" s="2" t="s">
        <v>30</v>
      </c>
      <c r="D1093" s="4">
        <v>0.1029</v>
      </c>
      <c r="E1093" s="5">
        <v>0.0</v>
      </c>
      <c r="F1093" s="5" t="s">
        <v>15</v>
      </c>
      <c r="G1093" s="5" t="s">
        <v>15</v>
      </c>
      <c r="H1093" s="4">
        <v>0.0</v>
      </c>
      <c r="I1093" s="4">
        <v>20.719743</v>
      </c>
      <c r="J1093" s="6" t="s">
        <v>15</v>
      </c>
      <c r="K1093" s="5">
        <v>0.0</v>
      </c>
      <c r="L1093" s="7">
        <v>2.72248261427762</v>
      </c>
      <c r="M1093" s="4">
        <v>13.2</v>
      </c>
      <c r="N1093" s="2">
        <v>0.3601</v>
      </c>
    </row>
    <row r="1094">
      <c r="A1094" s="2" t="s">
        <v>1119</v>
      </c>
      <c r="B1094" s="3" t="str">
        <f>HYPERLINK("https://www.suredividend.com/sure-analysis-research-database/","Bank of N T Butterfield &amp; Son Ltd.")</f>
        <v>Bank of N T Butterfield &amp; Son Ltd.</v>
      </c>
      <c r="C1094" s="2" t="s">
        <v>22</v>
      </c>
      <c r="D1094" s="4">
        <v>29.33</v>
      </c>
      <c r="E1094" s="5">
        <v>0.054107483505254</v>
      </c>
      <c r="F1094" s="5">
        <v>0.0</v>
      </c>
      <c r="G1094" s="5">
        <v>0.0</v>
      </c>
      <c r="H1094" s="4">
        <v>1.71791260129184</v>
      </c>
      <c r="I1094" s="4">
        <v>1507.569026</v>
      </c>
      <c r="J1094" s="6">
        <v>0.0</v>
      </c>
      <c r="K1094" s="5" t="s">
        <v>15</v>
      </c>
      <c r="L1094" s="7">
        <v>1.6628821408953</v>
      </c>
      <c r="M1094" s="4">
        <v>36.0</v>
      </c>
      <c r="N1094" s="2">
        <v>21.81</v>
      </c>
    </row>
    <row r="1095">
      <c r="A1095" s="2" t="s">
        <v>1120</v>
      </c>
      <c r="B1095" s="3" t="str">
        <f>HYPERLINK("https://www.suredividend.com/sure-analysis-research-database/","Netscout Systems Inc")</f>
        <v>Netscout Systems Inc</v>
      </c>
      <c r="C1095" s="2" t="s">
        <v>40</v>
      </c>
      <c r="D1095" s="4">
        <v>21.0</v>
      </c>
      <c r="E1095" s="5">
        <v>0.0</v>
      </c>
      <c r="F1095" s="5" t="s">
        <v>15</v>
      </c>
      <c r="G1095" s="5" t="s">
        <v>15</v>
      </c>
      <c r="H1095" s="4">
        <v>0.0</v>
      </c>
      <c r="I1095" s="4">
        <v>1585.343538</v>
      </c>
      <c r="J1095" s="6">
        <v>23.7828881057321</v>
      </c>
      <c r="K1095" s="5">
        <v>0.0</v>
      </c>
      <c r="L1095" s="7">
        <v>0.682999079120026</v>
      </c>
      <c r="M1095" s="4">
        <v>32.73</v>
      </c>
      <c r="N1095" s="2">
        <v>19.74</v>
      </c>
    </row>
    <row r="1096">
      <c r="A1096" s="2" t="s">
        <v>1121</v>
      </c>
      <c r="B1096" s="3" t="str">
        <f>HYPERLINK("https://www.suredividend.com/sure-analysis-research-database/","Netgear Inc")</f>
        <v>Netgear Inc</v>
      </c>
      <c r="C1096" s="2" t="s">
        <v>40</v>
      </c>
      <c r="D1096" s="4">
        <v>14.23</v>
      </c>
      <c r="E1096" s="5">
        <v>0.0</v>
      </c>
      <c r="F1096" s="5" t="s">
        <v>15</v>
      </c>
      <c r="G1096" s="5" t="s">
        <v>15</v>
      </c>
      <c r="H1096" s="4">
        <v>0.0</v>
      </c>
      <c r="I1096" s="4">
        <v>439.093388</v>
      </c>
      <c r="J1096" s="6" t="s">
        <v>15</v>
      </c>
      <c r="K1096" s="5">
        <v>0.0</v>
      </c>
      <c r="L1096" s="7">
        <v>0.658822901941658</v>
      </c>
      <c r="M1096" s="4">
        <v>20.85</v>
      </c>
      <c r="N1096" s="2">
        <v>10.4</v>
      </c>
    </row>
    <row r="1097">
      <c r="A1097" s="2" t="s">
        <v>1122</v>
      </c>
      <c r="B1097" s="3" t="str">
        <f>HYPERLINK("https://www.suredividend.com/sure-analysis-research-database/","Intellia Therapeutics Inc")</f>
        <v>Intellia Therapeutics Inc</v>
      </c>
      <c r="C1097" s="2" t="s">
        <v>30</v>
      </c>
      <c r="D1097" s="4">
        <v>24.84</v>
      </c>
      <c r="E1097" s="5">
        <v>0.0</v>
      </c>
      <c r="F1097" s="5" t="s">
        <v>15</v>
      </c>
      <c r="G1097" s="5" t="s">
        <v>15</v>
      </c>
      <c r="H1097" s="4">
        <v>0.0</v>
      </c>
      <c r="I1097" s="4">
        <v>2344.547046</v>
      </c>
      <c r="J1097" s="6" t="s">
        <v>15</v>
      </c>
      <c r="K1097" s="5">
        <v>0.0</v>
      </c>
      <c r="L1097" s="7">
        <v>2.00849410655651</v>
      </c>
      <c r="M1097" s="4">
        <v>47.48</v>
      </c>
      <c r="N1097" s="2">
        <v>22.67</v>
      </c>
    </row>
    <row r="1098">
      <c r="A1098" s="2" t="s">
        <v>1123</v>
      </c>
      <c r="B1098" s="3" t="str">
        <f>HYPERLINK("https://www.suredividend.com/sure-analysis-NTST/","Netstreit Corp")</f>
        <v>Netstreit Corp</v>
      </c>
      <c r="C1098" s="2" t="s">
        <v>15</v>
      </c>
      <c r="D1098" s="4">
        <v>17.84</v>
      </c>
      <c r="E1098" s="5">
        <v>0.0459641255605381</v>
      </c>
      <c r="F1098" s="5" t="s">
        <v>15</v>
      </c>
      <c r="G1098" s="5" t="s">
        <v>15</v>
      </c>
      <c r="H1098" s="4">
        <v>0.794962537831673</v>
      </c>
      <c r="I1098" s="4">
        <v>1252.423295</v>
      </c>
      <c r="J1098" s="6">
        <v>163.054718824371</v>
      </c>
      <c r="K1098" s="5">
        <v>6.30922649072756</v>
      </c>
      <c r="L1098" s="7">
        <v>0.893197096731297</v>
      </c>
      <c r="M1098" s="4">
        <v>19.68</v>
      </c>
      <c r="N1098" s="2">
        <v>13.31</v>
      </c>
    </row>
    <row r="1099">
      <c r="A1099" s="2" t="s">
        <v>1124</v>
      </c>
      <c r="B1099" s="3" t="str">
        <f>HYPERLINK("https://www.suredividend.com/sure-analysis-NUS/","Nu Skin Enterprises, Inc.")</f>
        <v>Nu Skin Enterprises, Inc.</v>
      </c>
      <c r="C1099" s="2" t="s">
        <v>89</v>
      </c>
      <c r="D1099" s="4">
        <v>17.72</v>
      </c>
      <c r="E1099" s="5">
        <v>0.0880361173814898</v>
      </c>
      <c r="F1099" s="5">
        <v>0.0129870129870131</v>
      </c>
      <c r="G1099" s="5">
        <v>0.0105843689902043</v>
      </c>
      <c r="H1099" s="4">
        <v>1.51664668000982</v>
      </c>
      <c r="I1099" s="4">
        <v>931.858794</v>
      </c>
      <c r="J1099" s="6">
        <v>15.9215895721705</v>
      </c>
      <c r="K1099" s="5">
        <v>1.2962792136836</v>
      </c>
      <c r="L1099" s="7">
        <v>1.08605255741051</v>
      </c>
      <c r="M1099" s="4">
        <v>42.88</v>
      </c>
      <c r="N1099" s="2">
        <v>15.78</v>
      </c>
    </row>
    <row r="1100">
      <c r="A1100" s="2" t="s">
        <v>1125</v>
      </c>
      <c r="B1100" s="3" t="str">
        <f>HYPERLINK("https://www.suredividend.com/sure-analysis-research-database/","Nutex Health Inc")</f>
        <v>Nutex Health Inc</v>
      </c>
      <c r="C1100" s="2" t="s">
        <v>15</v>
      </c>
      <c r="D1100" s="4">
        <v>0.1138</v>
      </c>
      <c r="E1100" s="5">
        <v>0.0</v>
      </c>
      <c r="F1100" s="5" t="s">
        <v>15</v>
      </c>
      <c r="G1100" s="5" t="s">
        <v>15</v>
      </c>
      <c r="H1100" s="4">
        <v>0.0</v>
      </c>
      <c r="I1100" s="4">
        <v>85.390497</v>
      </c>
      <c r="J1100" s="6">
        <v>0.0</v>
      </c>
      <c r="K1100" s="5" t="s">
        <v>15</v>
      </c>
      <c r="L1100" s="7">
        <v>1.11573846722567</v>
      </c>
      <c r="M1100" s="4">
        <v>1.79</v>
      </c>
      <c r="N1100" s="2">
        <v>0.1204</v>
      </c>
    </row>
    <row r="1101">
      <c r="A1101" s="2" t="s">
        <v>1126</v>
      </c>
      <c r="B1101" s="3" t="str">
        <f>HYPERLINK("https://www.suredividend.com/sure-analysis-research-database/","Nuvasive Inc")</f>
        <v>Nuvasive Inc</v>
      </c>
      <c r="C1101" s="2" t="s">
        <v>30</v>
      </c>
      <c r="D1101" s="4">
        <v>39.75</v>
      </c>
      <c r="E1101" s="5">
        <v>0.0</v>
      </c>
      <c r="F1101" s="5" t="s">
        <v>15</v>
      </c>
      <c r="G1101" s="5" t="s">
        <v>15</v>
      </c>
      <c r="H1101" s="4">
        <v>0.0</v>
      </c>
      <c r="I1101" s="4">
        <v>0.0</v>
      </c>
      <c r="J1101" s="6">
        <v>0.0</v>
      </c>
      <c r="K1101" s="5">
        <v>0.0</v>
      </c>
      <c r="L1101" s="7"/>
      <c r="M1101" s="4" t="s">
        <v>49</v>
      </c>
      <c r="N1101" s="2" t="s">
        <v>49</v>
      </c>
    </row>
    <row r="1102">
      <c r="A1102" s="2" t="s">
        <v>1127</v>
      </c>
      <c r="B1102" s="3" t="str">
        <f>HYPERLINK("https://www.suredividend.com/sure-analysis-research-database/","Nuvation Bio Inc")</f>
        <v>Nuvation Bio Inc</v>
      </c>
      <c r="C1102" s="2" t="s">
        <v>15</v>
      </c>
      <c r="D1102" s="4">
        <v>1.57</v>
      </c>
      <c r="E1102" s="5">
        <v>0.0</v>
      </c>
      <c r="F1102" s="5" t="s">
        <v>15</v>
      </c>
      <c r="G1102" s="5" t="s">
        <v>15</v>
      </c>
      <c r="H1102" s="4">
        <v>0.0</v>
      </c>
      <c r="I1102" s="4">
        <v>380.962652</v>
      </c>
      <c r="J1102" s="6">
        <v>0.0</v>
      </c>
      <c r="K1102" s="5" t="s">
        <v>15</v>
      </c>
      <c r="L1102" s="7">
        <v>1.64619421459658</v>
      </c>
      <c r="M1102" s="4">
        <v>2.54</v>
      </c>
      <c r="N1102" s="2">
        <v>0.95</v>
      </c>
    </row>
    <row r="1103">
      <c r="A1103" s="2" t="s">
        <v>1128</v>
      </c>
      <c r="B1103" s="3" t="str">
        <f>HYPERLINK("https://www.suredividend.com/sure-analysis-research-database/","Nuvalent Inc")</f>
        <v>Nuvalent Inc</v>
      </c>
      <c r="C1103" s="2" t="s">
        <v>15</v>
      </c>
      <c r="D1103" s="4">
        <v>78.39</v>
      </c>
      <c r="E1103" s="5">
        <v>0.0</v>
      </c>
      <c r="F1103" s="5" t="s">
        <v>15</v>
      </c>
      <c r="G1103" s="5" t="s">
        <v>15</v>
      </c>
      <c r="H1103" s="4">
        <v>0.0</v>
      </c>
      <c r="I1103" s="4">
        <v>4459.481753</v>
      </c>
      <c r="J1103" s="6">
        <v>0.0</v>
      </c>
      <c r="K1103" s="5" t="s">
        <v>15</v>
      </c>
      <c r="L1103" s="7">
        <v>1.50004140237445</v>
      </c>
      <c r="M1103" s="4">
        <v>80.94</v>
      </c>
      <c r="N1103" s="2">
        <v>23.1</v>
      </c>
    </row>
    <row r="1104">
      <c r="A1104" s="2" t="s">
        <v>1129</v>
      </c>
      <c r="B1104" s="3" t="str">
        <f>HYPERLINK("https://www.suredividend.com/sure-analysis-research-database/","NV5 Global Inc")</f>
        <v>NV5 Global Inc</v>
      </c>
      <c r="C1104" s="2" t="s">
        <v>17</v>
      </c>
      <c r="D1104" s="4">
        <v>104.05</v>
      </c>
      <c r="E1104" s="5">
        <v>0.0</v>
      </c>
      <c r="F1104" s="5" t="s">
        <v>15</v>
      </c>
      <c r="G1104" s="5" t="s">
        <v>15</v>
      </c>
      <c r="H1104" s="4">
        <v>0.0</v>
      </c>
      <c r="I1104" s="4">
        <v>1717.714952</v>
      </c>
      <c r="J1104" s="6">
        <v>40.2501394746461</v>
      </c>
      <c r="K1104" s="5">
        <v>0.0</v>
      </c>
      <c r="L1104" s="7">
        <v>1.0753849068429</v>
      </c>
      <c r="M1104" s="4">
        <v>142.1</v>
      </c>
      <c r="N1104" s="2">
        <v>89.3</v>
      </c>
    </row>
    <row r="1105">
      <c r="A1105" s="2" t="s">
        <v>1130</v>
      </c>
      <c r="B1105" s="3" t="str">
        <f>HYPERLINK("https://www.suredividend.com/sure-analysis-research-database/","Nevro Corp")</f>
        <v>Nevro Corp</v>
      </c>
      <c r="C1105" s="2" t="s">
        <v>30</v>
      </c>
      <c r="D1105" s="4">
        <v>16.43</v>
      </c>
      <c r="E1105" s="5">
        <v>0.0</v>
      </c>
      <c r="F1105" s="5" t="s">
        <v>15</v>
      </c>
      <c r="G1105" s="5" t="s">
        <v>15</v>
      </c>
      <c r="H1105" s="4">
        <v>0.0</v>
      </c>
      <c r="I1105" s="4">
        <v>638.302877</v>
      </c>
      <c r="J1105" s="6" t="s">
        <v>15</v>
      </c>
      <c r="K1105" s="5">
        <v>0.0</v>
      </c>
      <c r="L1105" s="7">
        <v>1.35041600582178</v>
      </c>
      <c r="M1105" s="4">
        <v>40.56</v>
      </c>
      <c r="N1105" s="2">
        <v>13.98</v>
      </c>
    </row>
    <row r="1106">
      <c r="A1106" s="2" t="s">
        <v>1131</v>
      </c>
      <c r="B1106" s="3" t="str">
        <f>HYPERLINK("https://www.suredividend.com/sure-analysis-research-database/","Invitae Corp")</f>
        <v>Invitae Corp</v>
      </c>
      <c r="C1106" s="2" t="s">
        <v>30</v>
      </c>
      <c r="D1106" s="4">
        <v>0.0891</v>
      </c>
      <c r="E1106" s="5">
        <v>0.0</v>
      </c>
      <c r="F1106" s="5" t="s">
        <v>15</v>
      </c>
      <c r="G1106" s="5" t="s">
        <v>15</v>
      </c>
      <c r="H1106" s="4">
        <v>0.0</v>
      </c>
      <c r="I1106" s="4">
        <v>129.666659</v>
      </c>
      <c r="J1106" s="6" t="s">
        <v>15</v>
      </c>
      <c r="K1106" s="5">
        <v>0.0</v>
      </c>
      <c r="L1106" s="7">
        <v>3.13500182375273</v>
      </c>
      <c r="M1106" s="4">
        <v>2.93</v>
      </c>
      <c r="N1106" s="2">
        <v>0.36</v>
      </c>
    </row>
    <row r="1107">
      <c r="A1107" s="2" t="s">
        <v>1132</v>
      </c>
      <c r="B1107" s="3" t="str">
        <f>HYPERLINK("https://www.suredividend.com/sure-analysis-NWBI/","Northwest Bancshares Inc")</f>
        <v>Northwest Bancshares Inc</v>
      </c>
      <c r="C1107" s="2" t="s">
        <v>22</v>
      </c>
      <c r="D1107" s="4">
        <v>11.8</v>
      </c>
      <c r="E1107" s="5">
        <v>0.0677966101694915</v>
      </c>
      <c r="F1107" s="5">
        <v>0.0</v>
      </c>
      <c r="G1107" s="5">
        <v>0.0212956876001351</v>
      </c>
      <c r="H1107" s="4">
        <v>0.757891150229314</v>
      </c>
      <c r="I1107" s="4">
        <v>1649.815865</v>
      </c>
      <c r="J1107" s="6">
        <v>11.7694350385937</v>
      </c>
      <c r="K1107" s="5">
        <v>0.688991954753921</v>
      </c>
      <c r="L1107" s="7">
        <v>1.28563687130565</v>
      </c>
      <c r="M1107" s="4">
        <v>13.13</v>
      </c>
      <c r="N1107" s="2">
        <v>9.22</v>
      </c>
    </row>
    <row r="1108">
      <c r="A1108" s="2" t="s">
        <v>1133</v>
      </c>
      <c r="B1108" s="3" t="str">
        <f>HYPERLINK("https://www.suredividend.com/sure-analysis-NWE/","NorthWestern Energy Group Inc")</f>
        <v>NorthWestern Energy Group Inc</v>
      </c>
      <c r="C1108" s="2" t="s">
        <v>91</v>
      </c>
      <c r="D1108" s="4">
        <v>46.97</v>
      </c>
      <c r="E1108" s="5">
        <v>0.0545028741750053</v>
      </c>
      <c r="F1108" s="5">
        <v>0.0158730158730158</v>
      </c>
      <c r="G1108" s="5">
        <v>0.0216506740215227</v>
      </c>
      <c r="H1108" s="4">
        <v>0.639999985694885</v>
      </c>
      <c r="I1108" s="4">
        <v>2978.210034</v>
      </c>
      <c r="J1108" s="6">
        <v>0.0</v>
      </c>
      <c r="K1108" s="5" t="s">
        <v>15</v>
      </c>
      <c r="L1108" s="7">
        <v>0.927451714057855</v>
      </c>
      <c r="M1108" s="4">
        <v>53.73</v>
      </c>
      <c r="N1108" s="2">
        <v>44.88</v>
      </c>
    </row>
    <row r="1109">
      <c r="A1109" s="2" t="s">
        <v>1134</v>
      </c>
      <c r="B1109" s="3" t="str">
        <f>HYPERLINK("https://www.suredividend.com/sure-analysis-research-database/","National Western Life Group Inc")</f>
        <v>National Western Life Group Inc</v>
      </c>
      <c r="C1109" s="2" t="s">
        <v>22</v>
      </c>
      <c r="D1109" s="4">
        <v>483.51</v>
      </c>
      <c r="E1109" s="5">
        <v>7.44109165574E-4</v>
      </c>
      <c r="F1109" s="5" t="s">
        <v>15</v>
      </c>
      <c r="G1109" s="5" t="s">
        <v>15</v>
      </c>
      <c r="H1109" s="4">
        <v>0.360000014305114</v>
      </c>
      <c r="I1109" s="4">
        <v>1662.346476</v>
      </c>
      <c r="J1109" s="6">
        <v>14.1087255228136</v>
      </c>
      <c r="K1109" s="5">
        <v>0.0107270564453252</v>
      </c>
      <c r="L1109" s="7">
        <v>0.903354997761519</v>
      </c>
      <c r="M1109" s="4">
        <v>488.17</v>
      </c>
      <c r="N1109" s="2">
        <v>224.68</v>
      </c>
    </row>
    <row r="1110">
      <c r="A1110" s="2" t="s">
        <v>1135</v>
      </c>
      <c r="B1110" s="3" t="str">
        <f>HYPERLINK("https://www.suredividend.com/sure-analysis-NWN/","Northwest Natural Holding Co")</f>
        <v>Northwest Natural Holding Co</v>
      </c>
      <c r="C1110" s="2" t="s">
        <v>91</v>
      </c>
      <c r="D1110" s="4">
        <v>35.84</v>
      </c>
      <c r="E1110" s="5">
        <v>0.0544084821428571</v>
      </c>
      <c r="F1110" s="5">
        <v>0.00515463917525793</v>
      </c>
      <c r="G1110" s="5">
        <v>0.00520861519735604</v>
      </c>
      <c r="H1110" s="4">
        <v>1.42141917722073</v>
      </c>
      <c r="I1110" s="4">
        <v>1415.687596</v>
      </c>
      <c r="J1110" s="6">
        <v>14.5700835336904</v>
      </c>
      <c r="K1110" s="5">
        <v>0.524508921483665</v>
      </c>
      <c r="L1110" s="7">
        <v>0.611890732499542</v>
      </c>
      <c r="M1110" s="4">
        <v>49.97</v>
      </c>
      <c r="N1110" s="2">
        <v>35.27</v>
      </c>
    </row>
    <row r="1111">
      <c r="A1111" s="2" t="s">
        <v>1136</v>
      </c>
      <c r="B1111" s="3" t="str">
        <f>HYPERLINK("https://www.suredividend.com/sure-analysis-research-database/","Northwest Pipe Co.")</f>
        <v>Northwest Pipe Co.</v>
      </c>
      <c r="C1111" s="2" t="s">
        <v>17</v>
      </c>
      <c r="D1111" s="4">
        <v>29.47</v>
      </c>
      <c r="E1111" s="5">
        <v>0.0</v>
      </c>
      <c r="F1111" s="5" t="s">
        <v>15</v>
      </c>
      <c r="G1111" s="5" t="s">
        <v>15</v>
      </c>
      <c r="H1111" s="4">
        <v>0.0</v>
      </c>
      <c r="I1111" s="4">
        <v>308.437237</v>
      </c>
      <c r="J1111" s="6">
        <v>13.0754689389122</v>
      </c>
      <c r="K1111" s="5">
        <v>0.0</v>
      </c>
      <c r="L1111" s="7">
        <v>0.834051438563986</v>
      </c>
      <c r="M1111" s="4">
        <v>40.6</v>
      </c>
      <c r="N1111" s="2">
        <v>25.58</v>
      </c>
    </row>
    <row r="1112">
      <c r="A1112" s="2" t="s">
        <v>1137</v>
      </c>
      <c r="B1112" s="3" t="str">
        <f>HYPERLINK("https://www.suredividend.com/sure-analysis-research-database/","Quanex Building Products Corp")</f>
        <v>Quanex Building Products Corp</v>
      </c>
      <c r="C1112" s="2" t="s">
        <v>17</v>
      </c>
      <c r="D1112" s="4">
        <v>30.96</v>
      </c>
      <c r="E1112" s="5">
        <v>0.009977491950672</v>
      </c>
      <c r="F1112" s="5">
        <v>0.0</v>
      </c>
      <c r="G1112" s="5">
        <v>0.0</v>
      </c>
      <c r="H1112" s="4">
        <v>0.318681092904488</v>
      </c>
      <c r="I1112" s="4">
        <v>1057.32876</v>
      </c>
      <c r="J1112" s="6">
        <v>12.8159508420504</v>
      </c>
      <c r="K1112" s="5">
        <v>0.127472437161795</v>
      </c>
      <c r="L1112" s="7">
        <v>1.57267467856785</v>
      </c>
      <c r="M1112" s="4">
        <v>34.94</v>
      </c>
      <c r="N1112" s="2">
        <v>18.55</v>
      </c>
    </row>
    <row r="1113">
      <c r="A1113" s="2" t="s">
        <v>1138</v>
      </c>
      <c r="B1113" s="3" t="str">
        <f>HYPERLINK("https://www.suredividend.com/sure-analysis-research-database/","NextGen Healthcare Inc")</f>
        <v>NextGen Healthcare Inc</v>
      </c>
      <c r="C1113" s="2" t="s">
        <v>30</v>
      </c>
      <c r="D1113" s="4">
        <v>23.94</v>
      </c>
      <c r="E1113" s="5">
        <v>0.0</v>
      </c>
      <c r="F1113" s="5" t="s">
        <v>15</v>
      </c>
      <c r="G1113" s="5" t="s">
        <v>15</v>
      </c>
      <c r="H1113" s="4">
        <v>0.0</v>
      </c>
      <c r="I1113" s="4">
        <v>0.0</v>
      </c>
      <c r="J1113" s="6">
        <v>0.0</v>
      </c>
      <c r="K1113" s="5">
        <v>0.0</v>
      </c>
      <c r="L1113" s="7"/>
      <c r="M1113" s="4" t="s">
        <v>49</v>
      </c>
      <c r="N1113" s="2" t="s">
        <v>49</v>
      </c>
    </row>
    <row r="1114">
      <c r="A1114" s="2" t="s">
        <v>1139</v>
      </c>
      <c r="B1114" s="3" t="str">
        <f>HYPERLINK("https://www.suredividend.com/sure-analysis-NXRT/","NexPoint Residential Trust Inc")</f>
        <v>NexPoint Residential Trust Inc</v>
      </c>
      <c r="C1114" s="2" t="s">
        <v>20</v>
      </c>
      <c r="D1114" s="4">
        <v>30.95</v>
      </c>
      <c r="E1114" s="5">
        <v>0.0597738287560581</v>
      </c>
      <c r="F1114" s="5">
        <v>0.101</v>
      </c>
      <c r="G1114" s="5">
        <v>0.109534429295282</v>
      </c>
      <c r="H1114" s="4">
        <v>1.69195299065224</v>
      </c>
      <c r="I1114" s="4">
        <v>829.537053</v>
      </c>
      <c r="J1114" s="6">
        <v>27.9305405060606</v>
      </c>
      <c r="K1114" s="5">
        <v>1.47126347013238</v>
      </c>
      <c r="L1114" s="7">
        <v>1.44208961113309</v>
      </c>
      <c r="M1114" s="4">
        <v>50.53</v>
      </c>
      <c r="N1114" s="2">
        <v>25.86</v>
      </c>
    </row>
    <row r="1115">
      <c r="A1115" s="2" t="s">
        <v>1140</v>
      </c>
      <c r="B1115" s="3" t="str">
        <f>HYPERLINK("https://www.suredividend.com/sure-analysis-research-database/","Nextracker Inc")</f>
        <v>Nextracker Inc</v>
      </c>
      <c r="C1115" s="2" t="s">
        <v>15</v>
      </c>
      <c r="D1115" s="4">
        <v>56.16</v>
      </c>
      <c r="E1115" s="5">
        <v>0.0</v>
      </c>
      <c r="F1115" s="5" t="s">
        <v>15</v>
      </c>
      <c r="G1115" s="5" t="s">
        <v>15</v>
      </c>
      <c r="H1115" s="4">
        <v>0.0</v>
      </c>
      <c r="I1115" s="4">
        <v>2796.204269</v>
      </c>
      <c r="J1115" s="6">
        <v>0.0</v>
      </c>
      <c r="K1115" s="5" t="s">
        <v>15</v>
      </c>
      <c r="L1115" s="7">
        <v>1.52736978786834</v>
      </c>
      <c r="M1115" s="4">
        <v>49.82</v>
      </c>
      <c r="N1115" s="2">
        <v>28.24</v>
      </c>
    </row>
    <row r="1116">
      <c r="A1116" s="2" t="s">
        <v>1141</v>
      </c>
      <c r="B1116" s="3" t="str">
        <f>HYPERLINK("https://www.suredividend.com/sure-analysis-NYMT/","New York Mortgage Trust Inc")</f>
        <v>New York Mortgage Trust Inc</v>
      </c>
      <c r="C1116" s="2" t="s">
        <v>20</v>
      </c>
      <c r="D1116" s="4">
        <v>7.54</v>
      </c>
      <c r="E1116" s="5">
        <v>0.106100795755968</v>
      </c>
      <c r="F1116" s="5" t="s">
        <v>15</v>
      </c>
      <c r="G1116" s="5" t="s">
        <v>15</v>
      </c>
      <c r="H1116" s="4">
        <v>1.11281543397309</v>
      </c>
      <c r="I1116" s="4">
        <v>768.086941</v>
      </c>
      <c r="J1116" s="6" t="s">
        <v>15</v>
      </c>
      <c r="K1116" s="5" t="s">
        <v>15</v>
      </c>
      <c r="L1116" s="7">
        <v>1.5999991297515</v>
      </c>
      <c r="M1116" s="4">
        <v>10.83</v>
      </c>
      <c r="N1116" s="2">
        <v>6.91</v>
      </c>
    </row>
    <row r="1117">
      <c r="A1117" s="2" t="s">
        <v>1142</v>
      </c>
      <c r="B1117" s="3" t="str">
        <f>HYPERLINK("https://www.suredividend.com/sure-analysis-research-database/","OmniAb Inc")</f>
        <v>OmniAb Inc</v>
      </c>
      <c r="C1117" s="2" t="s">
        <v>15</v>
      </c>
      <c r="D1117" s="4">
        <v>5.66</v>
      </c>
      <c r="E1117" s="5">
        <v>0.0</v>
      </c>
      <c r="F1117" s="5" t="s">
        <v>15</v>
      </c>
      <c r="G1117" s="5" t="s">
        <v>15</v>
      </c>
      <c r="H1117" s="4">
        <v>0.0</v>
      </c>
      <c r="I1117" s="4">
        <v>732.300572</v>
      </c>
      <c r="J1117" s="6" t="s">
        <v>15</v>
      </c>
      <c r="K1117" s="5">
        <v>0.0</v>
      </c>
      <c r="L1117" s="7">
        <v>0.99878949458374</v>
      </c>
      <c r="M1117" s="4">
        <v>6.72</v>
      </c>
      <c r="N1117" s="2">
        <v>3.14</v>
      </c>
    </row>
    <row r="1118">
      <c r="A1118" s="2" t="s">
        <v>1143</v>
      </c>
      <c r="B1118" s="3" t="str">
        <f>HYPERLINK("https://www.suredividend.com/sure-analysis-research-database/","Outbrain Inc")</f>
        <v>Outbrain Inc</v>
      </c>
      <c r="C1118" s="2" t="s">
        <v>15</v>
      </c>
      <c r="D1118" s="4">
        <v>3.96</v>
      </c>
      <c r="E1118" s="5">
        <v>0.0</v>
      </c>
      <c r="F1118" s="5" t="s">
        <v>15</v>
      </c>
      <c r="G1118" s="5" t="s">
        <v>15</v>
      </c>
      <c r="H1118" s="4">
        <v>0.0</v>
      </c>
      <c r="I1118" s="4">
        <v>204.634089</v>
      </c>
      <c r="J1118" s="6" t="s">
        <v>15</v>
      </c>
      <c r="K1118" s="5">
        <v>0.0</v>
      </c>
      <c r="L1118" s="7">
        <v>1.20145826631623</v>
      </c>
      <c r="M1118" s="4">
        <v>5.95</v>
      </c>
      <c r="N1118" s="2">
        <v>3.34</v>
      </c>
    </row>
    <row r="1119">
      <c r="A1119" s="2" t="s">
        <v>1144</v>
      </c>
      <c r="B1119" s="3" t="str">
        <f>HYPERLINK("https://www.suredividend.com/sure-analysis-research-database/","Origin Bancorp Inc")</f>
        <v>Origin Bancorp Inc</v>
      </c>
      <c r="C1119" s="2" t="s">
        <v>15</v>
      </c>
      <c r="D1119" s="4">
        <v>29.69</v>
      </c>
      <c r="E1119" s="5">
        <v>0.009346569648509</v>
      </c>
      <c r="F1119" s="5" t="s">
        <v>15</v>
      </c>
      <c r="G1119" s="5" t="s">
        <v>15</v>
      </c>
      <c r="H1119" s="4">
        <v>0.299277160145274</v>
      </c>
      <c r="I1119" s="4">
        <v>989.633046</v>
      </c>
      <c r="J1119" s="6">
        <v>9.9108994854436</v>
      </c>
      <c r="K1119" s="5">
        <v>0.0926554675372365</v>
      </c>
      <c r="L1119" s="7">
        <v>1.25038039010187</v>
      </c>
      <c r="M1119" s="4">
        <v>39.6</v>
      </c>
      <c r="N1119" s="2">
        <v>25.51</v>
      </c>
    </row>
    <row r="1120">
      <c r="A1120" s="2" t="s">
        <v>1145</v>
      </c>
      <c r="B1120" s="3" t="str">
        <f>HYPERLINK("https://www.suredividend.com/sure-analysis-research-database/","OceanFirst Financial Corp.")</f>
        <v>OceanFirst Financial Corp.</v>
      </c>
      <c r="C1120" s="2" t="s">
        <v>22</v>
      </c>
      <c r="D1120" s="4">
        <v>16.07</v>
      </c>
      <c r="E1120" s="5">
        <v>0.04208307225826</v>
      </c>
      <c r="F1120" s="5">
        <v>0.0</v>
      </c>
      <c r="G1120" s="5">
        <v>0.0330378041139323</v>
      </c>
      <c r="H1120" s="4">
        <v>0.771382714493911</v>
      </c>
      <c r="I1120" s="4">
        <v>1089.224855</v>
      </c>
      <c r="J1120" s="6">
        <v>8.67196527766056</v>
      </c>
      <c r="K1120" s="5">
        <v>0.36215150915207</v>
      </c>
      <c r="L1120" s="7">
        <v>1.78642215759218</v>
      </c>
      <c r="M1120" s="4">
        <v>23.34</v>
      </c>
      <c r="N1120" s="2">
        <v>11.65</v>
      </c>
    </row>
    <row r="1121">
      <c r="A1121" s="2" t="s">
        <v>1146</v>
      </c>
      <c r="B1121" s="3" t="str">
        <f>HYPERLINK("https://www.suredividend.com/sure-analysis-research-database/","Ocugen Inc")</f>
        <v>Ocugen Inc</v>
      </c>
      <c r="C1121" s="2" t="s">
        <v>30</v>
      </c>
      <c r="D1121" s="4">
        <v>0.504</v>
      </c>
      <c r="E1121" s="5">
        <v>0.0</v>
      </c>
      <c r="F1121" s="5" t="s">
        <v>15</v>
      </c>
      <c r="G1121" s="5" t="s">
        <v>15</v>
      </c>
      <c r="H1121" s="4">
        <v>0.0</v>
      </c>
      <c r="I1121" s="4">
        <v>145.257328</v>
      </c>
      <c r="J1121" s="6">
        <v>0.0</v>
      </c>
      <c r="K1121" s="5" t="s">
        <v>15</v>
      </c>
      <c r="L1121" s="7">
        <v>1.99185092846089</v>
      </c>
      <c r="M1121" s="4">
        <v>1.4</v>
      </c>
      <c r="N1121" s="2">
        <v>0.345</v>
      </c>
    </row>
    <row r="1122">
      <c r="A1122" s="2" t="s">
        <v>1147</v>
      </c>
      <c r="B1122" s="3" t="str">
        <f>HYPERLINK("https://www.suredividend.com/sure-analysis-research-database/","Eightco Holdings Inc")</f>
        <v>Eightco Holdings Inc</v>
      </c>
      <c r="C1122" s="2" t="s">
        <v>15</v>
      </c>
      <c r="D1122" s="4">
        <v>0.57</v>
      </c>
      <c r="E1122" s="5">
        <v>0.0</v>
      </c>
      <c r="F1122" s="5" t="s">
        <v>15</v>
      </c>
      <c r="G1122" s="5" t="s">
        <v>15</v>
      </c>
      <c r="H1122" s="4">
        <v>0.0</v>
      </c>
      <c r="I1122" s="4">
        <v>2.752745</v>
      </c>
      <c r="J1122" s="6">
        <v>0.0</v>
      </c>
      <c r="K1122" s="5" t="s">
        <v>15</v>
      </c>
      <c r="L1122" s="7">
        <v>-15.8013880741068</v>
      </c>
      <c r="M1122" s="4">
        <v>4.46</v>
      </c>
      <c r="N1122" s="2">
        <v>0.0551</v>
      </c>
    </row>
    <row r="1123">
      <c r="A1123" s="2" t="s">
        <v>1148</v>
      </c>
      <c r="B1123" s="3" t="str">
        <f>HYPERLINK("https://www.suredividend.com/sure-analysis-research-database/","Ocular Therapeutix Inc")</f>
        <v>Ocular Therapeutix Inc</v>
      </c>
      <c r="C1123" s="2" t="s">
        <v>30</v>
      </c>
      <c r="D1123" s="4">
        <v>4.95</v>
      </c>
      <c r="E1123" s="5">
        <v>0.0</v>
      </c>
      <c r="F1123" s="5" t="s">
        <v>15</v>
      </c>
      <c r="G1123" s="5" t="s">
        <v>15</v>
      </c>
      <c r="H1123" s="4">
        <v>0.0</v>
      </c>
      <c r="I1123" s="4">
        <v>405.829179</v>
      </c>
      <c r="J1123" s="6" t="s">
        <v>15</v>
      </c>
      <c r="K1123" s="5">
        <v>0.0</v>
      </c>
      <c r="L1123" s="7">
        <v>1.64329918087178</v>
      </c>
      <c r="M1123" s="4">
        <v>7.96</v>
      </c>
      <c r="N1123" s="2">
        <v>2.0</v>
      </c>
    </row>
    <row r="1124">
      <c r="A1124" s="2" t="s">
        <v>1149</v>
      </c>
      <c r="B1124" s="3" t="str">
        <f>HYPERLINK("https://www.suredividend.com/sure-analysis-research-database/","ODP Corporation (The)")</f>
        <v>ODP Corporation (The)</v>
      </c>
      <c r="C1124" s="2" t="s">
        <v>25</v>
      </c>
      <c r="D1124" s="4">
        <v>51.64</v>
      </c>
      <c r="E1124" s="5">
        <v>0.0</v>
      </c>
      <c r="F1124" s="5" t="s">
        <v>15</v>
      </c>
      <c r="G1124" s="5" t="s">
        <v>15</v>
      </c>
      <c r="H1124" s="4">
        <v>0.0</v>
      </c>
      <c r="I1124" s="4">
        <v>1986.644899</v>
      </c>
      <c r="J1124" s="6">
        <v>10.2934968852331</v>
      </c>
      <c r="K1124" s="5">
        <v>0.0</v>
      </c>
      <c r="L1124" s="7">
        <v>1.10976515728446</v>
      </c>
      <c r="M1124" s="4">
        <v>58.98</v>
      </c>
      <c r="N1124" s="2">
        <v>39.36</v>
      </c>
    </row>
    <row r="1125">
      <c r="A1125" s="2" t="s">
        <v>1150</v>
      </c>
      <c r="B1125" s="3" t="str">
        <f>HYPERLINK("https://www.suredividend.com/sure-analysis-research-database/","Orion S.A")</f>
        <v>Orion S.A</v>
      </c>
      <c r="C1125" s="2" t="s">
        <v>130</v>
      </c>
      <c r="D1125" s="4">
        <v>21.75</v>
      </c>
      <c r="E1125" s="5">
        <v>0.003618968599367</v>
      </c>
      <c r="F1125" s="5" t="s">
        <v>15</v>
      </c>
      <c r="G1125" s="5" t="s">
        <v>15</v>
      </c>
      <c r="H1125" s="4">
        <v>0.082693432495555</v>
      </c>
      <c r="I1125" s="4">
        <v>1326.308599</v>
      </c>
      <c r="J1125" s="6">
        <v>0.0</v>
      </c>
      <c r="K1125" s="5" t="s">
        <v>15</v>
      </c>
      <c r="L1125" s="7">
        <v>1.33552926828721</v>
      </c>
      <c r="M1125" s="4">
        <v>28.48</v>
      </c>
      <c r="N1125" s="2">
        <v>19.3</v>
      </c>
    </row>
    <row r="1126">
      <c r="A1126" s="2" t="s">
        <v>1151</v>
      </c>
      <c r="B1126" s="3" t="str">
        <f>HYPERLINK("https://www.suredividend.com/sure-analysis-research-database/","OFG Bancorp")</f>
        <v>OFG Bancorp</v>
      </c>
      <c r="C1126" s="2" t="s">
        <v>22</v>
      </c>
      <c r="D1126" s="4">
        <v>36.44</v>
      </c>
      <c r="E1126" s="5">
        <v>0.022856383445326</v>
      </c>
      <c r="F1126" s="5">
        <v>0.0999999999999998</v>
      </c>
      <c r="G1126" s="5">
        <v>0.257375309802445</v>
      </c>
      <c r="H1126" s="4">
        <v>0.871056773101386</v>
      </c>
      <c r="I1126" s="4">
        <v>1793.372987</v>
      </c>
      <c r="J1126" s="6">
        <v>9.8731184784356</v>
      </c>
      <c r="K1126" s="5">
        <v>0.228623824960993</v>
      </c>
      <c r="L1126" s="7">
        <v>1.23246078987123</v>
      </c>
      <c r="M1126" s="4">
        <v>38.43</v>
      </c>
      <c r="N1126" s="2">
        <v>21.86</v>
      </c>
    </row>
    <row r="1127">
      <c r="A1127" s="2" t="s">
        <v>1152</v>
      </c>
      <c r="B1127" s="3" t="str">
        <f>HYPERLINK("https://www.suredividend.com/sure-analysis-research-database/","Orthofix Medical Inc")</f>
        <v>Orthofix Medical Inc</v>
      </c>
      <c r="C1127" s="2" t="s">
        <v>30</v>
      </c>
      <c r="D1127" s="4">
        <v>14.01</v>
      </c>
      <c r="E1127" s="5">
        <v>0.0</v>
      </c>
      <c r="F1127" s="5" t="s">
        <v>15</v>
      </c>
      <c r="G1127" s="5" t="s">
        <v>15</v>
      </c>
      <c r="H1127" s="4">
        <v>0.0</v>
      </c>
      <c r="I1127" s="4">
        <v>536.554</v>
      </c>
      <c r="J1127" s="6" t="s">
        <v>15</v>
      </c>
      <c r="K1127" s="5">
        <v>0.0</v>
      </c>
      <c r="L1127" s="7">
        <v>1.7212477927091</v>
      </c>
      <c r="M1127" s="4">
        <v>22.62</v>
      </c>
      <c r="N1127" s="2">
        <v>9.57</v>
      </c>
    </row>
    <row r="1128">
      <c r="A1128" s="2" t="s">
        <v>1153</v>
      </c>
      <c r="B1128" s="3" t="str">
        <f>HYPERLINK("https://www.suredividend.com/sure-analysis-research-database/","Omega Flex Inc")</f>
        <v>Omega Flex Inc</v>
      </c>
      <c r="C1128" s="2" t="s">
        <v>17</v>
      </c>
      <c r="D1128" s="4">
        <v>68.0</v>
      </c>
      <c r="E1128" s="5">
        <v>0.017812897393901</v>
      </c>
      <c r="F1128" s="5">
        <v>0.03125</v>
      </c>
      <c r="G1128" s="5">
        <v>0.0334064829387792</v>
      </c>
      <c r="H1128" s="4">
        <v>1.29499764053666</v>
      </c>
      <c r="I1128" s="4">
        <v>733.857209</v>
      </c>
      <c r="J1128" s="6">
        <v>33.2739609793697</v>
      </c>
      <c r="K1128" s="5">
        <v>0.594035614925073</v>
      </c>
      <c r="L1128" s="7">
        <v>0.938335427983919</v>
      </c>
      <c r="M1128" s="4">
        <v>124.91</v>
      </c>
      <c r="N1128" s="2">
        <v>62.92</v>
      </c>
    </row>
    <row r="1129">
      <c r="A1129" s="2" t="s">
        <v>1154</v>
      </c>
      <c r="B1129" s="3" t="str">
        <f>HYPERLINK("https://www.suredividend.com/sure-analysis-OGS/","ONE Gas Inc")</f>
        <v>ONE Gas Inc</v>
      </c>
      <c r="C1129" s="2" t="s">
        <v>91</v>
      </c>
      <c r="D1129" s="4">
        <v>58.86</v>
      </c>
      <c r="E1129" s="5">
        <v>0.0448521916411824</v>
      </c>
      <c r="F1129" s="5">
        <v>0.0483870967741935</v>
      </c>
      <c r="G1129" s="5">
        <v>0.0538739520617834</v>
      </c>
      <c r="H1129" s="4">
        <v>2.56242342951997</v>
      </c>
      <c r="I1129" s="4">
        <v>3459.77818</v>
      </c>
      <c r="J1129" s="6">
        <v>15.2057441821114</v>
      </c>
      <c r="K1129" s="5">
        <v>0.624981324273165</v>
      </c>
      <c r="L1129" s="7">
        <v>0.599640550025527</v>
      </c>
      <c r="M1129" s="4">
        <v>82.25</v>
      </c>
      <c r="N1129" s="2">
        <v>55.5</v>
      </c>
    </row>
    <row r="1130">
      <c r="A1130" s="2" t="s">
        <v>1155</v>
      </c>
      <c r="B1130" s="3" t="str">
        <f>HYPERLINK("https://www.suredividend.com/sure-analysis-research-database/","O-I Glass Inc")</f>
        <v>O-I Glass Inc</v>
      </c>
      <c r="C1130" s="2" t="s">
        <v>25</v>
      </c>
      <c r="D1130" s="4">
        <v>14.51</v>
      </c>
      <c r="E1130" s="5">
        <v>0.0</v>
      </c>
      <c r="F1130" s="5" t="s">
        <v>15</v>
      </c>
      <c r="G1130" s="5" t="s">
        <v>15</v>
      </c>
      <c r="H1130" s="4">
        <v>0.0</v>
      </c>
      <c r="I1130" s="4">
        <v>2350.307429</v>
      </c>
      <c r="J1130" s="6">
        <v>0.0</v>
      </c>
      <c r="K1130" s="5" t="s">
        <v>15</v>
      </c>
      <c r="L1130" s="7">
        <v>1.43440771446345</v>
      </c>
      <c r="M1130" s="4">
        <v>23.57</v>
      </c>
      <c r="N1130" s="2">
        <v>13.56</v>
      </c>
    </row>
    <row r="1131">
      <c r="A1131" s="2" t="s">
        <v>1156</v>
      </c>
      <c r="B1131" s="3" t="str">
        <f>HYPERLINK("https://www.suredividend.com/sure-analysis-research-database/","Oceaneering International, Inc.")</f>
        <v>Oceaneering International, Inc.</v>
      </c>
      <c r="C1131" s="2" t="s">
        <v>125</v>
      </c>
      <c r="D1131" s="4">
        <v>20.22</v>
      </c>
      <c r="E1131" s="5">
        <v>0.0</v>
      </c>
      <c r="F1131" s="5" t="s">
        <v>15</v>
      </c>
      <c r="G1131" s="5" t="s">
        <v>15</v>
      </c>
      <c r="H1131" s="4">
        <v>0.0</v>
      </c>
      <c r="I1131" s="4">
        <v>2174.662617</v>
      </c>
      <c r="J1131" s="6">
        <v>28.6132288180574</v>
      </c>
      <c r="K1131" s="5">
        <v>0.0</v>
      </c>
      <c r="L1131" s="7">
        <v>1.14700308581418</v>
      </c>
      <c r="M1131" s="4">
        <v>27.46</v>
      </c>
      <c r="N1131" s="2">
        <v>14.99</v>
      </c>
    </row>
    <row r="1132">
      <c r="A1132" s="2" t="s">
        <v>1157</v>
      </c>
      <c r="B1132" s="3" t="str">
        <f>HYPERLINK("https://www.suredividend.com/sure-analysis-research-database/","Oil States International, Inc.")</f>
        <v>Oil States International, Inc.</v>
      </c>
      <c r="C1132" s="2" t="s">
        <v>125</v>
      </c>
      <c r="D1132" s="4">
        <v>5.89</v>
      </c>
      <c r="E1132" s="5">
        <v>0.0</v>
      </c>
      <c r="F1132" s="5" t="s">
        <v>15</v>
      </c>
      <c r="G1132" s="5" t="s">
        <v>15</v>
      </c>
      <c r="H1132" s="4">
        <v>0.0</v>
      </c>
      <c r="I1132" s="4">
        <v>416.557428</v>
      </c>
      <c r="J1132" s="6">
        <v>42.8072579919843</v>
      </c>
      <c r="K1132" s="5">
        <v>0.0</v>
      </c>
      <c r="L1132" s="7">
        <v>1.08896758430118</v>
      </c>
      <c r="M1132" s="4">
        <v>10.47</v>
      </c>
      <c r="N1132" s="2">
        <v>5.72</v>
      </c>
    </row>
    <row r="1133">
      <c r="A1133" s="2" t="s">
        <v>1158</v>
      </c>
      <c r="B1133" s="3" t="str">
        <f>HYPERLINK("https://www.suredividend.com/sure-analysis-research-database/","Olo Inc")</f>
        <v>Olo Inc</v>
      </c>
      <c r="C1133" s="2" t="s">
        <v>49</v>
      </c>
      <c r="D1133" s="4">
        <v>5.35</v>
      </c>
      <c r="E1133" s="5">
        <v>0.0</v>
      </c>
      <c r="F1133" s="5" t="s">
        <v>15</v>
      </c>
      <c r="G1133" s="5" t="s">
        <v>15</v>
      </c>
      <c r="H1133" s="4">
        <v>0.0</v>
      </c>
      <c r="I1133" s="4">
        <v>592.335518</v>
      </c>
      <c r="J1133" s="6" t="s">
        <v>15</v>
      </c>
      <c r="K1133" s="5">
        <v>0.0</v>
      </c>
      <c r="L1133" s="7">
        <v>1.77849909017905</v>
      </c>
      <c r="M1133" s="4">
        <v>9.12</v>
      </c>
      <c r="N1133" s="2">
        <v>4.25</v>
      </c>
    </row>
    <row r="1134">
      <c r="A1134" s="2" t="s">
        <v>1159</v>
      </c>
      <c r="B1134" s="3" t="str">
        <f>HYPERLINK("https://www.suredividend.com/sure-analysis-OLP/","One Liberty Properties, Inc.")</f>
        <v>One Liberty Properties, Inc.</v>
      </c>
      <c r="C1134" s="2" t="s">
        <v>20</v>
      </c>
      <c r="D1134" s="4">
        <v>19.88</v>
      </c>
      <c r="E1134" s="5">
        <v>0.090543259557344</v>
      </c>
      <c r="F1134" s="5">
        <v>0.0</v>
      </c>
      <c r="G1134" s="5">
        <v>0.0</v>
      </c>
      <c r="H1134" s="4">
        <v>1.74269872522541</v>
      </c>
      <c r="I1134" s="4">
        <v>441.74754</v>
      </c>
      <c r="J1134" s="6">
        <v>19.7658749953018</v>
      </c>
      <c r="K1134" s="5">
        <v>1.59880616993157</v>
      </c>
      <c r="L1134" s="7">
        <v>0.950974875443215</v>
      </c>
      <c r="M1134" s="4">
        <v>22.93</v>
      </c>
      <c r="N1134" s="2">
        <v>17.2</v>
      </c>
    </row>
    <row r="1135">
      <c r="A1135" s="2" t="s">
        <v>1160</v>
      </c>
      <c r="B1135" s="3" t="str">
        <f>HYPERLINK("https://www.suredividend.com/sure-analysis-research-database/","Outset Medical Inc")</f>
        <v>Outset Medical Inc</v>
      </c>
      <c r="C1135" s="2" t="s">
        <v>15</v>
      </c>
      <c r="D1135" s="4">
        <v>3.12</v>
      </c>
      <c r="E1135" s="5">
        <v>0.0</v>
      </c>
      <c r="F1135" s="5" t="s">
        <v>15</v>
      </c>
      <c r="G1135" s="5" t="s">
        <v>15</v>
      </c>
      <c r="H1135" s="4">
        <v>0.0</v>
      </c>
      <c r="I1135" s="4">
        <v>177.724178</v>
      </c>
      <c r="J1135" s="6" t="s">
        <v>15</v>
      </c>
      <c r="K1135" s="5">
        <v>0.0</v>
      </c>
      <c r="L1135" s="7">
        <v>2.11773750682523</v>
      </c>
      <c r="M1135" s="4">
        <v>30.55</v>
      </c>
      <c r="N1135" s="2">
        <v>2.9</v>
      </c>
    </row>
    <row r="1136">
      <c r="A1136" s="2" t="s">
        <v>1161</v>
      </c>
      <c r="B1136" s="3" t="str">
        <f>HYPERLINK("https://www.suredividend.com/sure-analysis-research-database/","Omnicell, Inc.")</f>
        <v>Omnicell, Inc.</v>
      </c>
      <c r="C1136" s="2" t="s">
        <v>30</v>
      </c>
      <c r="D1136" s="4">
        <v>30.45</v>
      </c>
      <c r="E1136" s="5">
        <v>0.0</v>
      </c>
      <c r="F1136" s="5" t="s">
        <v>15</v>
      </c>
      <c r="G1136" s="5" t="s">
        <v>15</v>
      </c>
      <c r="H1136" s="4">
        <v>0.0</v>
      </c>
      <c r="I1136" s="4">
        <v>1588.699997</v>
      </c>
      <c r="J1136" s="6" t="s">
        <v>15</v>
      </c>
      <c r="K1136" s="5">
        <v>0.0</v>
      </c>
      <c r="L1136" s="7">
        <v>1.29654531124237</v>
      </c>
      <c r="M1136" s="4">
        <v>77.14</v>
      </c>
      <c r="N1136" s="2">
        <v>28.72</v>
      </c>
    </row>
    <row r="1137">
      <c r="A1137" s="2" t="s">
        <v>1162</v>
      </c>
      <c r="B1137" s="3" t="str">
        <f>HYPERLINK("https://www.suredividend.com/sure-analysis-research-database/","Owens &amp; Minor, Inc.")</f>
        <v>Owens &amp; Minor, Inc.</v>
      </c>
      <c r="C1137" s="2" t="s">
        <v>30</v>
      </c>
      <c r="D1137" s="4">
        <v>19.4</v>
      </c>
      <c r="E1137" s="5">
        <v>0.0</v>
      </c>
      <c r="F1137" s="5" t="s">
        <v>15</v>
      </c>
      <c r="G1137" s="5" t="s">
        <v>15</v>
      </c>
      <c r="H1137" s="4">
        <v>0.0</v>
      </c>
      <c r="I1137" s="4">
        <v>1549.911131</v>
      </c>
      <c r="J1137" s="6" t="s">
        <v>15</v>
      </c>
      <c r="K1137" s="5">
        <v>0.0</v>
      </c>
      <c r="L1137" s="7">
        <v>2.26829141493782</v>
      </c>
      <c r="M1137" s="4">
        <v>23.66</v>
      </c>
      <c r="N1137" s="2">
        <v>11.79</v>
      </c>
    </row>
    <row r="1138">
      <c r="A1138" s="2" t="s">
        <v>1163</v>
      </c>
      <c r="B1138" s="3" t="str">
        <f>HYPERLINK("https://www.suredividend.com/sure-analysis-research-database/","Singular Genomics Systems Inc")</f>
        <v>Singular Genomics Systems Inc</v>
      </c>
      <c r="C1138" s="2" t="s">
        <v>15</v>
      </c>
      <c r="D1138" s="4">
        <v>0.579</v>
      </c>
      <c r="E1138" s="5">
        <v>0.0</v>
      </c>
      <c r="F1138" s="5" t="s">
        <v>15</v>
      </c>
      <c r="G1138" s="5" t="s">
        <v>15</v>
      </c>
      <c r="H1138" s="4">
        <v>0.0</v>
      </c>
      <c r="I1138" s="4">
        <v>36.692255</v>
      </c>
      <c r="J1138" s="6" t="s">
        <v>15</v>
      </c>
      <c r="K1138" s="5">
        <v>0.0</v>
      </c>
      <c r="L1138" s="7">
        <v>1.13281760390693</v>
      </c>
      <c r="M1138" s="4">
        <v>3.0</v>
      </c>
      <c r="N1138" s="2">
        <v>0.3101</v>
      </c>
    </row>
    <row r="1139">
      <c r="A1139" s="2" t="s">
        <v>1164</v>
      </c>
      <c r="B1139" s="3" t="str">
        <f>HYPERLINK("https://www.suredividend.com/sure-analysis-research-database/","Old National Bancorp")</f>
        <v>Old National Bancorp</v>
      </c>
      <c r="C1139" s="2" t="s">
        <v>22</v>
      </c>
      <c r="D1139" s="4">
        <v>15.95</v>
      </c>
      <c r="E1139" s="5">
        <v>0.03163953610192</v>
      </c>
      <c r="F1139" s="5">
        <v>0.0</v>
      </c>
      <c r="G1139" s="5">
        <v>0.0149319789453938</v>
      </c>
      <c r="H1139" s="4">
        <v>0.550527928173418</v>
      </c>
      <c r="I1139" s="4">
        <v>5091.6054</v>
      </c>
      <c r="J1139" s="6">
        <v>8.02950488241824</v>
      </c>
      <c r="K1139" s="5">
        <v>0.253699506070699</v>
      </c>
      <c r="L1139" s="7">
        <v>1.29292074665189</v>
      </c>
      <c r="M1139" s="4">
        <v>17.64</v>
      </c>
      <c r="N1139" s="2">
        <v>11.2</v>
      </c>
    </row>
    <row r="1140">
      <c r="A1140" s="2" t="s">
        <v>1165</v>
      </c>
      <c r="B1140" s="3" t="str">
        <f>HYPERLINK("https://www.suredividend.com/sure-analysis-research-database/","Ondas Holdings Inc")</f>
        <v>Ondas Holdings Inc</v>
      </c>
      <c r="C1140" s="2" t="s">
        <v>40</v>
      </c>
      <c r="D1140" s="4">
        <v>1.27</v>
      </c>
      <c r="E1140" s="5">
        <v>0.0</v>
      </c>
      <c r="F1140" s="5" t="s">
        <v>15</v>
      </c>
      <c r="G1140" s="5" t="s">
        <v>15</v>
      </c>
      <c r="H1140" s="4">
        <v>0.0</v>
      </c>
      <c r="I1140" s="4">
        <v>88.050089</v>
      </c>
      <c r="J1140" s="6" t="s">
        <v>15</v>
      </c>
      <c r="K1140" s="5">
        <v>0.0</v>
      </c>
      <c r="L1140" s="7">
        <v>3.33687074681865</v>
      </c>
      <c r="M1140" s="4">
        <v>2.47</v>
      </c>
      <c r="N1140" s="2">
        <v>0.3146</v>
      </c>
    </row>
    <row r="1141">
      <c r="A1141" s="2" t="s">
        <v>1166</v>
      </c>
      <c r="B1141" s="3" t="str">
        <f>HYPERLINK("https://www.suredividend.com/sure-analysis-research-database/","Onewater Marine Inc")</f>
        <v>Onewater Marine Inc</v>
      </c>
      <c r="C1141" s="2" t="s">
        <v>25</v>
      </c>
      <c r="D1141" s="4">
        <v>26.0</v>
      </c>
      <c r="E1141" s="5">
        <v>0.0</v>
      </c>
      <c r="F1141" s="5" t="s">
        <v>15</v>
      </c>
      <c r="G1141" s="5" t="s">
        <v>15</v>
      </c>
      <c r="H1141" s="4">
        <v>0.0</v>
      </c>
      <c r="I1141" s="4">
        <v>382.950497</v>
      </c>
      <c r="J1141" s="6" t="s">
        <v>15</v>
      </c>
      <c r="K1141" s="5">
        <v>0.0</v>
      </c>
      <c r="L1141" s="7">
        <v>1.17901436602713</v>
      </c>
      <c r="M1141" s="4">
        <v>39.15</v>
      </c>
      <c r="N1141" s="2">
        <v>21.78</v>
      </c>
    </row>
    <row r="1142">
      <c r="A1142" s="2" t="s">
        <v>1167</v>
      </c>
      <c r="B1142" s="3" t="str">
        <f>HYPERLINK("https://www.suredividend.com/sure-analysis-research-database/","Orion Office REIT Inc")</f>
        <v>Orion Office REIT Inc</v>
      </c>
      <c r="C1142" s="2" t="s">
        <v>15</v>
      </c>
      <c r="D1142" s="4">
        <v>4.79</v>
      </c>
      <c r="E1142" s="5">
        <v>0.072304460631717</v>
      </c>
      <c r="F1142" s="5" t="s">
        <v>15</v>
      </c>
      <c r="G1142" s="5" t="s">
        <v>15</v>
      </c>
      <c r="H1142" s="4">
        <v>0.389721042804958</v>
      </c>
      <c r="I1142" s="4">
        <v>300.654491</v>
      </c>
      <c r="J1142" s="6" t="s">
        <v>15</v>
      </c>
      <c r="K1142" s="5" t="s">
        <v>15</v>
      </c>
      <c r="L1142" s="7">
        <v>1.67719406774078</v>
      </c>
      <c r="M1142" s="4">
        <v>9.12</v>
      </c>
      <c r="N1142" s="2">
        <v>4.34</v>
      </c>
    </row>
    <row r="1143">
      <c r="A1143" s="2" t="s">
        <v>1168</v>
      </c>
      <c r="B1143" s="3" t="str">
        <f>HYPERLINK("https://www.suredividend.com/sure-analysis-research-database/","ON24 Inc")</f>
        <v>ON24 Inc</v>
      </c>
      <c r="C1143" s="2" t="s">
        <v>15</v>
      </c>
      <c r="D1143" s="4">
        <v>7.66</v>
      </c>
      <c r="E1143" s="5">
        <v>0.0</v>
      </c>
      <c r="F1143" s="5" t="s">
        <v>15</v>
      </c>
      <c r="G1143" s="5" t="s">
        <v>15</v>
      </c>
      <c r="H1143" s="4">
        <v>0.0</v>
      </c>
      <c r="I1143" s="4">
        <v>331.180214</v>
      </c>
      <c r="J1143" s="6" t="s">
        <v>15</v>
      </c>
      <c r="K1143" s="5">
        <v>0.0</v>
      </c>
      <c r="L1143" s="7">
        <v>1.21271528479922</v>
      </c>
      <c r="M1143" s="4">
        <v>9.67</v>
      </c>
      <c r="N1143" s="2">
        <v>5.73</v>
      </c>
    </row>
    <row r="1144">
      <c r="A1144" s="2" t="s">
        <v>1169</v>
      </c>
      <c r="B1144" s="3" t="str">
        <f>HYPERLINK("https://www.suredividend.com/sure-analysis-research-database/","Onto Innovation Inc.")</f>
        <v>Onto Innovation Inc.</v>
      </c>
      <c r="C1144" s="2" t="s">
        <v>40</v>
      </c>
      <c r="D1144" s="4">
        <v>167.43</v>
      </c>
      <c r="E1144" s="5">
        <v>0.0</v>
      </c>
      <c r="F1144" s="5" t="s">
        <v>15</v>
      </c>
      <c r="G1144" s="5" t="s">
        <v>15</v>
      </c>
      <c r="H1144" s="4">
        <v>0.0</v>
      </c>
      <c r="I1144" s="4">
        <v>8072.350919</v>
      </c>
      <c r="J1144" s="6">
        <v>51.3952969408012</v>
      </c>
      <c r="K1144" s="5">
        <v>0.0</v>
      </c>
      <c r="L1144" s="7">
        <v>1.73908650739282</v>
      </c>
      <c r="M1144" s="4">
        <v>172.36</v>
      </c>
      <c r="N1144" s="2">
        <v>76.01</v>
      </c>
    </row>
    <row r="1145">
      <c r="A1145" s="2" t="s">
        <v>1170</v>
      </c>
      <c r="B1145" s="3" t="str">
        <f>HYPERLINK("https://www.suredividend.com/sure-analysis-research-database/","Ooma Inc")</f>
        <v>Ooma Inc</v>
      </c>
      <c r="C1145" s="2" t="s">
        <v>114</v>
      </c>
      <c r="D1145" s="4">
        <v>9.95</v>
      </c>
      <c r="E1145" s="5">
        <v>0.0</v>
      </c>
      <c r="F1145" s="5" t="s">
        <v>15</v>
      </c>
      <c r="G1145" s="5" t="s">
        <v>15</v>
      </c>
      <c r="H1145" s="4">
        <v>0.0</v>
      </c>
      <c r="I1145" s="4">
        <v>297.474</v>
      </c>
      <c r="J1145" s="6">
        <v>164.07832322118</v>
      </c>
      <c r="K1145" s="5">
        <v>0.0</v>
      </c>
      <c r="L1145" s="7">
        <v>0.896121416208223</v>
      </c>
      <c r="M1145" s="4">
        <v>15.66</v>
      </c>
      <c r="N1145" s="2">
        <v>9.58</v>
      </c>
    </row>
    <row r="1146">
      <c r="A1146" s="2" t="s">
        <v>1171</v>
      </c>
      <c r="B1146" s="3" t="str">
        <f>HYPERLINK("https://www.suredividend.com/sure-analysis-research-database/","Offerpad Solutions Inc")</f>
        <v>Offerpad Solutions Inc</v>
      </c>
      <c r="C1146" s="2" t="s">
        <v>15</v>
      </c>
      <c r="D1146" s="4">
        <v>9.25</v>
      </c>
      <c r="E1146" s="5">
        <v>0.0</v>
      </c>
      <c r="F1146" s="5" t="s">
        <v>15</v>
      </c>
      <c r="G1146" s="5" t="s">
        <v>15</v>
      </c>
      <c r="H1146" s="4">
        <v>0.0</v>
      </c>
      <c r="I1146" s="4">
        <v>256.806417</v>
      </c>
      <c r="J1146" s="6" t="s">
        <v>15</v>
      </c>
      <c r="K1146" s="5">
        <v>0.0</v>
      </c>
      <c r="L1146" s="7">
        <v>3.12898892544981</v>
      </c>
      <c r="M1146" s="4">
        <v>19.35</v>
      </c>
      <c r="N1146" s="2">
        <v>6.0</v>
      </c>
    </row>
    <row r="1147">
      <c r="A1147" s="2" t="s">
        <v>1172</v>
      </c>
      <c r="B1147" s="3" t="str">
        <f>HYPERLINK("https://www.suredividend.com/sure-analysis-research-database/","Option Care Health Inc.")</f>
        <v>Option Care Health Inc.</v>
      </c>
      <c r="C1147" s="2" t="s">
        <v>30</v>
      </c>
      <c r="D1147" s="4">
        <v>31.24</v>
      </c>
      <c r="E1147" s="5">
        <v>0.0</v>
      </c>
      <c r="F1147" s="5" t="s">
        <v>15</v>
      </c>
      <c r="G1147" s="5" t="s">
        <v>15</v>
      </c>
      <c r="H1147" s="4">
        <v>0.0</v>
      </c>
      <c r="I1147" s="4">
        <v>5604.410254</v>
      </c>
      <c r="J1147" s="6">
        <v>21.7696034600414</v>
      </c>
      <c r="K1147" s="5">
        <v>0.0</v>
      </c>
      <c r="L1147" s="7">
        <v>1.0709072571152</v>
      </c>
      <c r="M1147" s="4">
        <v>35.74</v>
      </c>
      <c r="N1147" s="2">
        <v>24.23</v>
      </c>
    </row>
    <row r="1148">
      <c r="A1148" s="2" t="s">
        <v>1173</v>
      </c>
      <c r="B1148" s="3" t="str">
        <f>HYPERLINK("https://www.suredividend.com/sure-analysis-research-database/","OppFi Inc")</f>
        <v>OppFi Inc</v>
      </c>
      <c r="C1148" s="2" t="s">
        <v>15</v>
      </c>
      <c r="D1148" s="4">
        <v>3.1</v>
      </c>
      <c r="E1148" s="5">
        <v>0.0</v>
      </c>
      <c r="F1148" s="5" t="s">
        <v>15</v>
      </c>
      <c r="G1148" s="5" t="s">
        <v>15</v>
      </c>
      <c r="H1148" s="4">
        <v>0.0</v>
      </c>
      <c r="I1148" s="4">
        <v>62.040829</v>
      </c>
      <c r="J1148" s="6">
        <v>8.06039086657139</v>
      </c>
      <c r="K1148" s="5">
        <v>0.0</v>
      </c>
      <c r="L1148" s="7">
        <v>1.11894428668885</v>
      </c>
      <c r="M1148" s="4">
        <v>5.34</v>
      </c>
      <c r="N1148" s="2">
        <v>1.7</v>
      </c>
    </row>
    <row r="1149">
      <c r="A1149" s="2" t="s">
        <v>1174</v>
      </c>
      <c r="B1149" s="3" t="str">
        <f>HYPERLINK("https://www.suredividend.com/sure-analysis-OPI/","Office Properties Income Trust")</f>
        <v>Office Properties Income Trust</v>
      </c>
      <c r="C1149" s="2" t="s">
        <v>20</v>
      </c>
      <c r="D1149" s="4">
        <v>3.63</v>
      </c>
      <c r="E1149" s="5">
        <v>0.275482093663911</v>
      </c>
      <c r="F1149" s="5">
        <v>-0.981818181818181</v>
      </c>
      <c r="G1149" s="5">
        <v>-0.55132955536504</v>
      </c>
      <c r="H1149" s="4">
        <v>0.691853031934118</v>
      </c>
      <c r="I1149" s="4">
        <v>179.42166</v>
      </c>
      <c r="J1149" s="6" t="s">
        <v>15</v>
      </c>
      <c r="K1149" s="5" t="s">
        <v>15</v>
      </c>
      <c r="L1149" s="7">
        <v>2.11928342159348</v>
      </c>
      <c r="M1149" s="4">
        <v>14.16</v>
      </c>
      <c r="N1149" s="2">
        <v>3.34</v>
      </c>
    </row>
    <row r="1150">
      <c r="A1150" s="2" t="s">
        <v>1175</v>
      </c>
      <c r="B1150" s="3" t="str">
        <f>HYPERLINK("https://www.suredividend.com/sure-analysis-research-database/","Opko Health Inc")</f>
        <v>Opko Health Inc</v>
      </c>
      <c r="C1150" s="2" t="s">
        <v>30</v>
      </c>
      <c r="D1150" s="4">
        <v>0.9725</v>
      </c>
      <c r="E1150" s="5">
        <v>0.0</v>
      </c>
      <c r="F1150" s="5" t="s">
        <v>15</v>
      </c>
      <c r="G1150" s="5" t="s">
        <v>15</v>
      </c>
      <c r="H1150" s="4">
        <v>0.0</v>
      </c>
      <c r="I1150" s="4">
        <v>788.517664</v>
      </c>
      <c r="J1150" s="6" t="s">
        <v>15</v>
      </c>
      <c r="K1150" s="5">
        <v>0.0</v>
      </c>
      <c r="L1150" s="7">
        <v>1.58179232198708</v>
      </c>
      <c r="M1150" s="4">
        <v>2.24</v>
      </c>
      <c r="N1150" s="2">
        <v>0.8516</v>
      </c>
    </row>
    <row r="1151">
      <c r="A1151" s="2" t="s">
        <v>1176</v>
      </c>
      <c r="B1151" s="3" t="str">
        <f>HYPERLINK("https://www.suredividend.com/sure-analysis-research-database/","Oportun Financial Corp")</f>
        <v>Oportun Financial Corp</v>
      </c>
      <c r="C1151" s="2" t="s">
        <v>22</v>
      </c>
      <c r="D1151" s="4">
        <v>3.36</v>
      </c>
      <c r="E1151" s="5">
        <v>0.0</v>
      </c>
      <c r="F1151" s="5" t="s">
        <v>15</v>
      </c>
      <c r="G1151" s="5" t="s">
        <v>15</v>
      </c>
      <c r="H1151" s="4">
        <v>0.0</v>
      </c>
      <c r="I1151" s="4">
        <v>141.028309</v>
      </c>
      <c r="J1151" s="6" t="s">
        <v>15</v>
      </c>
      <c r="K1151" s="5">
        <v>0.0</v>
      </c>
      <c r="L1151" s="7">
        <v>1.23891916664739</v>
      </c>
      <c r="M1151" s="4">
        <v>8.06</v>
      </c>
      <c r="N1151" s="2">
        <v>2.13</v>
      </c>
    </row>
    <row r="1152">
      <c r="A1152" s="2" t="s">
        <v>1177</v>
      </c>
      <c r="B1152" s="3" t="str">
        <f>HYPERLINK("https://www.suredividend.com/sure-analysis-research-database/","OptimizeRx Corp")</f>
        <v>OptimizeRx Corp</v>
      </c>
      <c r="C1152" s="2" t="s">
        <v>30</v>
      </c>
      <c r="D1152" s="4">
        <v>14.85</v>
      </c>
      <c r="E1152" s="5">
        <v>0.0</v>
      </c>
      <c r="F1152" s="5" t="s">
        <v>15</v>
      </c>
      <c r="G1152" s="5" t="s">
        <v>15</v>
      </c>
      <c r="H1152" s="4">
        <v>0.0</v>
      </c>
      <c r="I1152" s="4">
        <v>265.570753</v>
      </c>
      <c r="J1152" s="6" t="s">
        <v>15</v>
      </c>
      <c r="K1152" s="5">
        <v>0.0</v>
      </c>
      <c r="L1152" s="7">
        <v>1.70664561659672</v>
      </c>
      <c r="M1152" s="4">
        <v>19.98</v>
      </c>
      <c r="N1152" s="2">
        <v>6.92</v>
      </c>
    </row>
    <row r="1153">
      <c r="A1153" s="2" t="s">
        <v>1178</v>
      </c>
      <c r="B1153" s="3" t="str">
        <f>HYPERLINK("https://www.suredividend.com/sure-analysis-research-database/","Oppenheimer Holdings Inc")</f>
        <v>Oppenheimer Holdings Inc</v>
      </c>
      <c r="C1153" s="2" t="s">
        <v>22</v>
      </c>
      <c r="D1153" s="4">
        <v>38.56</v>
      </c>
      <c r="E1153" s="5">
        <v>0.015463300274252</v>
      </c>
      <c r="F1153" s="5">
        <v>0.0</v>
      </c>
      <c r="G1153" s="5">
        <v>0.0456395525912731</v>
      </c>
      <c r="H1153" s="4">
        <v>0.596419491577932</v>
      </c>
      <c r="I1153" s="4">
        <v>396.323104</v>
      </c>
      <c r="J1153" s="6">
        <v>9.55202582921597</v>
      </c>
      <c r="K1153" s="5">
        <v>0.169437355561912</v>
      </c>
      <c r="L1153" s="7">
        <v>0.8046317850791</v>
      </c>
      <c r="M1153" s="4">
        <v>47.37</v>
      </c>
      <c r="N1153" s="2">
        <v>32.69</v>
      </c>
    </row>
    <row r="1154">
      <c r="A1154" s="2" t="s">
        <v>1179</v>
      </c>
      <c r="B1154" s="3" t="str">
        <f>HYPERLINK("https://www.suredividend.com/sure-analysis-research-database/","Ormat Technologies Inc")</f>
        <v>Ormat Technologies Inc</v>
      </c>
      <c r="C1154" s="2" t="s">
        <v>91</v>
      </c>
      <c r="D1154" s="4">
        <v>64.21</v>
      </c>
      <c r="E1154" s="5">
        <v>0.007241422156897</v>
      </c>
      <c r="F1154" s="5">
        <v>0.0</v>
      </c>
      <c r="G1154" s="5">
        <v>0.0175545771755876</v>
      </c>
      <c r="H1154" s="4">
        <v>0.478802833014075</v>
      </c>
      <c r="I1154" s="4">
        <v>3990.611902</v>
      </c>
      <c r="J1154" s="6">
        <v>37.3953923743838</v>
      </c>
      <c r="K1154" s="5">
        <v>0.263078479678063</v>
      </c>
      <c r="L1154" s="7">
        <v>0.926996377144632</v>
      </c>
      <c r="M1154" s="4">
        <v>93.91</v>
      </c>
      <c r="N1154" s="2">
        <v>58.62</v>
      </c>
    </row>
    <row r="1155">
      <c r="A1155" s="2" t="s">
        <v>1180</v>
      </c>
      <c r="B1155" s="3" t="str">
        <f>HYPERLINK("https://www.suredividend.com/sure-analysis-ORC/","Orchid Island Capital Inc")</f>
        <v>Orchid Island Capital Inc</v>
      </c>
      <c r="C1155" s="2" t="s">
        <v>20</v>
      </c>
      <c r="D1155" s="4">
        <v>8.24</v>
      </c>
      <c r="E1155" s="5">
        <v>0.174757281553398</v>
      </c>
      <c r="F1155" s="5">
        <v>-0.25</v>
      </c>
      <c r="G1155" s="5">
        <v>0.216728683786411</v>
      </c>
      <c r="H1155" s="4">
        <v>1.48477953819212</v>
      </c>
      <c r="I1155" s="4">
        <v>449.534509</v>
      </c>
      <c r="J1155" s="6" t="s">
        <v>15</v>
      </c>
      <c r="K1155" s="5" t="s">
        <v>15</v>
      </c>
      <c r="L1155" s="7">
        <v>1.46604720848246</v>
      </c>
      <c r="M1155" s="4">
        <v>10.48</v>
      </c>
      <c r="N1155" s="2">
        <v>5.62</v>
      </c>
    </row>
    <row r="1156">
      <c r="A1156" s="2" t="s">
        <v>1181</v>
      </c>
      <c r="B1156" s="3" t="str">
        <f>HYPERLINK("https://www.suredividend.com/sure-analysis-research-database/","Origin Materials Inc")</f>
        <v>Origin Materials Inc</v>
      </c>
      <c r="C1156" s="2" t="s">
        <v>15</v>
      </c>
      <c r="D1156" s="4">
        <v>0.5025</v>
      </c>
      <c r="E1156" s="5">
        <v>0.0</v>
      </c>
      <c r="F1156" s="5" t="s">
        <v>15</v>
      </c>
      <c r="G1156" s="5" t="s">
        <v>15</v>
      </c>
      <c r="H1156" s="4">
        <v>0.0</v>
      </c>
      <c r="I1156" s="4">
        <v>89.58296</v>
      </c>
      <c r="J1156" s="6">
        <v>0.0</v>
      </c>
      <c r="K1156" s="5" t="s">
        <v>15</v>
      </c>
      <c r="L1156" s="7">
        <v>1.74640044263637</v>
      </c>
      <c r="M1156" s="4">
        <v>6.26</v>
      </c>
      <c r="N1156" s="2">
        <v>0.5479</v>
      </c>
    </row>
    <row r="1157">
      <c r="A1157" s="2" t="s">
        <v>1182</v>
      </c>
      <c r="B1157" s="3" t="str">
        <f>HYPERLINK("https://www.suredividend.com/sure-analysis-research-database/","Organogenesis Holdings Inc")</f>
        <v>Organogenesis Holdings Inc</v>
      </c>
      <c r="C1157" s="2" t="s">
        <v>30</v>
      </c>
      <c r="D1157" s="4">
        <v>3.2</v>
      </c>
      <c r="E1157" s="5">
        <v>0.0</v>
      </c>
      <c r="F1157" s="5" t="s">
        <v>15</v>
      </c>
      <c r="G1157" s="5" t="s">
        <v>15</v>
      </c>
      <c r="H1157" s="4">
        <v>0.0</v>
      </c>
      <c r="I1157" s="4">
        <v>480.629837</v>
      </c>
      <c r="J1157" s="6">
        <v>40.0524864133333</v>
      </c>
      <c r="K1157" s="5">
        <v>0.0</v>
      </c>
      <c r="L1157" s="7">
        <v>2.05868787939522</v>
      </c>
      <c r="M1157" s="4">
        <v>4.71</v>
      </c>
      <c r="N1157" s="2">
        <v>1.8</v>
      </c>
    </row>
    <row r="1158">
      <c r="A1158" s="2" t="s">
        <v>1183</v>
      </c>
      <c r="B1158" s="3" t="str">
        <f>HYPERLINK("https://www.suredividend.com/sure-analysis-research-database/","Orrstown Financial Services, Inc.")</f>
        <v>Orrstown Financial Services, Inc.</v>
      </c>
      <c r="C1158" s="2" t="s">
        <v>22</v>
      </c>
      <c r="D1158" s="4">
        <v>26.4</v>
      </c>
      <c r="E1158" s="5">
        <v>0.026800314920283</v>
      </c>
      <c r="F1158" s="5" t="s">
        <v>15</v>
      </c>
      <c r="G1158" s="5" t="s">
        <v>15</v>
      </c>
      <c r="H1158" s="4">
        <v>0.778013142135819</v>
      </c>
      <c r="I1158" s="4">
        <v>308.126481</v>
      </c>
      <c r="J1158" s="6">
        <v>8.18483985363651</v>
      </c>
      <c r="K1158" s="5">
        <v>0.217322106741848</v>
      </c>
      <c r="L1158" s="7">
        <v>0.868205977923607</v>
      </c>
      <c r="M1158" s="4">
        <v>29.79</v>
      </c>
      <c r="N1158" s="2">
        <v>14.99</v>
      </c>
    </row>
    <row r="1159">
      <c r="A1159" s="2" t="s">
        <v>1184</v>
      </c>
      <c r="B1159" s="3" t="str">
        <f>HYPERLINK("https://www.suredividend.com/sure-analysis-research-database/","Old Second Bancorporation Inc.")</f>
        <v>Old Second Bancorporation Inc.</v>
      </c>
      <c r="C1159" s="2" t="s">
        <v>22</v>
      </c>
      <c r="D1159" s="4">
        <v>13.36</v>
      </c>
      <c r="E1159" s="5">
        <v>0.013904104976091</v>
      </c>
      <c r="F1159" s="5">
        <v>0.0</v>
      </c>
      <c r="G1159" s="5">
        <v>0.379729661461214</v>
      </c>
      <c r="H1159" s="4">
        <v>0.198133495909297</v>
      </c>
      <c r="I1159" s="4">
        <v>636.945317</v>
      </c>
      <c r="J1159" s="6">
        <v>6.55840069656812</v>
      </c>
      <c r="K1159" s="5">
        <v>0.0925857457520079</v>
      </c>
      <c r="L1159" s="7">
        <v>1.23889053076554</v>
      </c>
      <c r="M1159" s="4">
        <v>17.26</v>
      </c>
      <c r="N1159" s="2">
        <v>10.61</v>
      </c>
    </row>
    <row r="1160">
      <c r="A1160" s="2" t="s">
        <v>1185</v>
      </c>
      <c r="B1160" s="3" t="str">
        <f>HYPERLINK("https://www.suredividend.com/sure-analysis-research-database/","Oscar Health Inc")</f>
        <v>Oscar Health Inc</v>
      </c>
      <c r="C1160" s="2" t="s">
        <v>15</v>
      </c>
      <c r="D1160" s="4">
        <v>13.11</v>
      </c>
      <c r="E1160" s="5">
        <v>0.0</v>
      </c>
      <c r="F1160" s="5" t="s">
        <v>15</v>
      </c>
      <c r="G1160" s="5" t="s">
        <v>15</v>
      </c>
      <c r="H1160" s="4">
        <v>0.0</v>
      </c>
      <c r="I1160" s="4">
        <v>2505.402066</v>
      </c>
      <c r="J1160" s="6" t="s">
        <v>15</v>
      </c>
      <c r="K1160" s="5">
        <v>0.0</v>
      </c>
      <c r="L1160" s="7">
        <v>1.79024350122912</v>
      </c>
      <c r="M1160" s="4">
        <v>13.18</v>
      </c>
      <c r="N1160" s="2">
        <v>3.23</v>
      </c>
    </row>
    <row r="1161">
      <c r="A1161" s="2" t="s">
        <v>1186</v>
      </c>
      <c r="B1161" s="3" t="str">
        <f>HYPERLINK("https://www.suredividend.com/sure-analysis-research-database/","OSI Systems, Inc.")</f>
        <v>OSI Systems, Inc.</v>
      </c>
      <c r="C1161" s="2" t="s">
        <v>40</v>
      </c>
      <c r="D1161" s="4">
        <v>128.26</v>
      </c>
      <c r="E1161" s="5">
        <v>0.0</v>
      </c>
      <c r="F1161" s="5" t="s">
        <v>15</v>
      </c>
      <c r="G1161" s="5" t="s">
        <v>15</v>
      </c>
      <c r="H1161" s="4">
        <v>0.0</v>
      </c>
      <c r="I1161" s="4">
        <v>2221.125984</v>
      </c>
      <c r="J1161" s="6">
        <v>23.7751919687011</v>
      </c>
      <c r="K1161" s="5">
        <v>0.0</v>
      </c>
      <c r="L1161" s="7">
        <v>0.773837710704881</v>
      </c>
      <c r="M1161" s="4">
        <v>139.9</v>
      </c>
      <c r="N1161" s="2">
        <v>89.72</v>
      </c>
    </row>
    <row r="1162">
      <c r="A1162" s="2" t="s">
        <v>1187</v>
      </c>
      <c r="B1162" s="3" t="str">
        <f>HYPERLINK("https://www.suredividend.com/sure-analysis-research-database/","OneSpan Inc")</f>
        <v>OneSpan Inc</v>
      </c>
      <c r="C1162" s="2" t="s">
        <v>40</v>
      </c>
      <c r="D1162" s="4">
        <v>9.71</v>
      </c>
      <c r="E1162" s="5">
        <v>0.0</v>
      </c>
      <c r="F1162" s="5" t="s">
        <v>15</v>
      </c>
      <c r="G1162" s="5" t="s">
        <v>15</v>
      </c>
      <c r="H1162" s="4">
        <v>0.0</v>
      </c>
      <c r="I1162" s="4">
        <v>442.74943</v>
      </c>
      <c r="J1162" s="6" t="s">
        <v>15</v>
      </c>
      <c r="K1162" s="5">
        <v>0.0</v>
      </c>
      <c r="L1162" s="7">
        <v>1.36755087956868</v>
      </c>
      <c r="M1162" s="4">
        <v>19.25</v>
      </c>
      <c r="N1162" s="2">
        <v>7.64</v>
      </c>
    </row>
    <row r="1163">
      <c r="A1163" s="2" t="s">
        <v>1188</v>
      </c>
      <c r="B1163" s="3" t="str">
        <f>HYPERLINK("https://www.suredividend.com/sure-analysis-research-database/","Beyond Inc")</f>
        <v>Beyond Inc</v>
      </c>
      <c r="C1163" s="2" t="s">
        <v>25</v>
      </c>
      <c r="D1163" s="4">
        <v>16.78</v>
      </c>
      <c r="E1163" s="5">
        <v>0.0</v>
      </c>
      <c r="F1163" s="5" t="s">
        <v>15</v>
      </c>
      <c r="G1163" s="5" t="s">
        <v>15</v>
      </c>
      <c r="H1163" s="4">
        <v>0.0</v>
      </c>
      <c r="I1163" s="4">
        <v>1027.969225</v>
      </c>
      <c r="J1163" s="6">
        <v>0.0</v>
      </c>
      <c r="K1163" s="5">
        <v>0.0</v>
      </c>
      <c r="L1163" s="7"/>
      <c r="M1163" s="4" t="s">
        <v>49</v>
      </c>
      <c r="N1163" s="2" t="s">
        <v>49</v>
      </c>
    </row>
    <row r="1164">
      <c r="A1164" s="2" t="s">
        <v>1189</v>
      </c>
      <c r="B1164" s="3" t="str">
        <f>HYPERLINK("https://www.suredividend.com/sure-analysis-research-database/","Orasure Technologies Inc.")</f>
        <v>Orasure Technologies Inc.</v>
      </c>
      <c r="C1164" s="2" t="s">
        <v>30</v>
      </c>
      <c r="D1164" s="4">
        <v>7.36</v>
      </c>
      <c r="E1164" s="5">
        <v>0.0</v>
      </c>
      <c r="F1164" s="5" t="s">
        <v>15</v>
      </c>
      <c r="G1164" s="5" t="s">
        <v>15</v>
      </c>
      <c r="H1164" s="4">
        <v>0.0</v>
      </c>
      <c r="I1164" s="4">
        <v>573.912164</v>
      </c>
      <c r="J1164" s="6">
        <v>11.678173618753</v>
      </c>
      <c r="K1164" s="5">
        <v>0.0</v>
      </c>
      <c r="L1164" s="7">
        <v>0.96559451116909</v>
      </c>
      <c r="M1164" s="4">
        <v>8.45</v>
      </c>
      <c r="N1164" s="2">
        <v>4.38</v>
      </c>
    </row>
    <row r="1165">
      <c r="A1165" s="2" t="s">
        <v>1190</v>
      </c>
      <c r="B1165" s="3" t="str">
        <f>HYPERLINK("https://www.suredividend.com/sure-analysis-research-database/","OneSpaWorld Holdings Limited")</f>
        <v>OneSpaWorld Holdings Limited</v>
      </c>
      <c r="C1165" s="2" t="s">
        <v>25</v>
      </c>
      <c r="D1165" s="4">
        <v>13.8</v>
      </c>
      <c r="E1165" s="5">
        <v>0.0</v>
      </c>
      <c r="F1165" s="5" t="s">
        <v>15</v>
      </c>
      <c r="G1165" s="5" t="s">
        <v>15</v>
      </c>
      <c r="H1165" s="4">
        <v>0.0</v>
      </c>
      <c r="I1165" s="4">
        <v>1376.771293</v>
      </c>
      <c r="J1165" s="6">
        <v>0.0</v>
      </c>
      <c r="K1165" s="5" t="s">
        <v>15</v>
      </c>
      <c r="L1165" s="7">
        <v>0.745694954328492</v>
      </c>
      <c r="M1165" s="4">
        <v>14.67</v>
      </c>
      <c r="N1165" s="2">
        <v>9.82</v>
      </c>
    </row>
    <row r="1166">
      <c r="A1166" s="2" t="s">
        <v>1191</v>
      </c>
      <c r="B1166" s="3" t="str">
        <f>HYPERLINK("https://www.suredividend.com/sure-analysis-research-database/","Outlook Therapeutics Inc")</f>
        <v>Outlook Therapeutics Inc</v>
      </c>
      <c r="C1166" s="2" t="s">
        <v>30</v>
      </c>
      <c r="D1166" s="4">
        <v>0.3564</v>
      </c>
      <c r="E1166" s="5">
        <v>0.0</v>
      </c>
      <c r="F1166" s="5" t="s">
        <v>15</v>
      </c>
      <c r="G1166" s="5" t="s">
        <v>15</v>
      </c>
      <c r="H1166" s="4">
        <v>0.0</v>
      </c>
      <c r="I1166" s="4">
        <v>116.178956</v>
      </c>
      <c r="J1166" s="6" t="s">
        <v>15</v>
      </c>
      <c r="K1166" s="5">
        <v>0.0</v>
      </c>
      <c r="L1166" s="7">
        <v>0.551800157500861</v>
      </c>
      <c r="M1166" s="4">
        <v>2.03</v>
      </c>
      <c r="N1166" s="2">
        <v>0.2002</v>
      </c>
    </row>
    <row r="1167">
      <c r="A1167" s="2" t="s">
        <v>1192</v>
      </c>
      <c r="B1167" s="3" t="str">
        <f>HYPERLINK("https://www.suredividend.com/sure-analysis-OTTR/","Otter Tail Corporation")</f>
        <v>Otter Tail Corporation</v>
      </c>
      <c r="C1167" s="2" t="s">
        <v>91</v>
      </c>
      <c r="D1167" s="4">
        <v>92.21</v>
      </c>
      <c r="E1167" s="5">
        <v>0.0189784188265914</v>
      </c>
      <c r="F1167" s="5">
        <v>0.0606060606060605</v>
      </c>
      <c r="G1167" s="5">
        <v>0.0456395525912731</v>
      </c>
      <c r="H1167" s="4">
        <v>1.72451900603535</v>
      </c>
      <c r="I1167" s="4">
        <v>3791.069254</v>
      </c>
      <c r="J1167" s="6">
        <v>13.6159281313728</v>
      </c>
      <c r="K1167" s="5">
        <v>0.260108447365815</v>
      </c>
      <c r="L1167" s="7">
        <v>0.652339476930416</v>
      </c>
      <c r="M1167" s="4">
        <v>91.58</v>
      </c>
      <c r="N1167" s="2">
        <v>58.62</v>
      </c>
    </row>
    <row r="1168">
      <c r="A1168" s="2" t="s">
        <v>1193</v>
      </c>
      <c r="B1168" s="3" t="str">
        <f>HYPERLINK("https://www.suredividend.com/sure-analysis-research-database/","Ouster Inc")</f>
        <v>Ouster Inc</v>
      </c>
      <c r="C1168" s="2" t="s">
        <v>15</v>
      </c>
      <c r="D1168" s="4">
        <v>4.71</v>
      </c>
      <c r="E1168" s="5">
        <v>0.0</v>
      </c>
      <c r="F1168" s="5" t="s">
        <v>15</v>
      </c>
      <c r="G1168" s="5" t="s">
        <v>15</v>
      </c>
      <c r="H1168" s="4">
        <v>0.0</v>
      </c>
      <c r="I1168" s="4">
        <v>241.712203</v>
      </c>
      <c r="J1168" s="6" t="s">
        <v>15</v>
      </c>
      <c r="K1168" s="5">
        <v>0.0</v>
      </c>
      <c r="L1168" s="7">
        <v>2.99972732369949</v>
      </c>
      <c r="M1168" s="4">
        <v>19.2</v>
      </c>
      <c r="N1168" s="2">
        <v>3.21</v>
      </c>
    </row>
    <row r="1169">
      <c r="A1169" s="2" t="s">
        <v>1194</v>
      </c>
      <c r="B1169" s="3" t="str">
        <f>HYPERLINK("https://www.suredividend.com/sure-analysis-research-database/","Outfront Media Inc")</f>
        <v>Outfront Media Inc</v>
      </c>
      <c r="C1169" s="2" t="s">
        <v>20</v>
      </c>
      <c r="D1169" s="4">
        <v>12.73</v>
      </c>
      <c r="E1169" s="5">
        <v>0.083118742178938</v>
      </c>
      <c r="F1169" s="5" t="s">
        <v>15</v>
      </c>
      <c r="G1169" s="5" t="s">
        <v>15</v>
      </c>
      <c r="H1169" s="4">
        <v>1.15784407855261</v>
      </c>
      <c r="I1169" s="4">
        <v>2299.140454</v>
      </c>
      <c r="J1169" s="6" t="s">
        <v>15</v>
      </c>
      <c r="K1169" s="5" t="s">
        <v>15</v>
      </c>
      <c r="L1169" s="7">
        <v>1.84456264956346</v>
      </c>
      <c r="M1169" s="4">
        <v>19.82</v>
      </c>
      <c r="N1169" s="2">
        <v>7.99</v>
      </c>
    </row>
    <row r="1170">
      <c r="A1170" s="2" t="s">
        <v>1195</v>
      </c>
      <c r="B1170" s="3" t="str">
        <f>HYPERLINK("https://www.suredividend.com/sure-analysis-research-database/","Oxford Industries, Inc.")</f>
        <v>Oxford Industries, Inc.</v>
      </c>
      <c r="C1170" s="2" t="s">
        <v>25</v>
      </c>
      <c r="D1170" s="4">
        <v>95.87</v>
      </c>
      <c r="E1170" s="5">
        <v>0.025982222080572</v>
      </c>
      <c r="F1170" s="5">
        <v>0.181818181818181</v>
      </c>
      <c r="G1170" s="5">
        <v>0.119289234106361</v>
      </c>
      <c r="H1170" s="4">
        <v>2.57379891930147</v>
      </c>
      <c r="I1170" s="4">
        <v>1547.82201</v>
      </c>
      <c r="J1170" s="6">
        <v>10.1282669364358</v>
      </c>
      <c r="K1170" s="5">
        <v>0.268944505674135</v>
      </c>
      <c r="L1170" s="7">
        <v>1.12039699666635</v>
      </c>
      <c r="M1170" s="4">
        <v>120.14</v>
      </c>
      <c r="N1170" s="2">
        <v>81.77</v>
      </c>
    </row>
    <row r="1171">
      <c r="A1171" s="2" t="s">
        <v>1196</v>
      </c>
      <c r="B1171" s="3" t="str">
        <f>HYPERLINK("https://www.suredividend.com/sure-analysis-research-database/","Pacific Biosciences of California Inc")</f>
        <v>Pacific Biosciences of California Inc</v>
      </c>
      <c r="C1171" s="2" t="s">
        <v>30</v>
      </c>
      <c r="D1171" s="4">
        <v>6.44</v>
      </c>
      <c r="E1171" s="5">
        <v>0.0</v>
      </c>
      <c r="F1171" s="5" t="s">
        <v>15</v>
      </c>
      <c r="G1171" s="5" t="s">
        <v>15</v>
      </c>
      <c r="H1171" s="4">
        <v>0.0</v>
      </c>
      <c r="I1171" s="4">
        <v>1979.084764</v>
      </c>
      <c r="J1171" s="6" t="s">
        <v>15</v>
      </c>
      <c r="K1171" s="5">
        <v>0.0</v>
      </c>
      <c r="L1171" s="7">
        <v>2.43701286913215</v>
      </c>
      <c r="M1171" s="4">
        <v>14.55</v>
      </c>
      <c r="N1171" s="2">
        <v>5.74</v>
      </c>
    </row>
    <row r="1172">
      <c r="A1172" s="2" t="s">
        <v>1197</v>
      </c>
      <c r="B1172" s="3" t="str">
        <f>HYPERLINK("https://www.suredividend.com/sure-analysis-research-database/","Ranpak Holdings Corp")</f>
        <v>Ranpak Holdings Corp</v>
      </c>
      <c r="C1172" s="2" t="s">
        <v>25</v>
      </c>
      <c r="D1172" s="4">
        <v>4.23</v>
      </c>
      <c r="E1172" s="5">
        <v>0.0</v>
      </c>
      <c r="F1172" s="5" t="s">
        <v>15</v>
      </c>
      <c r="G1172" s="5" t="s">
        <v>15</v>
      </c>
      <c r="H1172" s="4">
        <v>0.0</v>
      </c>
      <c r="I1172" s="4">
        <v>369.734549</v>
      </c>
      <c r="J1172" s="6">
        <v>0.0</v>
      </c>
      <c r="K1172" s="5" t="s">
        <v>15</v>
      </c>
      <c r="L1172" s="7">
        <v>2.06387278221481</v>
      </c>
      <c r="M1172" s="4">
        <v>8.24</v>
      </c>
      <c r="N1172" s="2">
        <v>2.63</v>
      </c>
    </row>
    <row r="1173">
      <c r="A1173" s="2" t="s">
        <v>1198</v>
      </c>
      <c r="B1173" s="3" t="str">
        <f>HYPERLINK("https://www.suredividend.com/sure-analysis-research-database/","Phibro Animal Health Corp.")</f>
        <v>Phibro Animal Health Corp.</v>
      </c>
      <c r="C1173" s="2" t="s">
        <v>30</v>
      </c>
      <c r="D1173" s="4">
        <v>10.72</v>
      </c>
      <c r="E1173" s="5">
        <v>0.040032906499842</v>
      </c>
      <c r="F1173" s="5">
        <v>0.0</v>
      </c>
      <c r="G1173" s="5">
        <v>0.0</v>
      </c>
      <c r="H1173" s="4">
        <v>0.466783689788161</v>
      </c>
      <c r="I1173" s="4">
        <v>237.136113</v>
      </c>
      <c r="J1173" s="6">
        <v>11.4365137612732</v>
      </c>
      <c r="K1173" s="5">
        <v>0.911864992748898</v>
      </c>
      <c r="L1173" s="7">
        <v>1.02225826624087</v>
      </c>
      <c r="M1173" s="4">
        <v>15.73</v>
      </c>
      <c r="N1173" s="2">
        <v>9.18</v>
      </c>
    </row>
    <row r="1174">
      <c r="A1174" s="2" t="s">
        <v>1199</v>
      </c>
      <c r="B1174" s="3" t="str">
        <f>HYPERLINK("https://www.suredividend.com/sure-analysis-research-database/","Par Technology Corp.")</f>
        <v>Par Technology Corp.</v>
      </c>
      <c r="C1174" s="2" t="s">
        <v>40</v>
      </c>
      <c r="D1174" s="4">
        <v>45.26</v>
      </c>
      <c r="E1174" s="5">
        <v>0.0</v>
      </c>
      <c r="F1174" s="5" t="s">
        <v>15</v>
      </c>
      <c r="G1174" s="5" t="s">
        <v>15</v>
      </c>
      <c r="H1174" s="4">
        <v>0.0</v>
      </c>
      <c r="I1174" s="4">
        <v>1355.117515</v>
      </c>
      <c r="J1174" s="6" t="s">
        <v>15</v>
      </c>
      <c r="K1174" s="5">
        <v>0.0</v>
      </c>
      <c r="L1174" s="7">
        <v>2.06717493559572</v>
      </c>
      <c r="M1174" s="4">
        <v>49.84</v>
      </c>
      <c r="N1174" s="2">
        <v>24.76</v>
      </c>
    </row>
    <row r="1175">
      <c r="A1175" s="2" t="s">
        <v>1200</v>
      </c>
      <c r="B1175" s="3" t="str">
        <f>HYPERLINK("https://www.suredividend.com/sure-analysis-research-database/","Par Pacific Holdings Inc")</f>
        <v>Par Pacific Holdings Inc</v>
      </c>
      <c r="C1175" s="2" t="s">
        <v>125</v>
      </c>
      <c r="D1175" s="4">
        <v>37.14</v>
      </c>
      <c r="E1175" s="5">
        <v>0.0</v>
      </c>
      <c r="F1175" s="5" t="s">
        <v>15</v>
      </c>
      <c r="G1175" s="5" t="s">
        <v>15</v>
      </c>
      <c r="H1175" s="4">
        <v>0.0</v>
      </c>
      <c r="I1175" s="4">
        <v>2147.133572</v>
      </c>
      <c r="J1175" s="6">
        <v>4.0972938403586</v>
      </c>
      <c r="K1175" s="5">
        <v>0.0</v>
      </c>
      <c r="L1175" s="7">
        <v>0.744851447958789</v>
      </c>
      <c r="M1175" s="4">
        <v>37.5</v>
      </c>
      <c r="N1175" s="2">
        <v>20.3</v>
      </c>
    </row>
    <row r="1176">
      <c r="A1176" s="2" t="s">
        <v>1201</v>
      </c>
      <c r="B1176" s="3" t="str">
        <f>HYPERLINK("https://www.suredividend.com/sure-analysis-research-database/","Patrick Industries, Inc.")</f>
        <v>Patrick Industries, Inc.</v>
      </c>
      <c r="C1176" s="2" t="s">
        <v>17</v>
      </c>
      <c r="D1176" s="4">
        <v>100.91</v>
      </c>
      <c r="E1176" s="5">
        <v>0.017972085879548</v>
      </c>
      <c r="F1176" s="5" t="s">
        <v>15</v>
      </c>
      <c r="G1176" s="5" t="s">
        <v>15</v>
      </c>
      <c r="H1176" s="4">
        <v>1.86999553576699</v>
      </c>
      <c r="I1176" s="4">
        <v>2303.078493</v>
      </c>
      <c r="J1176" s="6">
        <v>15.1259588414554</v>
      </c>
      <c r="K1176" s="5">
        <v>0.277447408867506</v>
      </c>
      <c r="L1176" s="7">
        <v>1.50423670293989</v>
      </c>
      <c r="M1176" s="4">
        <v>104.33</v>
      </c>
      <c r="N1176" s="2">
        <v>61.69</v>
      </c>
    </row>
    <row r="1177">
      <c r="A1177" s="2" t="s">
        <v>1202</v>
      </c>
      <c r="B1177" s="3" t="str">
        <f>HYPERLINK("https://www.suredividend.com/sure-analysis-research-database/","Payoneer Global Inc")</f>
        <v>Payoneer Global Inc</v>
      </c>
      <c r="C1177" s="2" t="s">
        <v>15</v>
      </c>
      <c r="D1177" s="4">
        <v>4.82</v>
      </c>
      <c r="E1177" s="5">
        <v>0.0</v>
      </c>
      <c r="F1177" s="5" t="s">
        <v>15</v>
      </c>
      <c r="G1177" s="5" t="s">
        <v>15</v>
      </c>
      <c r="H1177" s="4">
        <v>0.0</v>
      </c>
      <c r="I1177" s="4">
        <v>1776.479583</v>
      </c>
      <c r="J1177" s="6">
        <v>31.6319079573013</v>
      </c>
      <c r="K1177" s="5">
        <v>0.0</v>
      </c>
      <c r="L1177" s="7">
        <v>1.48130948802826</v>
      </c>
      <c r="M1177" s="4">
        <v>7.05</v>
      </c>
      <c r="N1177" s="2">
        <v>4.02</v>
      </c>
    </row>
    <row r="1178">
      <c r="A1178" s="2" t="s">
        <v>1203</v>
      </c>
      <c r="B1178" s="3" t="str">
        <f>HYPERLINK("https://www.suredividend.com/sure-analysis-research-database/","PBF Energy Inc")</f>
        <v>PBF Energy Inc</v>
      </c>
      <c r="C1178" s="2" t="s">
        <v>125</v>
      </c>
      <c r="D1178" s="4">
        <v>50.72</v>
      </c>
      <c r="E1178" s="5">
        <v>0.0172528487402</v>
      </c>
      <c r="F1178" s="5" t="s">
        <v>15</v>
      </c>
      <c r="G1178" s="5" t="s">
        <v>15</v>
      </c>
      <c r="H1178" s="4">
        <v>0.843836831883219</v>
      </c>
      <c r="I1178" s="4">
        <v>5976.857073</v>
      </c>
      <c r="J1178" s="6">
        <v>2.11442921875685</v>
      </c>
      <c r="K1178" s="5">
        <v>0.0395239733903147</v>
      </c>
      <c r="L1178" s="7">
        <v>0.756099531155226</v>
      </c>
      <c r="M1178" s="4">
        <v>56.06</v>
      </c>
      <c r="N1178" s="2">
        <v>30.78</v>
      </c>
    </row>
    <row r="1179">
      <c r="A1179" s="2" t="s">
        <v>1204</v>
      </c>
      <c r="B1179" s="3" t="str">
        <f>HYPERLINK("https://www.suredividend.com/sure-analysis-research-database/","Pioneer Bancorp Inc")</f>
        <v>Pioneer Bancorp Inc</v>
      </c>
      <c r="C1179" s="2" t="s">
        <v>22</v>
      </c>
      <c r="D1179" s="4">
        <v>9.61</v>
      </c>
      <c r="E1179" s="5">
        <v>0.0</v>
      </c>
      <c r="F1179" s="5" t="s">
        <v>15</v>
      </c>
      <c r="G1179" s="5" t="s">
        <v>15</v>
      </c>
      <c r="H1179" s="4">
        <v>0.0</v>
      </c>
      <c r="I1179" s="4">
        <v>269.388531</v>
      </c>
      <c r="J1179" s="6">
        <v>0.0</v>
      </c>
      <c r="K1179" s="5" t="s">
        <v>15</v>
      </c>
      <c r="L1179" s="7">
        <v>0.580571631127591</v>
      </c>
      <c r="M1179" s="4">
        <v>11.88</v>
      </c>
      <c r="N1179" s="2">
        <v>7.81</v>
      </c>
    </row>
    <row r="1180">
      <c r="A1180" s="2" t="s">
        <v>1205</v>
      </c>
      <c r="B1180" s="3" t="str">
        <f>HYPERLINK("https://www.suredividend.com/sure-analysis-research-database/","Prestige Consumer Healthcare Inc")</f>
        <v>Prestige Consumer Healthcare Inc</v>
      </c>
      <c r="C1180" s="2" t="s">
        <v>30</v>
      </c>
      <c r="D1180" s="4">
        <v>61.84</v>
      </c>
      <c r="E1180" s="5">
        <v>0.0</v>
      </c>
      <c r="F1180" s="5" t="s">
        <v>15</v>
      </c>
      <c r="G1180" s="5" t="s">
        <v>15</v>
      </c>
      <c r="H1180" s="4">
        <v>0.0</v>
      </c>
      <c r="I1180" s="4">
        <v>3150.780148</v>
      </c>
      <c r="J1180" s="6" t="s">
        <v>15</v>
      </c>
      <c r="K1180" s="5">
        <v>0.0</v>
      </c>
      <c r="L1180" s="7">
        <v>0.391254668449142</v>
      </c>
      <c r="M1180" s="4">
        <v>68.54</v>
      </c>
      <c r="N1180" s="2">
        <v>55.96</v>
      </c>
    </row>
    <row r="1181">
      <c r="A1181" s="2" t="s">
        <v>1206</v>
      </c>
      <c r="B1181" s="3" t="str">
        <f>HYPERLINK("https://www.suredividend.com/sure-analysis-research-database/","Pitney Bowes, Inc.")</f>
        <v>Pitney Bowes, Inc.</v>
      </c>
      <c r="C1181" s="2" t="s">
        <v>17</v>
      </c>
      <c r="D1181" s="4">
        <v>3.74</v>
      </c>
      <c r="E1181" s="5">
        <v>0.044739668633155</v>
      </c>
      <c r="F1181" s="5">
        <v>0.0</v>
      </c>
      <c r="G1181" s="5">
        <v>0.0</v>
      </c>
      <c r="H1181" s="4">
        <v>0.195959748613218</v>
      </c>
      <c r="I1181" s="4">
        <v>772.330814</v>
      </c>
      <c r="J1181" s="6" t="s">
        <v>15</v>
      </c>
      <c r="K1181" s="5" t="s">
        <v>15</v>
      </c>
      <c r="L1181" s="7">
        <v>1.59697393649374</v>
      </c>
      <c r="M1181" s="4">
        <v>4.58</v>
      </c>
      <c r="N1181" s="2">
        <v>2.71</v>
      </c>
    </row>
    <row r="1182">
      <c r="A1182" s="2" t="s">
        <v>1207</v>
      </c>
      <c r="B1182" s="3" t="str">
        <f>HYPERLINK("https://www.suredividend.com/sure-analysis-research-database/","PCB Bancorp.")</f>
        <v>PCB Bancorp.</v>
      </c>
      <c r="C1182" s="2" t="s">
        <v>22</v>
      </c>
      <c r="D1182" s="4">
        <v>16.57</v>
      </c>
      <c r="E1182" s="5">
        <v>0.038398940967029</v>
      </c>
      <c r="F1182" s="5">
        <v>0.199999999999999</v>
      </c>
      <c r="G1182" s="5">
        <v>0.291994009955633</v>
      </c>
      <c r="H1182" s="4">
        <v>0.675053382200381</v>
      </c>
      <c r="I1182" s="4">
        <v>250.679197</v>
      </c>
      <c r="J1182" s="6">
        <v>7.48318448908922</v>
      </c>
      <c r="K1182" s="5">
        <v>0.293501470521904</v>
      </c>
      <c r="L1182" s="7">
        <v>0.956231960306251</v>
      </c>
      <c r="M1182" s="4">
        <v>19.04</v>
      </c>
      <c r="N1182" s="2">
        <v>12.27</v>
      </c>
    </row>
    <row r="1183">
      <c r="A1183" s="2" t="s">
        <v>1208</v>
      </c>
      <c r="B1183" s="3" t="str">
        <f>HYPERLINK("https://www.suredividend.com/sure-analysis-research-database/","PotlatchDeltic Corp")</f>
        <v>PotlatchDeltic Corp</v>
      </c>
      <c r="C1183" s="2" t="s">
        <v>20</v>
      </c>
      <c r="D1183" s="4">
        <v>44.28</v>
      </c>
      <c r="E1183" s="5">
        <v>0.038069934358794</v>
      </c>
      <c r="F1183" s="5">
        <v>-0.526315789473684</v>
      </c>
      <c r="G1183" s="5">
        <v>0.0238362555396096</v>
      </c>
      <c r="H1183" s="4">
        <v>1.75235907853532</v>
      </c>
      <c r="I1183" s="4">
        <v>3678.316126</v>
      </c>
      <c r="J1183" s="6">
        <v>55.6612209663458</v>
      </c>
      <c r="K1183" s="5">
        <v>2.1320830740179</v>
      </c>
      <c r="L1183" s="7">
        <v>0.972692068968091</v>
      </c>
      <c r="M1183" s="4">
        <v>52.34</v>
      </c>
      <c r="N1183" s="2">
        <v>40.5</v>
      </c>
    </row>
    <row r="1184">
      <c r="A1184" s="2" t="s">
        <v>1209</v>
      </c>
      <c r="B1184" s="3" t="str">
        <f>HYPERLINK("https://www.suredividend.com/sure-analysis-research-database/","Pacira BioSciences Inc")</f>
        <v>Pacira BioSciences Inc</v>
      </c>
      <c r="C1184" s="2" t="s">
        <v>30</v>
      </c>
      <c r="D1184" s="4">
        <v>31.14</v>
      </c>
      <c r="E1184" s="5">
        <v>0.0</v>
      </c>
      <c r="F1184" s="5" t="s">
        <v>15</v>
      </c>
      <c r="G1184" s="5" t="s">
        <v>15</v>
      </c>
      <c r="H1184" s="4">
        <v>0.0</v>
      </c>
      <c r="I1184" s="4">
        <v>1507.832249</v>
      </c>
      <c r="J1184" s="6">
        <v>215.929005997422</v>
      </c>
      <c r="K1184" s="5">
        <v>0.0</v>
      </c>
      <c r="L1184" s="7">
        <v>0.811764835516977</v>
      </c>
      <c r="M1184" s="4">
        <v>48.6</v>
      </c>
      <c r="N1184" s="2">
        <v>25.93</v>
      </c>
    </row>
    <row r="1185">
      <c r="A1185" s="2" t="s">
        <v>1210</v>
      </c>
      <c r="B1185" s="3" t="str">
        <f>HYPERLINK("https://www.suredividend.com/sure-analysis-research-database/","PureCycle Technologies Inc")</f>
        <v>PureCycle Technologies Inc</v>
      </c>
      <c r="C1185" s="2" t="s">
        <v>15</v>
      </c>
      <c r="D1185" s="4">
        <v>4.6</v>
      </c>
      <c r="E1185" s="5">
        <v>0.0</v>
      </c>
      <c r="F1185" s="5" t="s">
        <v>15</v>
      </c>
      <c r="G1185" s="5" t="s">
        <v>15</v>
      </c>
      <c r="H1185" s="4">
        <v>0.0</v>
      </c>
      <c r="I1185" s="4">
        <v>687.408513</v>
      </c>
      <c r="J1185" s="6">
        <v>0.0</v>
      </c>
      <c r="K1185" s="5" t="s">
        <v>15</v>
      </c>
      <c r="L1185" s="7">
        <v>2.2671947063425</v>
      </c>
      <c r="M1185" s="4">
        <v>11.89</v>
      </c>
      <c r="N1185" s="2">
        <v>2.38</v>
      </c>
    </row>
    <row r="1186">
      <c r="A1186" s="2" t="s">
        <v>1211</v>
      </c>
      <c r="B1186" s="3" t="str">
        <f>HYPERLINK("https://www.suredividend.com/sure-analysis-research-database/","Vaxcyte Inc")</f>
        <v>Vaxcyte Inc</v>
      </c>
      <c r="C1186" s="2" t="s">
        <v>15</v>
      </c>
      <c r="D1186" s="4">
        <v>74.15</v>
      </c>
      <c r="E1186" s="5">
        <v>0.0</v>
      </c>
      <c r="F1186" s="5" t="s">
        <v>15</v>
      </c>
      <c r="G1186" s="5" t="s">
        <v>15</v>
      </c>
      <c r="H1186" s="4">
        <v>0.0</v>
      </c>
      <c r="I1186" s="4">
        <v>6518.042767</v>
      </c>
      <c r="J1186" s="6">
        <v>0.0</v>
      </c>
      <c r="K1186" s="5" t="s">
        <v>15</v>
      </c>
      <c r="L1186" s="7">
        <v>0.697878473003815</v>
      </c>
      <c r="M1186" s="4">
        <v>68.73</v>
      </c>
      <c r="N1186" s="2">
        <v>34.11</v>
      </c>
    </row>
    <row r="1187">
      <c r="A1187" s="2" t="s">
        <v>1212</v>
      </c>
      <c r="B1187" s="3" t="str">
        <f>HYPERLINK("https://www.suredividend.com/sure-analysis-research-database/","Pure Cycle Corp.")</f>
        <v>Pure Cycle Corp.</v>
      </c>
      <c r="C1187" s="2" t="s">
        <v>91</v>
      </c>
      <c r="D1187" s="4">
        <v>9.78</v>
      </c>
      <c r="E1187" s="5">
        <v>0.0</v>
      </c>
      <c r="F1187" s="5" t="s">
        <v>15</v>
      </c>
      <c r="G1187" s="5" t="s">
        <v>15</v>
      </c>
      <c r="H1187" s="4">
        <v>0.0</v>
      </c>
      <c r="I1187" s="4">
        <v>247.549575</v>
      </c>
      <c r="J1187" s="6">
        <v>0.0</v>
      </c>
      <c r="K1187" s="5" t="s">
        <v>15</v>
      </c>
      <c r="L1187" s="7">
        <v>0.725749225579284</v>
      </c>
      <c r="M1187" s="4">
        <v>13.07</v>
      </c>
      <c r="N1187" s="2">
        <v>8.47</v>
      </c>
    </row>
    <row r="1188">
      <c r="A1188" s="2" t="s">
        <v>1213</v>
      </c>
      <c r="B1188" s="3" t="str">
        <f>HYPERLINK("https://www.suredividend.com/sure-analysis-research-database/","Pagerduty Inc")</f>
        <v>Pagerduty Inc</v>
      </c>
      <c r="C1188" s="2" t="s">
        <v>40</v>
      </c>
      <c r="D1188" s="4">
        <v>23.48</v>
      </c>
      <c r="E1188" s="5">
        <v>0.0</v>
      </c>
      <c r="F1188" s="5" t="s">
        <v>15</v>
      </c>
      <c r="G1188" s="5" t="s">
        <v>15</v>
      </c>
      <c r="H1188" s="4">
        <v>0.0</v>
      </c>
      <c r="I1188" s="4">
        <v>2290.724661</v>
      </c>
      <c r="J1188" s="6" t="s">
        <v>15</v>
      </c>
      <c r="K1188" s="5">
        <v>0.0</v>
      </c>
      <c r="L1188" s="7">
        <v>1.75685886665073</v>
      </c>
      <c r="M1188" s="4">
        <v>35.33</v>
      </c>
      <c r="N1188" s="2">
        <v>19.18</v>
      </c>
    </row>
    <row r="1189">
      <c r="A1189" s="2" t="s">
        <v>1214</v>
      </c>
      <c r="B1189" s="3" t="str">
        <f>HYPERLINK("https://www.suredividend.com/sure-analysis-PDCO/","Patterson Companies Inc.")</f>
        <v>Patterson Companies Inc.</v>
      </c>
      <c r="C1189" s="2" t="s">
        <v>30</v>
      </c>
      <c r="D1189" s="4">
        <v>29.12</v>
      </c>
      <c r="E1189" s="5">
        <v>0.0357142857142857</v>
      </c>
      <c r="F1189" s="5">
        <v>0.0</v>
      </c>
      <c r="G1189" s="5">
        <v>0.0</v>
      </c>
      <c r="H1189" s="4">
        <v>1.02049693094138</v>
      </c>
      <c r="I1189" s="4">
        <v>2784.46305</v>
      </c>
      <c r="J1189" s="6">
        <v>13.9163312275721</v>
      </c>
      <c r="K1189" s="5">
        <v>0.492993686445111</v>
      </c>
      <c r="L1189" s="7">
        <v>0.726177227548283</v>
      </c>
      <c r="M1189" s="4">
        <v>33.65</v>
      </c>
      <c r="N1189" s="2">
        <v>23.89</v>
      </c>
    </row>
    <row r="1190">
      <c r="A1190" s="2" t="s">
        <v>1215</v>
      </c>
      <c r="B1190" s="3" t="str">
        <f>HYPERLINK("https://www.suredividend.com/sure-analysis-research-database/","PDF Solutions Inc.")</f>
        <v>PDF Solutions Inc.</v>
      </c>
      <c r="C1190" s="2" t="s">
        <v>40</v>
      </c>
      <c r="D1190" s="4">
        <v>31.7</v>
      </c>
      <c r="E1190" s="5">
        <v>0.0</v>
      </c>
      <c r="F1190" s="5" t="s">
        <v>15</v>
      </c>
      <c r="G1190" s="5" t="s">
        <v>15</v>
      </c>
      <c r="H1190" s="4">
        <v>0.0</v>
      </c>
      <c r="I1190" s="4">
        <v>1253.942</v>
      </c>
      <c r="J1190" s="6">
        <v>464.251018141429</v>
      </c>
      <c r="K1190" s="5">
        <v>0.0</v>
      </c>
      <c r="L1190" s="7">
        <v>1.2634282566592</v>
      </c>
      <c r="M1190" s="4">
        <v>48.02</v>
      </c>
      <c r="N1190" s="2">
        <v>26.12</v>
      </c>
    </row>
    <row r="1191">
      <c r="A1191" s="2" t="s">
        <v>1216</v>
      </c>
      <c r="B1191" s="3" t="str">
        <f>HYPERLINK("https://www.suredividend.com/sure-analysis-research-database/","PDL Biopharma Inc")</f>
        <v>PDL Biopharma Inc</v>
      </c>
      <c r="C1191" s="2" t="s">
        <v>30</v>
      </c>
      <c r="D1191" s="4">
        <v>2.47</v>
      </c>
      <c r="E1191" s="5">
        <v>0.0</v>
      </c>
      <c r="F1191" s="5" t="s">
        <v>15</v>
      </c>
      <c r="G1191" s="5" t="s">
        <v>15</v>
      </c>
      <c r="H1191" s="4">
        <v>0.075879000127315</v>
      </c>
      <c r="I1191" s="4">
        <v>0.0</v>
      </c>
      <c r="J1191" s="6">
        <v>0.0</v>
      </c>
      <c r="K1191" s="5" t="s">
        <v>15</v>
      </c>
      <c r="L1191" s="7"/>
      <c r="M1191" s="4" t="s">
        <v>49</v>
      </c>
      <c r="N1191" s="2" t="s">
        <v>49</v>
      </c>
    </row>
    <row r="1192">
      <c r="A1192" s="2" t="s">
        <v>1217</v>
      </c>
      <c r="B1192" s="3" t="str">
        <f>HYPERLINK("https://www.suredividend.com/sure-analysis-PDM/","Piedmont Office Realty Trust Inc")</f>
        <v>Piedmont Office Realty Trust Inc</v>
      </c>
      <c r="C1192" s="2" t="s">
        <v>20</v>
      </c>
      <c r="D1192" s="4">
        <v>6.51</v>
      </c>
      <c r="E1192" s="5">
        <v>0.0768049155145929</v>
      </c>
      <c r="F1192" s="5">
        <v>-0.404761904761904</v>
      </c>
      <c r="G1192" s="5">
        <v>-0.0985572635745805</v>
      </c>
      <c r="H1192" s="4">
        <v>0.644540436454134</v>
      </c>
      <c r="I1192" s="4">
        <v>916.716464</v>
      </c>
      <c r="J1192" s="6">
        <v>16.6035728542708</v>
      </c>
      <c r="K1192" s="5">
        <v>1.44224756422943</v>
      </c>
      <c r="L1192" s="7">
        <v>1.79877024673337</v>
      </c>
      <c r="M1192" s="4">
        <v>10.34</v>
      </c>
      <c r="N1192" s="2">
        <v>4.81</v>
      </c>
    </row>
    <row r="1193">
      <c r="A1193" s="2" t="s">
        <v>1218</v>
      </c>
      <c r="B1193" s="3" t="str">
        <f>HYPERLINK("https://www.suredividend.com/sure-analysis-research-database/","Pebblebrook Hotel Trust")</f>
        <v>Pebblebrook Hotel Trust</v>
      </c>
      <c r="C1193" s="2" t="s">
        <v>20</v>
      </c>
      <c r="D1193" s="4">
        <v>15.09</v>
      </c>
      <c r="E1193" s="5">
        <v>0.00252588329407</v>
      </c>
      <c r="F1193" s="5">
        <v>0.0</v>
      </c>
      <c r="G1193" s="5">
        <v>-0.516893055157385</v>
      </c>
      <c r="H1193" s="4">
        <v>0.039959473712191</v>
      </c>
      <c r="I1193" s="4">
        <v>1906.339441</v>
      </c>
      <c r="J1193" s="6" t="s">
        <v>15</v>
      </c>
      <c r="K1193" s="5" t="s">
        <v>15</v>
      </c>
      <c r="L1193" s="7">
        <v>1.5506054597979</v>
      </c>
      <c r="M1193" s="4">
        <v>17.33</v>
      </c>
      <c r="N1193" s="2">
        <v>11.38</v>
      </c>
    </row>
    <row r="1194">
      <c r="A1194" s="2" t="s">
        <v>1219</v>
      </c>
      <c r="B1194" s="3" t="str">
        <f>HYPERLINK("https://www.suredividend.com/sure-analysis-research-database/","Peoples Bancorp, Inc. (Marietta, OH)")</f>
        <v>Peoples Bancorp, Inc. (Marietta, OH)</v>
      </c>
      <c r="C1194" s="2" t="s">
        <v>22</v>
      </c>
      <c r="D1194" s="4">
        <v>28.24</v>
      </c>
      <c r="E1194" s="5">
        <v>0.048455683386606</v>
      </c>
      <c r="F1194" s="5" t="s">
        <v>15</v>
      </c>
      <c r="G1194" s="5" t="s">
        <v>15</v>
      </c>
      <c r="H1194" s="4">
        <v>1.48613580946723</v>
      </c>
      <c r="I1194" s="4">
        <v>1084.621548</v>
      </c>
      <c r="J1194" s="6">
        <v>10.2760975811952</v>
      </c>
      <c r="K1194" s="5">
        <v>0.434542634347144</v>
      </c>
      <c r="L1194" s="7">
        <v>0.941613967569517</v>
      </c>
      <c r="M1194" s="4">
        <v>34.85</v>
      </c>
      <c r="N1194" s="2">
        <v>21.61</v>
      </c>
    </row>
    <row r="1195">
      <c r="A1195" s="2" t="s">
        <v>1220</v>
      </c>
      <c r="B1195" s="3" t="str">
        <f>HYPERLINK("https://www.suredividend.com/sure-analysis-PECO/","Phillips Edison &amp; Company Inc")</f>
        <v>Phillips Edison &amp; Company Inc</v>
      </c>
      <c r="C1195" s="2" t="s">
        <v>15</v>
      </c>
      <c r="D1195" s="4">
        <v>34.54</v>
      </c>
      <c r="E1195" s="5">
        <v>0.0338737695425593</v>
      </c>
      <c r="F1195" s="5">
        <v>0.0</v>
      </c>
      <c r="G1195" s="5">
        <v>0.0161373647415956</v>
      </c>
      <c r="H1195" s="4">
        <v>1.11439222033604</v>
      </c>
      <c r="I1195" s="4">
        <v>4230.252</v>
      </c>
      <c r="J1195" s="6">
        <v>74.2240626041794</v>
      </c>
      <c r="K1195" s="5">
        <v>2.32649732846773</v>
      </c>
      <c r="L1195" s="7">
        <v>0.916494597347934</v>
      </c>
      <c r="M1195" s="4">
        <v>37.82</v>
      </c>
      <c r="N1195" s="2">
        <v>26.87</v>
      </c>
    </row>
    <row r="1196">
      <c r="A1196" s="2" t="s">
        <v>1221</v>
      </c>
      <c r="B1196" s="3" t="str">
        <f>HYPERLINK("https://www.suredividend.com/sure-analysis-research-database/","PepGen Inc")</f>
        <v>PepGen Inc</v>
      </c>
      <c r="C1196" s="2" t="s">
        <v>15</v>
      </c>
      <c r="D1196" s="4">
        <v>10.63</v>
      </c>
      <c r="E1196" s="5">
        <v>0.0</v>
      </c>
      <c r="F1196" s="5" t="s">
        <v>15</v>
      </c>
      <c r="G1196" s="5" t="s">
        <v>15</v>
      </c>
      <c r="H1196" s="4">
        <v>0.0</v>
      </c>
      <c r="I1196" s="4">
        <v>172.648216</v>
      </c>
      <c r="J1196" s="6">
        <v>0.0</v>
      </c>
      <c r="K1196" s="5" t="s">
        <v>15</v>
      </c>
      <c r="L1196" s="7">
        <v>1.14229572025996</v>
      </c>
      <c r="M1196" s="4">
        <v>20.0</v>
      </c>
      <c r="N1196" s="2">
        <v>3.71999999999999</v>
      </c>
    </row>
    <row r="1197">
      <c r="A1197" s="2" t="s">
        <v>1222</v>
      </c>
      <c r="B1197" s="3" t="str">
        <f>HYPERLINK("https://www.suredividend.com/sure-analysis-research-database/","PetIQ Inc")</f>
        <v>PetIQ Inc</v>
      </c>
      <c r="C1197" s="2" t="s">
        <v>30</v>
      </c>
      <c r="D1197" s="4">
        <v>17.84</v>
      </c>
      <c r="E1197" s="5">
        <v>0.0</v>
      </c>
      <c r="F1197" s="5" t="s">
        <v>15</v>
      </c>
      <c r="G1197" s="5" t="s">
        <v>15</v>
      </c>
      <c r="H1197" s="4">
        <v>0.0</v>
      </c>
      <c r="I1197" s="4">
        <v>528.882139</v>
      </c>
      <c r="J1197" s="6">
        <v>41.373866754283</v>
      </c>
      <c r="K1197" s="5">
        <v>0.0</v>
      </c>
      <c r="L1197" s="7">
        <v>1.24362550234749</v>
      </c>
      <c r="M1197" s="4">
        <v>22.98</v>
      </c>
      <c r="N1197" s="2">
        <v>9.08</v>
      </c>
    </row>
    <row r="1198">
      <c r="A1198" s="2" t="s">
        <v>1223</v>
      </c>
      <c r="B1198" s="3" t="str">
        <f>HYPERLINK("https://www.suredividend.com/sure-analysis-PETS/","Petmed Express, Inc.")</f>
        <v>Petmed Express, Inc.</v>
      </c>
      <c r="C1198" s="2" t="s">
        <v>30</v>
      </c>
      <c r="D1198" s="4">
        <v>6.0</v>
      </c>
      <c r="E1198" s="5">
        <v>0.113333333333333</v>
      </c>
      <c r="F1198" s="5" t="s">
        <v>15</v>
      </c>
      <c r="G1198" s="5" t="s">
        <v>15</v>
      </c>
      <c r="H1198" s="4">
        <v>0.886036594427554</v>
      </c>
      <c r="I1198" s="4">
        <v>141.68494</v>
      </c>
      <c r="J1198" s="6" t="s">
        <v>15</v>
      </c>
      <c r="K1198" s="5" t="s">
        <v>15</v>
      </c>
      <c r="L1198" s="7">
        <v>0.978904671580127</v>
      </c>
      <c r="M1198" s="4">
        <v>21.78</v>
      </c>
      <c r="N1198" s="2">
        <v>5.5</v>
      </c>
    </row>
    <row r="1199">
      <c r="A1199" s="2" t="s">
        <v>1224</v>
      </c>
      <c r="B1199" s="3" t="str">
        <f>HYPERLINK("https://www.suredividend.com/sure-analysis-research-database/","Preferred Bank (Los Angeles, CA)")</f>
        <v>Preferred Bank (Los Angeles, CA)</v>
      </c>
      <c r="C1199" s="2" t="s">
        <v>22</v>
      </c>
      <c r="D1199" s="4">
        <v>69.26</v>
      </c>
      <c r="E1199" s="5">
        <v>0.030518841560285</v>
      </c>
      <c r="F1199" s="5">
        <v>0.272727272727272</v>
      </c>
      <c r="G1199" s="5">
        <v>0.184664452542244</v>
      </c>
      <c r="H1199" s="4">
        <v>2.28891311702144</v>
      </c>
      <c r="I1199" s="4">
        <v>989.175</v>
      </c>
      <c r="J1199" s="6">
        <v>7.02090283199659</v>
      </c>
      <c r="K1199" s="5">
        <v>0.239175874296911</v>
      </c>
      <c r="L1199" s="7">
        <v>1.3136153544276</v>
      </c>
      <c r="M1199" s="4">
        <v>76.16</v>
      </c>
      <c r="N1199" s="2">
        <v>40.07</v>
      </c>
    </row>
    <row r="1200">
      <c r="A1200" s="2" t="s">
        <v>1225</v>
      </c>
      <c r="B1200" s="3" t="str">
        <f>HYPERLINK("https://www.suredividend.com/sure-analysis-research-database/","Premier Financial Corp")</f>
        <v>Premier Financial Corp</v>
      </c>
      <c r="C1200" s="2" t="s">
        <v>15</v>
      </c>
      <c r="D1200" s="4">
        <v>20.28</v>
      </c>
      <c r="E1200" s="5">
        <v>0.053221724311805</v>
      </c>
      <c r="F1200" s="5">
        <v>0.0333333333333332</v>
      </c>
      <c r="G1200" s="5">
        <v>0.102863131478529</v>
      </c>
      <c r="H1200" s="4">
        <v>1.18045784523584</v>
      </c>
      <c r="I1200" s="4">
        <v>792.552816</v>
      </c>
      <c r="J1200" s="6">
        <v>6.81051126061251</v>
      </c>
      <c r="K1200" s="5">
        <v>0.363217798534105</v>
      </c>
      <c r="L1200" s="7">
        <v>1.39150618854151</v>
      </c>
      <c r="M1200" s="4">
        <v>24.87</v>
      </c>
      <c r="N1200" s="2">
        <v>12.77</v>
      </c>
    </row>
    <row r="1201">
      <c r="A1201" s="2" t="s">
        <v>1226</v>
      </c>
      <c r="B1201" s="3" t="str">
        <f>HYPERLINK("https://www.suredividend.com/sure-analysis-research-database/","Peoples Financial Services Corp")</f>
        <v>Peoples Financial Services Corp</v>
      </c>
      <c r="C1201" s="2" t="s">
        <v>22</v>
      </c>
      <c r="D1201" s="4">
        <v>41.75</v>
      </c>
      <c r="E1201" s="5">
        <v>0.033796410181278</v>
      </c>
      <c r="F1201" s="5">
        <v>0.0249999999999999</v>
      </c>
      <c r="G1201" s="5">
        <v>0.038152102716594</v>
      </c>
      <c r="H1201" s="4">
        <v>1.59350074004727</v>
      </c>
      <c r="I1201" s="4">
        <v>331.976125</v>
      </c>
      <c r="J1201" s="6">
        <v>0.0</v>
      </c>
      <c r="K1201" s="5" t="s">
        <v>15</v>
      </c>
      <c r="L1201" s="7">
        <v>1.07568205220827</v>
      </c>
      <c r="M1201" s="4">
        <v>50.82</v>
      </c>
      <c r="N1201" s="2">
        <v>28.83</v>
      </c>
    </row>
    <row r="1202">
      <c r="A1202" s="2" t="s">
        <v>1227</v>
      </c>
      <c r="B1202" s="3" t="str">
        <f>HYPERLINK("https://www.suredividend.com/sure-analysis-research-database/","Provident Financial Services Inc")</f>
        <v>Provident Financial Services Inc</v>
      </c>
      <c r="C1202" s="2" t="s">
        <v>22</v>
      </c>
      <c r="D1202" s="4">
        <v>15.73</v>
      </c>
      <c r="E1202" s="5">
        <v>0.052255550064946</v>
      </c>
      <c r="F1202" s="5">
        <v>0.0</v>
      </c>
      <c r="G1202" s="5">
        <v>0.0371372893366481</v>
      </c>
      <c r="H1202" s="4">
        <v>0.938509679166431</v>
      </c>
      <c r="I1202" s="4">
        <v>1358.036618</v>
      </c>
      <c r="J1202" s="6">
        <v>9.04615959952838</v>
      </c>
      <c r="K1202" s="5">
        <v>0.466920238391259</v>
      </c>
      <c r="L1202" s="7">
        <v>1.3971590038309</v>
      </c>
      <c r="M1202" s="4">
        <v>23.25</v>
      </c>
      <c r="N1202" s="2">
        <v>13.21</v>
      </c>
    </row>
    <row r="1203">
      <c r="A1203" s="2" t="s">
        <v>1228</v>
      </c>
      <c r="B1203" s="3" t="str">
        <f>HYPERLINK("https://www.suredividend.com/sure-analysis-research-database/","PennyMac Financial Services Inc.")</f>
        <v>PennyMac Financial Services Inc.</v>
      </c>
      <c r="C1203" s="2" t="s">
        <v>22</v>
      </c>
      <c r="D1203" s="4">
        <v>89.67</v>
      </c>
      <c r="E1203" s="5">
        <v>0.008924141169464</v>
      </c>
      <c r="F1203" s="5" t="s">
        <v>15</v>
      </c>
      <c r="G1203" s="5" t="s">
        <v>15</v>
      </c>
      <c r="H1203" s="4">
        <v>0.796568840786406</v>
      </c>
      <c r="I1203" s="4">
        <v>4456.372624</v>
      </c>
      <c r="J1203" s="6">
        <v>20.3380536408735</v>
      </c>
      <c r="K1203" s="5">
        <v>0.191944298984676</v>
      </c>
      <c r="L1203" s="7">
        <v>1.43835269782145</v>
      </c>
      <c r="M1203" s="4">
        <v>93.5</v>
      </c>
      <c r="N1203" s="2">
        <v>53.52</v>
      </c>
    </row>
    <row r="1204">
      <c r="A1204" s="2" t="s">
        <v>1229</v>
      </c>
      <c r="B1204" s="3" t="str">
        <f>HYPERLINK("https://www.suredividend.com/sure-analysis-research-database/","PFSWEB Inc")</f>
        <v>PFSWEB Inc</v>
      </c>
      <c r="C1204" s="2" t="s">
        <v>17</v>
      </c>
      <c r="D1204" s="4">
        <v>7.49</v>
      </c>
      <c r="E1204" s="5">
        <v>0.0</v>
      </c>
      <c r="F1204" s="5" t="s">
        <v>15</v>
      </c>
      <c r="G1204" s="5" t="s">
        <v>15</v>
      </c>
      <c r="H1204" s="4">
        <v>0.0</v>
      </c>
      <c r="I1204" s="4">
        <v>0.0</v>
      </c>
      <c r="J1204" s="6">
        <v>0.0</v>
      </c>
      <c r="K1204" s="5">
        <v>0.0</v>
      </c>
      <c r="L1204" s="7"/>
      <c r="M1204" s="4" t="s">
        <v>49</v>
      </c>
      <c r="N1204" s="2" t="s">
        <v>49</v>
      </c>
    </row>
    <row r="1205">
      <c r="A1205" s="2" t="s">
        <v>1230</v>
      </c>
      <c r="B1205" s="3" t="str">
        <f>HYPERLINK("https://www.suredividend.com/sure-analysis-research-database/","Peapack-Gladstone Financial Corp.")</f>
        <v>Peapack-Gladstone Financial Corp.</v>
      </c>
      <c r="C1205" s="2" t="s">
        <v>22</v>
      </c>
      <c r="D1205" s="4">
        <v>26.02</v>
      </c>
      <c r="E1205" s="5">
        <v>0.006595849568001</v>
      </c>
      <c r="F1205" s="5">
        <v>0.0</v>
      </c>
      <c r="G1205" s="5">
        <v>0.0</v>
      </c>
      <c r="H1205" s="4">
        <v>0.199326573944997</v>
      </c>
      <c r="I1205" s="4">
        <v>538.475946</v>
      </c>
      <c r="J1205" s="6">
        <v>8.8515623891245</v>
      </c>
      <c r="K1205" s="5">
        <v>0.0595004698343274</v>
      </c>
      <c r="L1205" s="7">
        <v>1.56070375233628</v>
      </c>
      <c r="M1205" s="4">
        <v>38.64</v>
      </c>
      <c r="N1205" s="2">
        <v>21.53</v>
      </c>
    </row>
    <row r="1206">
      <c r="A1206" s="2" t="s">
        <v>1231</v>
      </c>
      <c r="B1206" s="3" t="str">
        <f>HYPERLINK("https://www.suredividend.com/sure-analysis-research-database/","Precigen Inc")</f>
        <v>Precigen Inc</v>
      </c>
      <c r="C1206" s="2" t="s">
        <v>30</v>
      </c>
      <c r="D1206" s="4">
        <v>1.38</v>
      </c>
      <c r="E1206" s="5">
        <v>0.0</v>
      </c>
      <c r="F1206" s="5" t="s">
        <v>15</v>
      </c>
      <c r="G1206" s="5" t="s">
        <v>15</v>
      </c>
      <c r="H1206" s="4">
        <v>0.0</v>
      </c>
      <c r="I1206" s="4">
        <v>368.400262</v>
      </c>
      <c r="J1206" s="6" t="s">
        <v>15</v>
      </c>
      <c r="K1206" s="5">
        <v>0.0</v>
      </c>
      <c r="L1206" s="7">
        <v>2.22089051115334</v>
      </c>
      <c r="M1206" s="4">
        <v>2.01</v>
      </c>
      <c r="N1206" s="2">
        <v>0.805</v>
      </c>
    </row>
    <row r="1207">
      <c r="A1207" s="2" t="s">
        <v>1232</v>
      </c>
      <c r="B1207" s="3" t="str">
        <f>HYPERLINK("https://www.suredividend.com/sure-analysis-research-database/","Progyny Inc")</f>
        <v>Progyny Inc</v>
      </c>
      <c r="C1207" s="2" t="s">
        <v>30</v>
      </c>
      <c r="D1207" s="4">
        <v>38.84</v>
      </c>
      <c r="E1207" s="5">
        <v>0.0</v>
      </c>
      <c r="F1207" s="5" t="s">
        <v>15</v>
      </c>
      <c r="G1207" s="5" t="s">
        <v>15</v>
      </c>
      <c r="H1207" s="4">
        <v>0.0</v>
      </c>
      <c r="I1207" s="4">
        <v>3687.778053</v>
      </c>
      <c r="J1207" s="6">
        <v>70.9529207011063</v>
      </c>
      <c r="K1207" s="5">
        <v>0.0</v>
      </c>
      <c r="L1207" s="7">
        <v>1.12746920681885</v>
      </c>
      <c r="M1207" s="4">
        <v>44.95</v>
      </c>
      <c r="N1207" s="2">
        <v>29.44</v>
      </c>
    </row>
    <row r="1208">
      <c r="A1208" s="2" t="s">
        <v>1233</v>
      </c>
      <c r="B1208" s="3" t="str">
        <f>HYPERLINK("https://www.suredividend.com/sure-analysis-PGRE/","Paramount Group Inc")</f>
        <v>Paramount Group Inc</v>
      </c>
      <c r="C1208" s="2" t="s">
        <v>20</v>
      </c>
      <c r="D1208" s="4">
        <v>4.46</v>
      </c>
      <c r="E1208" s="5">
        <v>0.0313901345291479</v>
      </c>
      <c r="F1208" s="5">
        <v>-0.548387096774193</v>
      </c>
      <c r="G1208" s="5">
        <v>-0.18938691690105</v>
      </c>
      <c r="H1208" s="4">
        <v>0.180073489985624</v>
      </c>
      <c r="I1208" s="4">
        <v>1086.767535</v>
      </c>
      <c r="J1208" s="6" t="s">
        <v>15</v>
      </c>
      <c r="K1208" s="5" t="s">
        <v>15</v>
      </c>
      <c r="L1208" s="7">
        <v>1.56209721541477</v>
      </c>
      <c r="M1208" s="4">
        <v>6.48</v>
      </c>
      <c r="N1208" s="2">
        <v>3.75</v>
      </c>
    </row>
    <row r="1209">
      <c r="A1209" s="2" t="s">
        <v>1234</v>
      </c>
      <c r="B1209" s="3" t="str">
        <f>HYPERLINK("https://www.suredividend.com/sure-analysis-research-database/","PGT Innovations Inc")</f>
        <v>PGT Innovations Inc</v>
      </c>
      <c r="C1209" s="2" t="s">
        <v>17</v>
      </c>
      <c r="D1209" s="4">
        <v>41.22</v>
      </c>
      <c r="E1209" s="5">
        <v>0.0</v>
      </c>
      <c r="F1209" s="5" t="s">
        <v>15</v>
      </c>
      <c r="G1209" s="5" t="s">
        <v>15</v>
      </c>
      <c r="H1209" s="4">
        <v>0.0</v>
      </c>
      <c r="I1209" s="4">
        <v>2356.160664</v>
      </c>
      <c r="J1209" s="6">
        <v>20.7271666021552</v>
      </c>
      <c r="K1209" s="5">
        <v>0.0</v>
      </c>
      <c r="L1209" s="7">
        <v>1.1957593479568</v>
      </c>
      <c r="M1209" s="4">
        <v>41.97</v>
      </c>
      <c r="N1209" s="2">
        <v>20.11</v>
      </c>
    </row>
    <row r="1210">
      <c r="A1210" s="2" t="s">
        <v>1235</v>
      </c>
      <c r="B1210" s="3" t="str">
        <f>HYPERLINK("https://www.suredividend.com/sure-analysis-research-database/","Phathom Pharmaceuticals Inc")</f>
        <v>Phathom Pharmaceuticals Inc</v>
      </c>
      <c r="C1210" s="2" t="s">
        <v>30</v>
      </c>
      <c r="D1210" s="4">
        <v>6.68</v>
      </c>
      <c r="E1210" s="5">
        <v>0.0</v>
      </c>
      <c r="F1210" s="5" t="s">
        <v>15</v>
      </c>
      <c r="G1210" s="5" t="s">
        <v>15</v>
      </c>
      <c r="H1210" s="4">
        <v>0.0</v>
      </c>
      <c r="I1210" s="4">
        <v>423.668641</v>
      </c>
      <c r="J1210" s="6">
        <v>0.0</v>
      </c>
      <c r="K1210" s="5" t="s">
        <v>15</v>
      </c>
      <c r="L1210" s="7">
        <v>1.1094450223097</v>
      </c>
      <c r="M1210" s="4">
        <v>17.02</v>
      </c>
      <c r="N1210" s="2">
        <v>5.84</v>
      </c>
    </row>
    <row r="1211">
      <c r="A1211" s="2" t="s">
        <v>1236</v>
      </c>
      <c r="B1211" s="3" t="str">
        <f>HYPERLINK("https://www.suredividend.com/sure-analysis-research-database/","Phreesia Inc")</f>
        <v>Phreesia Inc</v>
      </c>
      <c r="C1211" s="2" t="s">
        <v>30</v>
      </c>
      <c r="D1211" s="4">
        <v>25.93</v>
      </c>
      <c r="E1211" s="5">
        <v>0.0</v>
      </c>
      <c r="F1211" s="5" t="s">
        <v>15</v>
      </c>
      <c r="G1211" s="5" t="s">
        <v>15</v>
      </c>
      <c r="H1211" s="4">
        <v>0.0</v>
      </c>
      <c r="I1211" s="4">
        <v>1468.206119</v>
      </c>
      <c r="J1211" s="6" t="s">
        <v>15</v>
      </c>
      <c r="K1211" s="5">
        <v>0.0</v>
      </c>
      <c r="L1211" s="7">
        <v>2.33934204062217</v>
      </c>
      <c r="M1211" s="4">
        <v>40.0</v>
      </c>
      <c r="N1211" s="2">
        <v>12.05</v>
      </c>
    </row>
    <row r="1212">
      <c r="A1212" s="2" t="s">
        <v>1237</v>
      </c>
      <c r="B1212" s="3" t="str">
        <f>HYPERLINK("https://www.suredividend.com/sure-analysis-research-database/","Impinj Inc")</f>
        <v>Impinj Inc</v>
      </c>
      <c r="C1212" s="2" t="s">
        <v>40</v>
      </c>
      <c r="D1212" s="4">
        <v>103.87</v>
      </c>
      <c r="E1212" s="5">
        <v>0.0</v>
      </c>
      <c r="F1212" s="5" t="s">
        <v>15</v>
      </c>
      <c r="G1212" s="5" t="s">
        <v>15</v>
      </c>
      <c r="H1212" s="4">
        <v>0.0</v>
      </c>
      <c r="I1212" s="4">
        <v>2781.883731</v>
      </c>
      <c r="J1212" s="6" t="s">
        <v>15</v>
      </c>
      <c r="K1212" s="5">
        <v>0.0</v>
      </c>
      <c r="L1212" s="7">
        <v>1.48373503941449</v>
      </c>
      <c r="M1212" s="4">
        <v>144.9</v>
      </c>
      <c r="N1212" s="2">
        <v>48.39</v>
      </c>
    </row>
    <row r="1213">
      <c r="A1213" s="2" t="s">
        <v>1238</v>
      </c>
      <c r="B1213" s="3" t="str">
        <f>HYPERLINK("https://www.suredividend.com/sure-analysis-research-database/","P3 Health Partners Inc")</f>
        <v>P3 Health Partners Inc</v>
      </c>
      <c r="C1213" s="2" t="s">
        <v>15</v>
      </c>
      <c r="D1213" s="4">
        <v>1.09</v>
      </c>
      <c r="E1213" s="5">
        <v>0.0</v>
      </c>
      <c r="F1213" s="5" t="s">
        <v>15</v>
      </c>
      <c r="G1213" s="5" t="s">
        <v>15</v>
      </c>
      <c r="H1213" s="4">
        <v>0.0</v>
      </c>
      <c r="I1213" s="4">
        <v>139.442854</v>
      </c>
      <c r="J1213" s="6" t="s">
        <v>15</v>
      </c>
      <c r="K1213" s="5">
        <v>0.0</v>
      </c>
      <c r="L1213" s="7">
        <v>0.639551847085226</v>
      </c>
      <c r="M1213" s="4">
        <v>5.56</v>
      </c>
      <c r="N1213" s="2">
        <v>0.7003</v>
      </c>
    </row>
    <row r="1214">
      <c r="A1214" s="2" t="s">
        <v>1239</v>
      </c>
      <c r="B1214" s="3" t="str">
        <f>HYPERLINK("https://www.suredividend.com/sure-analysis-research-database/","Piper Sandler Co`s")</f>
        <v>Piper Sandler Co`s</v>
      </c>
      <c r="C1214" s="2" t="s">
        <v>22</v>
      </c>
      <c r="D1214" s="4">
        <v>183.35</v>
      </c>
      <c r="E1214" s="5">
        <v>0.020210797960377</v>
      </c>
      <c r="F1214" s="5">
        <v>-0.519999999999999</v>
      </c>
      <c r="G1214" s="5">
        <v>0.0985605433061178</v>
      </c>
      <c r="H1214" s="4">
        <v>3.61894548278524</v>
      </c>
      <c r="I1214" s="4">
        <v>3171.075246</v>
      </c>
      <c r="J1214" s="6">
        <v>0.0</v>
      </c>
      <c r="K1214" s="5" t="s">
        <v>15</v>
      </c>
      <c r="L1214" s="7">
        <v>1.29152861579243</v>
      </c>
      <c r="M1214" s="4">
        <v>182.87</v>
      </c>
      <c r="N1214" s="2">
        <v>119.41</v>
      </c>
    </row>
    <row r="1215">
      <c r="A1215" s="2" t="s">
        <v>1240</v>
      </c>
      <c r="B1215" s="3" t="str">
        <f>HYPERLINK("https://www.suredividend.com/sure-analysis-research-database/","PJT Partners Inc")</f>
        <v>PJT Partners Inc</v>
      </c>
      <c r="C1215" s="2" t="s">
        <v>22</v>
      </c>
      <c r="D1215" s="4">
        <v>98.53</v>
      </c>
      <c r="E1215" s="5">
        <v>0.010089075053727</v>
      </c>
      <c r="F1215" s="5">
        <v>0.0</v>
      </c>
      <c r="G1215" s="5">
        <v>0.379729661461214</v>
      </c>
      <c r="H1215" s="4">
        <v>0.995589926301814</v>
      </c>
      <c r="I1215" s="4">
        <v>2392.045928</v>
      </c>
      <c r="J1215" s="6">
        <v>29.3643084229263</v>
      </c>
      <c r="K1215" s="5">
        <v>0.326422926656332</v>
      </c>
      <c r="L1215" s="7">
        <v>0.684526427988616</v>
      </c>
      <c r="M1215" s="4">
        <v>104.16</v>
      </c>
      <c r="N1215" s="2">
        <v>59.05</v>
      </c>
    </row>
    <row r="1216">
      <c r="A1216" s="2" t="s">
        <v>1241</v>
      </c>
      <c r="B1216" s="3" t="str">
        <f>HYPERLINK("https://www.suredividend.com/sure-analysis-research-database/","Parke Bancorp Inc")</f>
        <v>Parke Bancorp Inc</v>
      </c>
      <c r="C1216" s="2" t="s">
        <v>22</v>
      </c>
      <c r="D1216" s="4">
        <v>17.6</v>
      </c>
      <c r="E1216" s="5">
        <v>0.035301831538133</v>
      </c>
      <c r="F1216" s="5">
        <v>0.0</v>
      </c>
      <c r="G1216" s="5">
        <v>0.0238362555396096</v>
      </c>
      <c r="H1216" s="4">
        <v>0.698976264455035</v>
      </c>
      <c r="I1216" s="4">
        <v>236.544086</v>
      </c>
      <c r="J1216" s="6">
        <v>0.0</v>
      </c>
      <c r="K1216" s="5" t="s">
        <v>15</v>
      </c>
      <c r="L1216" s="7">
        <v>1.16601823436962</v>
      </c>
      <c r="M1216" s="4">
        <v>20.54</v>
      </c>
      <c r="N1216" s="2">
        <v>13.97</v>
      </c>
    </row>
    <row r="1217">
      <c r="A1217" s="2" t="s">
        <v>1242</v>
      </c>
      <c r="B1217" s="3" t="str">
        <f>HYPERLINK("https://www.suredividend.com/sure-analysis-research-database/","Park Aerospace Corp")</f>
        <v>Park Aerospace Corp</v>
      </c>
      <c r="C1217" s="2" t="s">
        <v>17</v>
      </c>
      <c r="D1217" s="4">
        <v>14.27</v>
      </c>
      <c r="E1217" s="5">
        <v>0.032938453437103</v>
      </c>
      <c r="F1217" s="5">
        <v>-0.875</v>
      </c>
      <c r="G1217" s="5">
        <v>0.0456395525912731</v>
      </c>
      <c r="H1217" s="4">
        <v>0.493747417022179</v>
      </c>
      <c r="I1217" s="4">
        <v>303.597881</v>
      </c>
      <c r="J1217" s="6">
        <v>31.927424691345</v>
      </c>
      <c r="K1217" s="5">
        <v>1.0611377971678</v>
      </c>
      <c r="L1217" s="7">
        <v>0.728074404099465</v>
      </c>
      <c r="M1217" s="4">
        <v>15.96</v>
      </c>
      <c r="N1217" s="2">
        <v>11.61</v>
      </c>
    </row>
    <row r="1218">
      <c r="A1218" s="2" t="s">
        <v>1243</v>
      </c>
      <c r="B1218" s="3" t="str">
        <f>HYPERLINK("https://www.suredividend.com/sure-analysis-research-database/","Planet Labs PBC")</f>
        <v>Planet Labs PBC</v>
      </c>
      <c r="C1218" s="2" t="s">
        <v>15</v>
      </c>
      <c r="D1218" s="4">
        <v>2.15</v>
      </c>
      <c r="E1218" s="5">
        <v>0.0</v>
      </c>
      <c r="F1218" s="5" t="s">
        <v>15</v>
      </c>
      <c r="G1218" s="5" t="s">
        <v>15</v>
      </c>
      <c r="H1218" s="4">
        <v>0.0</v>
      </c>
      <c r="I1218" s="4">
        <v>606.4485</v>
      </c>
      <c r="J1218" s="6" t="s">
        <v>15</v>
      </c>
      <c r="K1218" s="5">
        <v>0.0</v>
      </c>
      <c r="L1218" s="7">
        <v>2.03241779145719</v>
      </c>
      <c r="M1218" s="4">
        <v>5.18</v>
      </c>
      <c r="N1218" s="2">
        <v>1.99</v>
      </c>
    </row>
    <row r="1219">
      <c r="A1219" s="2" t="s">
        <v>1244</v>
      </c>
      <c r="B1219" s="3" t="str">
        <f>HYPERLINK("https://www.suredividend.com/sure-analysis-research-database/","Photronics, Inc.")</f>
        <v>Photronics, Inc.</v>
      </c>
      <c r="C1219" s="2" t="s">
        <v>40</v>
      </c>
      <c r="D1219" s="4">
        <v>31.47</v>
      </c>
      <c r="E1219" s="5">
        <v>0.0</v>
      </c>
      <c r="F1219" s="5" t="s">
        <v>15</v>
      </c>
      <c r="G1219" s="5" t="s">
        <v>15</v>
      </c>
      <c r="H1219" s="4">
        <v>0.0</v>
      </c>
      <c r="I1219" s="4">
        <v>1905.695774</v>
      </c>
      <c r="J1219" s="6">
        <v>15.1866420196836</v>
      </c>
      <c r="K1219" s="5">
        <v>0.0</v>
      </c>
      <c r="L1219" s="7">
        <v>1.87755759037698</v>
      </c>
      <c r="M1219" s="4">
        <v>32.96</v>
      </c>
      <c r="N1219" s="2">
        <v>13.86</v>
      </c>
    </row>
    <row r="1220">
      <c r="A1220" s="2" t="s">
        <v>1245</v>
      </c>
      <c r="B1220" s="3" t="str">
        <f>HYPERLINK("https://www.suredividend.com/sure-analysis-research-database/","Dave &amp; Buster`s Entertainment Inc")</f>
        <v>Dave &amp; Buster`s Entertainment Inc</v>
      </c>
      <c r="C1220" s="2" t="s">
        <v>25</v>
      </c>
      <c r="D1220" s="4">
        <v>53.58</v>
      </c>
      <c r="E1220" s="5">
        <v>0.0</v>
      </c>
      <c r="F1220" s="5" t="s">
        <v>15</v>
      </c>
      <c r="G1220" s="5" t="s">
        <v>15</v>
      </c>
      <c r="H1220" s="4">
        <v>0.0</v>
      </c>
      <c r="I1220" s="4">
        <v>2122.8358</v>
      </c>
      <c r="J1220" s="6">
        <v>16.3364177151871</v>
      </c>
      <c r="K1220" s="5">
        <v>0.0</v>
      </c>
      <c r="L1220" s="7">
        <v>1.29026165030228</v>
      </c>
      <c r="M1220" s="4">
        <v>55.98</v>
      </c>
      <c r="N1220" s="2">
        <v>31.65</v>
      </c>
    </row>
    <row r="1221">
      <c r="A1221" s="2" t="s">
        <v>1246</v>
      </c>
      <c r="B1221" s="3" t="str">
        <f>HYPERLINK("https://www.suredividend.com/sure-analysis-research-database/","PLBY Group Inc")</f>
        <v>PLBY Group Inc</v>
      </c>
      <c r="C1221" s="2" t="s">
        <v>15</v>
      </c>
      <c r="D1221" s="4">
        <v>1.17</v>
      </c>
      <c r="E1221" s="5">
        <v>0.0</v>
      </c>
      <c r="F1221" s="5" t="s">
        <v>15</v>
      </c>
      <c r="G1221" s="5" t="s">
        <v>15</v>
      </c>
      <c r="H1221" s="4">
        <v>0.0</v>
      </c>
      <c r="I1221" s="4">
        <v>88.133527</v>
      </c>
      <c r="J1221" s="6">
        <v>0.0</v>
      </c>
      <c r="K1221" s="5" t="s">
        <v>15</v>
      </c>
      <c r="L1221" s="7">
        <v>1.89227844341721</v>
      </c>
      <c r="M1221" s="4">
        <v>3.58</v>
      </c>
      <c r="N1221" s="2">
        <v>0.43</v>
      </c>
    </row>
    <row r="1222">
      <c r="A1222" s="2" t="s">
        <v>1247</v>
      </c>
      <c r="B1222" s="3" t="str">
        <f>HYPERLINK("https://www.suredividend.com/sure-analysis-research-database/","Childrens Place Inc")</f>
        <v>Childrens Place Inc</v>
      </c>
      <c r="C1222" s="2" t="s">
        <v>25</v>
      </c>
      <c r="D1222" s="4">
        <v>20.06</v>
      </c>
      <c r="E1222" s="5">
        <v>0.0</v>
      </c>
      <c r="F1222" s="5" t="s">
        <v>15</v>
      </c>
      <c r="G1222" s="5" t="s">
        <v>15</v>
      </c>
      <c r="H1222" s="4">
        <v>0.0</v>
      </c>
      <c r="I1222" s="4">
        <v>287.851888</v>
      </c>
      <c r="J1222" s="6" t="s">
        <v>15</v>
      </c>
      <c r="K1222" s="5">
        <v>0.0</v>
      </c>
      <c r="L1222" s="7">
        <v>1.68850085452263</v>
      </c>
      <c r="M1222" s="4">
        <v>48.88</v>
      </c>
      <c r="N1222" s="2">
        <v>14.27</v>
      </c>
    </row>
    <row r="1223">
      <c r="A1223" s="2" t="s">
        <v>1248</v>
      </c>
      <c r="B1223" s="3" t="str">
        <f>HYPERLINK("https://www.suredividend.com/sure-analysis-research-database/","Piedmont Lithium Inc")</f>
        <v>Piedmont Lithium Inc</v>
      </c>
      <c r="C1223" s="2" t="s">
        <v>130</v>
      </c>
      <c r="D1223" s="4">
        <v>12.38</v>
      </c>
      <c r="E1223" s="5">
        <v>0.0</v>
      </c>
      <c r="F1223" s="5" t="s">
        <v>15</v>
      </c>
      <c r="G1223" s="5" t="s">
        <v>15</v>
      </c>
      <c r="H1223" s="4">
        <v>0.0</v>
      </c>
      <c r="I1223" s="4">
        <v>332.51345</v>
      </c>
      <c r="J1223" s="6">
        <v>0.0</v>
      </c>
      <c r="K1223" s="5" t="s">
        <v>15</v>
      </c>
      <c r="L1223" s="7">
        <v>2.26887520972513</v>
      </c>
      <c r="M1223" s="4">
        <v>76.78</v>
      </c>
      <c r="N1223" s="2">
        <v>15.86</v>
      </c>
    </row>
    <row r="1224">
      <c r="A1224" s="2" t="s">
        <v>1249</v>
      </c>
      <c r="B1224" s="3" t="str">
        <f>HYPERLINK("https://www.suredividend.com/sure-analysis-research-database/","Polymet Mining Corp")</f>
        <v>Polymet Mining Corp</v>
      </c>
      <c r="C1224" s="2" t="s">
        <v>130</v>
      </c>
      <c r="D1224" s="4">
        <v>2.1</v>
      </c>
      <c r="E1224" s="5">
        <v>0.0</v>
      </c>
      <c r="F1224" s="5" t="s">
        <v>15</v>
      </c>
      <c r="G1224" s="5" t="s">
        <v>15</v>
      </c>
      <c r="H1224" s="4">
        <v>0.0</v>
      </c>
      <c r="I1224" s="4">
        <v>408.366527</v>
      </c>
      <c r="J1224" s="6">
        <v>0.0</v>
      </c>
      <c r="K1224" s="5" t="s">
        <v>15</v>
      </c>
      <c r="L1224" s="7"/>
      <c r="M1224" s="4">
        <v>3.22</v>
      </c>
      <c r="N1224" s="2">
        <v>0.751</v>
      </c>
    </row>
    <row r="1225">
      <c r="A1225" s="2" t="s">
        <v>1250</v>
      </c>
      <c r="B1225" s="3" t="str">
        <f>HYPERLINK("https://www.suredividend.com/sure-analysis-research-database/","Palomar Holdings Inc")</f>
        <v>Palomar Holdings Inc</v>
      </c>
      <c r="C1225" s="2" t="s">
        <v>22</v>
      </c>
      <c r="D1225" s="4">
        <v>58.27</v>
      </c>
      <c r="E1225" s="5">
        <v>0.0</v>
      </c>
      <c r="F1225" s="5" t="s">
        <v>15</v>
      </c>
      <c r="G1225" s="5" t="s">
        <v>15</v>
      </c>
      <c r="H1225" s="4">
        <v>0.0</v>
      </c>
      <c r="I1225" s="4">
        <v>1522.014</v>
      </c>
      <c r="J1225" s="6">
        <v>21.1200166516339</v>
      </c>
      <c r="K1225" s="5">
        <v>0.0</v>
      </c>
      <c r="L1225" s="7">
        <v>0.867851959908475</v>
      </c>
      <c r="M1225" s="4">
        <v>64.41</v>
      </c>
      <c r="N1225" s="2">
        <v>46.09</v>
      </c>
    </row>
    <row r="1226">
      <c r="A1226" s="2" t="s">
        <v>1251</v>
      </c>
      <c r="B1226" s="3" t="str">
        <f>HYPERLINK("https://www.suredividend.com/sure-analysis-research-database/","Douglas Dynamics Inc")</f>
        <v>Douglas Dynamics Inc</v>
      </c>
      <c r="C1226" s="2" t="s">
        <v>25</v>
      </c>
      <c r="D1226" s="4">
        <v>24.74</v>
      </c>
      <c r="E1226" s="5">
        <v>0.03959002854549</v>
      </c>
      <c r="F1226" s="5">
        <v>0.0172413793103447</v>
      </c>
      <c r="G1226" s="5">
        <v>0.0159939032979625</v>
      </c>
      <c r="H1226" s="4">
        <v>1.1631550386665</v>
      </c>
      <c r="I1226" s="4">
        <v>675.268892</v>
      </c>
      <c r="J1226" s="6">
        <v>24.6871967133404</v>
      </c>
      <c r="K1226" s="5">
        <v>0.977441208963448</v>
      </c>
      <c r="L1226" s="7">
        <v>1.07372497502972</v>
      </c>
      <c r="M1226" s="4">
        <v>39.85</v>
      </c>
      <c r="N1226" s="2">
        <v>22.93</v>
      </c>
    </row>
    <row r="1227">
      <c r="A1227" s="2" t="s">
        <v>1252</v>
      </c>
      <c r="B1227" s="3" t="str">
        <f>HYPERLINK("https://www.suredividend.com/sure-analysis-research-database/","Preformed Line Products Co.")</f>
        <v>Preformed Line Products Co.</v>
      </c>
      <c r="C1227" s="2" t="s">
        <v>17</v>
      </c>
      <c r="D1227" s="4">
        <v>122.95</v>
      </c>
      <c r="E1227" s="5">
        <v>0.006247050863675</v>
      </c>
      <c r="F1227" s="5">
        <v>0.0</v>
      </c>
      <c r="G1227" s="5">
        <v>0.0</v>
      </c>
      <c r="H1227" s="4">
        <v>0.796623926135868</v>
      </c>
      <c r="I1227" s="4">
        <v>624.015167</v>
      </c>
      <c r="J1227" s="6">
        <v>8.48873184802274</v>
      </c>
      <c r="K1227" s="5">
        <v>0.0543770598044961</v>
      </c>
      <c r="L1227" s="7">
        <v>0.847466844697679</v>
      </c>
      <c r="M1227" s="4">
        <v>183.79</v>
      </c>
      <c r="N1227" s="2">
        <v>84.43</v>
      </c>
    </row>
    <row r="1228">
      <c r="A1228" s="2" t="s">
        <v>1253</v>
      </c>
      <c r="B1228" s="3" t="str">
        <f>HYPERLINK("https://www.suredividend.com/sure-analysis-research-database/","ePlus Inc")</f>
        <v>ePlus Inc</v>
      </c>
      <c r="C1228" s="2" t="s">
        <v>40</v>
      </c>
      <c r="D1228" s="4">
        <v>77.31</v>
      </c>
      <c r="E1228" s="5">
        <v>0.0</v>
      </c>
      <c r="F1228" s="5" t="s">
        <v>15</v>
      </c>
      <c r="G1228" s="5" t="s">
        <v>15</v>
      </c>
      <c r="H1228" s="4">
        <v>0.0</v>
      </c>
      <c r="I1228" s="4">
        <v>2059.546051</v>
      </c>
      <c r="J1228" s="6">
        <v>15.2492321914126</v>
      </c>
      <c r="K1228" s="5">
        <v>0.0</v>
      </c>
      <c r="L1228" s="7">
        <v>0.9260558973561</v>
      </c>
      <c r="M1228" s="4">
        <v>81.45</v>
      </c>
      <c r="N1228" s="2">
        <v>41.71</v>
      </c>
    </row>
    <row r="1229">
      <c r="A1229" s="2" t="s">
        <v>1254</v>
      </c>
      <c r="B1229" s="3" t="str">
        <f>HYPERLINK("https://www.suredividend.com/sure-analysis-research-database/","Plexus Corp.")</f>
        <v>Plexus Corp.</v>
      </c>
      <c r="C1229" s="2" t="s">
        <v>40</v>
      </c>
      <c r="D1229" s="4">
        <v>94.35</v>
      </c>
      <c r="E1229" s="5">
        <v>0.0</v>
      </c>
      <c r="F1229" s="5" t="s">
        <v>15</v>
      </c>
      <c r="G1229" s="5" t="s">
        <v>15</v>
      </c>
      <c r="H1229" s="4">
        <v>0.0</v>
      </c>
      <c r="I1229" s="4">
        <v>2553.488814</v>
      </c>
      <c r="J1229" s="6">
        <v>18.3580083534875</v>
      </c>
      <c r="K1229" s="5">
        <v>0.0</v>
      </c>
      <c r="L1229" s="7">
        <v>0.929245657420365</v>
      </c>
      <c r="M1229" s="4">
        <v>114.06</v>
      </c>
      <c r="N1229" s="2">
        <v>83.84</v>
      </c>
    </row>
    <row r="1230">
      <c r="A1230" s="2" t="s">
        <v>1255</v>
      </c>
      <c r="B1230" s="3" t="str">
        <f>HYPERLINK("https://www.suredividend.com/sure-analysis-PLYM/","Plymouth Industrial Reit Inc")</f>
        <v>Plymouth Industrial Reit Inc</v>
      </c>
      <c r="C1230" s="2" t="s">
        <v>20</v>
      </c>
      <c r="D1230" s="4">
        <v>21.59</v>
      </c>
      <c r="E1230" s="5">
        <v>0.0416859657248726</v>
      </c>
      <c r="F1230" s="5">
        <v>0.0227272727272727</v>
      </c>
      <c r="G1230" s="5">
        <v>-0.0971195485525657</v>
      </c>
      <c r="H1230" s="4">
        <v>0.886797808473278</v>
      </c>
      <c r="I1230" s="4">
        <v>1028.989184</v>
      </c>
      <c r="J1230" s="6">
        <v>0.0</v>
      </c>
      <c r="K1230" s="5" t="s">
        <v>15</v>
      </c>
      <c r="L1230" s="7">
        <v>1.16819611724365</v>
      </c>
      <c r="M1230" s="4">
        <v>25.31</v>
      </c>
      <c r="N1230" s="2">
        <v>18.44</v>
      </c>
    </row>
    <row r="1231">
      <c r="A1231" s="2" t="s">
        <v>1256</v>
      </c>
      <c r="B1231" s="3" t="str">
        <f>HYPERLINK("https://www.suredividend.com/sure-analysis-PMT/","Pennymac Mortgage Investment Trust")</f>
        <v>Pennymac Mortgage Investment Trust</v>
      </c>
      <c r="C1231" s="2" t="s">
        <v>20</v>
      </c>
      <c r="D1231" s="4">
        <v>13.96</v>
      </c>
      <c r="E1231" s="5">
        <v>0.114613180515759</v>
      </c>
      <c r="F1231" s="5">
        <v>0.0</v>
      </c>
      <c r="G1231" s="5">
        <v>-0.031739028631201</v>
      </c>
      <c r="H1231" s="4">
        <v>1.53357038060818</v>
      </c>
      <c r="I1231" s="4">
        <v>1311.488026</v>
      </c>
      <c r="J1231" s="6">
        <v>12.0196497741769</v>
      </c>
      <c r="K1231" s="5">
        <v>1.32204343155877</v>
      </c>
      <c r="L1231" s="7">
        <v>1.27985447884471</v>
      </c>
      <c r="M1231" s="4">
        <v>15.49</v>
      </c>
      <c r="N1231" s="2">
        <v>9.74</v>
      </c>
    </row>
    <row r="1232">
      <c r="A1232" s="2" t="s">
        <v>1257</v>
      </c>
      <c r="B1232" s="3" t="str">
        <f>HYPERLINK("https://www.suredividend.com/sure-analysis-research-database/","PMV Pharmaceuticals Inc")</f>
        <v>PMV Pharmaceuticals Inc</v>
      </c>
      <c r="C1232" s="2" t="s">
        <v>15</v>
      </c>
      <c r="D1232" s="4">
        <v>1.75</v>
      </c>
      <c r="E1232" s="5">
        <v>0.0</v>
      </c>
      <c r="F1232" s="5" t="s">
        <v>15</v>
      </c>
      <c r="G1232" s="5" t="s">
        <v>15</v>
      </c>
      <c r="H1232" s="4">
        <v>0.0</v>
      </c>
      <c r="I1232" s="4">
        <v>95.153203</v>
      </c>
      <c r="J1232" s="6">
        <v>0.0</v>
      </c>
      <c r="K1232" s="5" t="s">
        <v>15</v>
      </c>
      <c r="L1232" s="7">
        <v>1.79981719500107</v>
      </c>
      <c r="M1232" s="4">
        <v>9.72</v>
      </c>
      <c r="N1232" s="2">
        <v>1.18</v>
      </c>
    </row>
    <row r="1233">
      <c r="A1233" s="2" t="s">
        <v>1258</v>
      </c>
      <c r="B1233" s="3" t="str">
        <f>HYPERLINK("https://www.suredividend.com/sure-analysis-PNM/","PNM Resources Inc")</f>
        <v>PNM Resources Inc</v>
      </c>
      <c r="C1233" s="2" t="s">
        <v>91</v>
      </c>
      <c r="D1233" s="4">
        <v>34.74</v>
      </c>
      <c r="E1233" s="5">
        <v>0.0446171560161197</v>
      </c>
      <c r="F1233" s="5">
        <v>0.054421768707483</v>
      </c>
      <c r="G1233" s="5">
        <v>0.0596800099695162</v>
      </c>
      <c r="H1233" s="4">
        <v>1.45208800502196</v>
      </c>
      <c r="I1233" s="4">
        <v>3193.057313</v>
      </c>
      <c r="J1233" s="6">
        <v>20.7625858338372</v>
      </c>
      <c r="K1233" s="5">
        <v>0.811222349174282</v>
      </c>
      <c r="L1233" s="7">
        <v>0.204268599136024</v>
      </c>
      <c r="M1233" s="4">
        <v>48.29</v>
      </c>
      <c r="N1233" s="2">
        <v>35.17</v>
      </c>
    </row>
    <row r="1234">
      <c r="A1234" s="2" t="s">
        <v>1259</v>
      </c>
      <c r="B1234" s="3" t="str">
        <f>HYPERLINK("https://www.suredividend.com/sure-analysis-research-database/","POINT Biopharma Global Inc")</f>
        <v>POINT Biopharma Global Inc</v>
      </c>
      <c r="C1234" s="2" t="s">
        <v>15</v>
      </c>
      <c r="D1234" s="4">
        <v>13.71</v>
      </c>
      <c r="E1234" s="5">
        <v>0.0</v>
      </c>
      <c r="F1234" s="5" t="s">
        <v>15</v>
      </c>
      <c r="G1234" s="5" t="s">
        <v>15</v>
      </c>
      <c r="H1234" s="4">
        <v>0.0</v>
      </c>
      <c r="I1234" s="4">
        <v>0.0</v>
      </c>
      <c r="J1234" s="6">
        <v>0.0</v>
      </c>
      <c r="K1234" s="5">
        <v>0.0</v>
      </c>
      <c r="L1234" s="7"/>
      <c r="M1234" s="4" t="s">
        <v>49</v>
      </c>
      <c r="N1234" s="2" t="s">
        <v>49</v>
      </c>
    </row>
    <row r="1235">
      <c r="A1235" s="2" t="s">
        <v>1260</v>
      </c>
      <c r="B1235" s="3" t="str">
        <f>HYPERLINK("https://www.suredividend.com/sure-analysis-research-database/","Pennant Group Inc")</f>
        <v>Pennant Group Inc</v>
      </c>
      <c r="C1235" s="2" t="s">
        <v>30</v>
      </c>
      <c r="D1235" s="4">
        <v>14.94</v>
      </c>
      <c r="E1235" s="5">
        <v>0.0</v>
      </c>
      <c r="F1235" s="5" t="s">
        <v>15</v>
      </c>
      <c r="G1235" s="5" t="s">
        <v>15</v>
      </c>
      <c r="H1235" s="4">
        <v>0.0</v>
      </c>
      <c r="I1235" s="4">
        <v>477.626956</v>
      </c>
      <c r="J1235" s="6">
        <v>38.1979331381957</v>
      </c>
      <c r="K1235" s="5">
        <v>0.0</v>
      </c>
      <c r="L1235" s="7">
        <v>0.773683572761449</v>
      </c>
      <c r="M1235" s="4">
        <v>16.39</v>
      </c>
      <c r="N1235" s="2">
        <v>10.31</v>
      </c>
    </row>
    <row r="1236">
      <c r="A1236" s="2" t="s">
        <v>1261</v>
      </c>
      <c r="B1236" s="3" t="str">
        <f>HYPERLINK("https://www.suredividend.com/sure-analysis-POR/","Portland General Electric Co")</f>
        <v>Portland General Electric Co</v>
      </c>
      <c r="C1236" s="2" t="s">
        <v>91</v>
      </c>
      <c r="D1236" s="4">
        <v>39.54</v>
      </c>
      <c r="E1236" s="5">
        <v>0.0480526049570055</v>
      </c>
      <c r="F1236" s="5">
        <v>0.0497237569060773</v>
      </c>
      <c r="G1236" s="5">
        <v>0.0555458916484838</v>
      </c>
      <c r="H1236" s="4">
        <v>1.84757089816255</v>
      </c>
      <c r="I1236" s="4">
        <v>4153.158696</v>
      </c>
      <c r="J1236" s="6">
        <v>19.6832165697156</v>
      </c>
      <c r="K1236" s="5">
        <v>0.836004931295274</v>
      </c>
      <c r="L1236" s="7">
        <v>0.634474808147631</v>
      </c>
      <c r="M1236" s="4">
        <v>49.95</v>
      </c>
      <c r="N1236" s="2">
        <v>37.59</v>
      </c>
    </row>
    <row r="1237">
      <c r="A1237" s="2" t="s">
        <v>1262</v>
      </c>
      <c r="B1237" s="3" t="str">
        <f>HYPERLINK("https://www.suredividend.com/sure-analysis-research-database/","Power Integrations Inc.")</f>
        <v>Power Integrations Inc.</v>
      </c>
      <c r="C1237" s="2" t="s">
        <v>40</v>
      </c>
      <c r="D1237" s="4">
        <v>74.42</v>
      </c>
      <c r="E1237" s="5">
        <v>0.009837555361195</v>
      </c>
      <c r="F1237" s="5">
        <v>0.111111111111111</v>
      </c>
      <c r="G1237" s="5">
        <v>0.0330378041139323</v>
      </c>
      <c r="H1237" s="4">
        <v>0.764476427118485</v>
      </c>
      <c r="I1237" s="4">
        <v>4418.402775</v>
      </c>
      <c r="J1237" s="6">
        <v>68.7378891228861</v>
      </c>
      <c r="K1237" s="5">
        <v>0.682568238498647</v>
      </c>
      <c r="L1237" s="7">
        <v>1.57303507529157</v>
      </c>
      <c r="M1237" s="4">
        <v>98.62</v>
      </c>
      <c r="N1237" s="2">
        <v>66.55</v>
      </c>
    </row>
    <row r="1238">
      <c r="A1238" s="2" t="s">
        <v>1263</v>
      </c>
      <c r="B1238" s="3" t="str">
        <f>HYPERLINK("https://www.suredividend.com/sure-analysis-research-database/","Powell Industries, Inc.")</f>
        <v>Powell Industries, Inc.</v>
      </c>
      <c r="C1238" s="2" t="s">
        <v>17</v>
      </c>
      <c r="D1238" s="4">
        <v>127.54</v>
      </c>
      <c r="E1238" s="5">
        <v>0.013018395996402</v>
      </c>
      <c r="F1238" s="5">
        <v>0.00961538461538458</v>
      </c>
      <c r="G1238" s="5">
        <v>0.00191572286006658</v>
      </c>
      <c r="H1238" s="4">
        <v>1.03925855239277</v>
      </c>
      <c r="I1238" s="4">
        <v>954.760254</v>
      </c>
      <c r="J1238" s="6">
        <v>17.5105044280605</v>
      </c>
      <c r="K1238" s="5">
        <v>0.230946344976172</v>
      </c>
      <c r="L1238" s="7">
        <v>0.852434350422395</v>
      </c>
      <c r="M1238" s="4">
        <v>97.63</v>
      </c>
      <c r="N1238" s="2">
        <v>36.32</v>
      </c>
    </row>
    <row r="1239">
      <c r="A1239" s="2" t="s">
        <v>1264</v>
      </c>
      <c r="B1239" s="3" t="str">
        <f>HYPERLINK("https://www.suredividend.com/sure-analysis-research-database/","AMMO Inc")</f>
        <v>AMMO Inc</v>
      </c>
      <c r="C1239" s="2" t="s">
        <v>25</v>
      </c>
      <c r="D1239" s="4">
        <v>2.15</v>
      </c>
      <c r="E1239" s="5">
        <v>0.0</v>
      </c>
      <c r="F1239" s="5" t="s">
        <v>15</v>
      </c>
      <c r="G1239" s="5" t="s">
        <v>15</v>
      </c>
      <c r="H1239" s="4">
        <v>0.0</v>
      </c>
      <c r="I1239" s="4">
        <v>272.459709</v>
      </c>
      <c r="J1239" s="6">
        <v>0.0</v>
      </c>
      <c r="K1239" s="5" t="s">
        <v>15</v>
      </c>
      <c r="L1239" s="7">
        <v>1.46016088175579</v>
      </c>
      <c r="M1239" s="4">
        <v>3.15</v>
      </c>
      <c r="N1239" s="2">
        <v>1.57</v>
      </c>
    </row>
    <row r="1240">
      <c r="A1240" s="2" t="s">
        <v>1265</v>
      </c>
      <c r="B1240" s="3" t="str">
        <f>HYPERLINK("https://www.suredividend.com/sure-analysis-research-database/","Pacific Premier Bancorp, Inc.")</f>
        <v>Pacific Premier Bancorp, Inc.</v>
      </c>
      <c r="C1240" s="2" t="s">
        <v>22</v>
      </c>
      <c r="D1240" s="4">
        <v>24.62</v>
      </c>
      <c r="E1240" s="5">
        <v>0.044886368529715</v>
      </c>
      <c r="F1240" s="5">
        <v>0.0</v>
      </c>
      <c r="G1240" s="5">
        <v>0.0844717711976985</v>
      </c>
      <c r="H1240" s="4">
        <v>1.25951150094381</v>
      </c>
      <c r="I1240" s="4">
        <v>2690.953214</v>
      </c>
      <c r="J1240" s="6">
        <v>11.3867115245171</v>
      </c>
      <c r="K1240" s="5">
        <v>0.501797410734588</v>
      </c>
      <c r="L1240" s="7">
        <v>1.94407033102833</v>
      </c>
      <c r="M1240" s="4">
        <v>32.39</v>
      </c>
      <c r="N1240" s="2">
        <v>16.04</v>
      </c>
    </row>
    <row r="1241">
      <c r="A1241" s="2" t="s">
        <v>1266</v>
      </c>
      <c r="B1241" s="3" t="str">
        <f>HYPERLINK("https://www.suredividend.com/sure-analysis-research-database/","Permian Resources Corp")</f>
        <v>Permian Resources Corp</v>
      </c>
      <c r="C1241" s="2" t="s">
        <v>15</v>
      </c>
      <c r="D1241" s="4">
        <v>12.87</v>
      </c>
      <c r="E1241" s="5">
        <v>0.019744511993247</v>
      </c>
      <c r="F1241" s="5" t="s">
        <v>15</v>
      </c>
      <c r="G1241" s="5" t="s">
        <v>15</v>
      </c>
      <c r="H1241" s="4">
        <v>0.268525363108163</v>
      </c>
      <c r="I1241" s="4">
        <v>6922.763229</v>
      </c>
      <c r="J1241" s="6">
        <v>22.772097646726</v>
      </c>
      <c r="K1241" s="5">
        <v>0.305489605356271</v>
      </c>
      <c r="L1241" s="7">
        <v>1.16197663356295</v>
      </c>
      <c r="M1241" s="4">
        <v>15.41</v>
      </c>
      <c r="N1241" s="2">
        <v>8.84</v>
      </c>
    </row>
    <row r="1242">
      <c r="A1242" s="2" t="s">
        <v>1267</v>
      </c>
      <c r="B1242" s="3" t="str">
        <f>HYPERLINK("https://www.suredividend.com/sure-analysis-research-database/","Proassurance Corporation")</f>
        <v>Proassurance Corporation</v>
      </c>
      <c r="C1242" s="2" t="s">
        <v>22</v>
      </c>
      <c r="D1242" s="4">
        <v>13.07</v>
      </c>
      <c r="E1242" s="5">
        <v>0.003573981468553</v>
      </c>
      <c r="F1242" s="5" t="s">
        <v>15</v>
      </c>
      <c r="G1242" s="5" t="s">
        <v>15</v>
      </c>
      <c r="H1242" s="4">
        <v>0.050000000745058</v>
      </c>
      <c r="I1242" s="4">
        <v>713.061109</v>
      </c>
      <c r="J1242" s="6" t="s">
        <v>15</v>
      </c>
      <c r="K1242" s="5" t="s">
        <v>15</v>
      </c>
      <c r="L1242" s="7">
        <v>0.716937451432035</v>
      </c>
      <c r="M1242" s="4">
        <v>20.0</v>
      </c>
      <c r="N1242" s="2">
        <v>11.87</v>
      </c>
    </row>
    <row r="1243">
      <c r="A1243" s="2" t="s">
        <v>1268</v>
      </c>
      <c r="B1243" s="3" t="str">
        <f>HYPERLINK("https://www.suredividend.com/sure-analysis-research-database/","PRA Group Inc")</f>
        <v>PRA Group Inc</v>
      </c>
      <c r="C1243" s="2" t="s">
        <v>22</v>
      </c>
      <c r="D1243" s="4">
        <v>22.95</v>
      </c>
      <c r="E1243" s="5">
        <v>0.0</v>
      </c>
      <c r="F1243" s="5" t="s">
        <v>15</v>
      </c>
      <c r="G1243" s="5" t="s">
        <v>15</v>
      </c>
      <c r="H1243" s="4">
        <v>0.0</v>
      </c>
      <c r="I1243" s="4">
        <v>949.315868</v>
      </c>
      <c r="J1243" s="6" t="s">
        <v>15</v>
      </c>
      <c r="K1243" s="5">
        <v>0.0</v>
      </c>
      <c r="L1243" s="7">
        <v>1.48432751161483</v>
      </c>
      <c r="M1243" s="4">
        <v>43.34</v>
      </c>
      <c r="N1243" s="2">
        <v>11.85</v>
      </c>
    </row>
    <row r="1244">
      <c r="A1244" s="2" t="s">
        <v>1269</v>
      </c>
      <c r="B1244" s="3" t="str">
        <f>HYPERLINK("https://www.suredividend.com/sure-analysis-research-database/","Praxis Precision Medicines Inc")</f>
        <v>Praxis Precision Medicines Inc</v>
      </c>
      <c r="C1244" s="2" t="s">
        <v>15</v>
      </c>
      <c r="D1244" s="4">
        <v>41.28</v>
      </c>
      <c r="E1244" s="5">
        <v>0.0</v>
      </c>
      <c r="F1244" s="5" t="s">
        <v>15</v>
      </c>
      <c r="G1244" s="5" t="s">
        <v>15</v>
      </c>
      <c r="H1244" s="4">
        <v>0.0</v>
      </c>
      <c r="I1244" s="4">
        <v>358.181069</v>
      </c>
      <c r="J1244" s="6">
        <v>0.0</v>
      </c>
      <c r="K1244" s="5" t="s">
        <v>15</v>
      </c>
      <c r="L1244" s="7">
        <v>0.615413619746937</v>
      </c>
      <c r="M1244" s="4">
        <v>76.8</v>
      </c>
      <c r="N1244" s="2">
        <v>11.85</v>
      </c>
    </row>
    <row r="1245">
      <c r="A1245" s="2" t="s">
        <v>1270</v>
      </c>
      <c r="B1245" s="3" t="str">
        <f>HYPERLINK("https://www.suredividend.com/sure-analysis-research-database/","Porch Group Inc")</f>
        <v>Porch Group Inc</v>
      </c>
      <c r="C1245" s="2" t="s">
        <v>15</v>
      </c>
      <c r="D1245" s="4">
        <v>2.23</v>
      </c>
      <c r="E1245" s="5">
        <v>0.0</v>
      </c>
      <c r="F1245" s="5" t="s">
        <v>15</v>
      </c>
      <c r="G1245" s="5" t="s">
        <v>15</v>
      </c>
      <c r="H1245" s="4">
        <v>0.0</v>
      </c>
      <c r="I1245" s="4">
        <v>239.276571</v>
      </c>
      <c r="J1245" s="6" t="s">
        <v>15</v>
      </c>
      <c r="K1245" s="5">
        <v>0.0</v>
      </c>
      <c r="L1245" s="7">
        <v>2.81464654652054</v>
      </c>
      <c r="M1245" s="4">
        <v>3.99</v>
      </c>
      <c r="N1245" s="2">
        <v>0.495</v>
      </c>
    </row>
    <row r="1246">
      <c r="A1246" s="2" t="s">
        <v>1271</v>
      </c>
      <c r="B1246" s="3" t="str">
        <f>HYPERLINK("https://www.suredividend.com/sure-analysis-research-database/","Procept BioRobotics Corp")</f>
        <v>Procept BioRobotics Corp</v>
      </c>
      <c r="C1246" s="2" t="s">
        <v>15</v>
      </c>
      <c r="D1246" s="4">
        <v>48.22</v>
      </c>
      <c r="E1246" s="5">
        <v>0.0</v>
      </c>
      <c r="F1246" s="5" t="s">
        <v>15</v>
      </c>
      <c r="G1246" s="5" t="s">
        <v>15</v>
      </c>
      <c r="H1246" s="4">
        <v>0.0</v>
      </c>
      <c r="I1246" s="4">
        <v>2445.648215</v>
      </c>
      <c r="J1246" s="6" t="s">
        <v>15</v>
      </c>
      <c r="K1246" s="5">
        <v>0.0</v>
      </c>
      <c r="L1246" s="7">
        <v>1.17115968863836</v>
      </c>
      <c r="M1246" s="4">
        <v>49.39</v>
      </c>
      <c r="N1246" s="2">
        <v>24.83</v>
      </c>
    </row>
    <row r="1247">
      <c r="A1247" s="2" t="s">
        <v>1272</v>
      </c>
      <c r="B1247" s="3" t="str">
        <f>HYPERLINK("https://www.suredividend.com/sure-analysis-research-database/","Perdoceo Education Corporation")</f>
        <v>Perdoceo Education Corporation</v>
      </c>
      <c r="C1247" s="2" t="s">
        <v>89</v>
      </c>
      <c r="D1247" s="4">
        <v>17.8</v>
      </c>
      <c r="E1247" s="5">
        <v>0.012031693498808</v>
      </c>
      <c r="F1247" s="5" t="s">
        <v>15</v>
      </c>
      <c r="G1247" s="5" t="s">
        <v>15</v>
      </c>
      <c r="H1247" s="4">
        <v>0.218615870873343</v>
      </c>
      <c r="I1247" s="4">
        <v>1193.549615</v>
      </c>
      <c r="J1247" s="6">
        <v>8.15160338084538</v>
      </c>
      <c r="K1247" s="5">
        <v>0.101681800406206</v>
      </c>
      <c r="L1247" s="7">
        <v>0.275316475804787</v>
      </c>
      <c r="M1247" s="4">
        <v>19.37</v>
      </c>
      <c r="N1247" s="2">
        <v>11.2</v>
      </c>
    </row>
    <row r="1248">
      <c r="A1248" s="2" t="s">
        <v>1273</v>
      </c>
      <c r="B1248" s="3" t="str">
        <f>HYPERLINK("https://www.suredividend.com/sure-analysis-research-database/","Pardes Biosciences Inc")</f>
        <v>Pardes Biosciences Inc</v>
      </c>
      <c r="C1248" s="2" t="s">
        <v>15</v>
      </c>
      <c r="D1248" s="4">
        <v>2.16</v>
      </c>
      <c r="E1248" s="5">
        <v>0.0</v>
      </c>
      <c r="F1248" s="5" t="s">
        <v>15</v>
      </c>
      <c r="G1248" s="5" t="s">
        <v>15</v>
      </c>
      <c r="H1248" s="4">
        <v>0.0</v>
      </c>
      <c r="I1248" s="4">
        <v>0.0</v>
      </c>
      <c r="J1248" s="6">
        <v>0.0</v>
      </c>
      <c r="K1248" s="5" t="s">
        <v>15</v>
      </c>
      <c r="L1248" s="7"/>
      <c r="M1248" s="4" t="s">
        <v>49</v>
      </c>
      <c r="N1248" s="2" t="s">
        <v>49</v>
      </c>
    </row>
    <row r="1249">
      <c r="A1249" s="2" t="s">
        <v>1274</v>
      </c>
      <c r="B1249" s="3" t="str">
        <f>HYPERLINK("https://www.suredividend.com/sure-analysis-research-database/","Perficient Inc.")</f>
        <v>Perficient Inc.</v>
      </c>
      <c r="C1249" s="2" t="s">
        <v>40</v>
      </c>
      <c r="D1249" s="4">
        <v>69.1</v>
      </c>
      <c r="E1249" s="5">
        <v>0.0</v>
      </c>
      <c r="F1249" s="5" t="s">
        <v>15</v>
      </c>
      <c r="G1249" s="5" t="s">
        <v>15</v>
      </c>
      <c r="H1249" s="4">
        <v>0.0</v>
      </c>
      <c r="I1249" s="4">
        <v>2484.084318</v>
      </c>
      <c r="J1249" s="6">
        <v>24.3020663733038</v>
      </c>
      <c r="K1249" s="5">
        <v>0.0</v>
      </c>
      <c r="L1249" s="7">
        <v>1.48342275283037</v>
      </c>
      <c r="M1249" s="4">
        <v>96.93</v>
      </c>
      <c r="N1249" s="2">
        <v>51.23</v>
      </c>
    </row>
    <row r="1250">
      <c r="A1250" s="2" t="s">
        <v>1275</v>
      </c>
      <c r="B1250" s="3" t="str">
        <f>HYPERLINK("https://www.suredividend.com/sure-analysis-research-database/","PROG Holdings Inc")</f>
        <v>PROG Holdings Inc</v>
      </c>
      <c r="C1250" s="2" t="s">
        <v>15</v>
      </c>
      <c r="D1250" s="4">
        <v>30.81</v>
      </c>
      <c r="E1250" s="5">
        <v>0.0</v>
      </c>
      <c r="F1250" s="5" t="s">
        <v>15</v>
      </c>
      <c r="G1250" s="5" t="s">
        <v>15</v>
      </c>
      <c r="H1250" s="4">
        <v>0.0</v>
      </c>
      <c r="I1250" s="4">
        <v>1455.709628</v>
      </c>
      <c r="J1250" s="6">
        <v>9.31070194757847</v>
      </c>
      <c r="K1250" s="5">
        <v>0.0</v>
      </c>
      <c r="L1250" s="7">
        <v>1.49982248718703</v>
      </c>
      <c r="M1250" s="4">
        <v>44.81</v>
      </c>
      <c r="N1250" s="2">
        <v>21.58</v>
      </c>
    </row>
    <row r="1251">
      <c r="A1251" s="2" t="s">
        <v>1276</v>
      </c>
      <c r="B1251" s="3" t="str">
        <f>HYPERLINK("https://www.suredividend.com/sure-analysis-research-database/","Progress Software Corp.")</f>
        <v>Progress Software Corp.</v>
      </c>
      <c r="C1251" s="2" t="s">
        <v>40</v>
      </c>
      <c r="D1251" s="4">
        <v>56.68</v>
      </c>
      <c r="E1251" s="5">
        <v>0.012042010716798</v>
      </c>
      <c r="F1251" s="5">
        <v>0.0</v>
      </c>
      <c r="G1251" s="5">
        <v>0.0245691383630806</v>
      </c>
      <c r="H1251" s="4">
        <v>0.693619817287615</v>
      </c>
      <c r="I1251" s="4">
        <v>2527.499866</v>
      </c>
      <c r="J1251" s="6">
        <v>32.1687649942726</v>
      </c>
      <c r="K1251" s="5">
        <v>0.391875602987353</v>
      </c>
      <c r="L1251" s="7">
        <v>0.753746733315613</v>
      </c>
      <c r="M1251" s="4">
        <v>61.58</v>
      </c>
      <c r="N1251" s="2">
        <v>48.7</v>
      </c>
    </row>
    <row r="1252">
      <c r="A1252" s="2" t="s">
        <v>1277</v>
      </c>
      <c r="B1252" s="3" t="str">
        <f>HYPERLINK("https://www.suredividend.com/sure-analysis-research-database/","Primoris Services Corp")</f>
        <v>Primoris Services Corp</v>
      </c>
      <c r="C1252" s="2" t="s">
        <v>17</v>
      </c>
      <c r="D1252" s="4">
        <v>33.77</v>
      </c>
      <c r="E1252" s="5">
        <v>0.001786012914125</v>
      </c>
      <c r="F1252" s="5">
        <v>0.0</v>
      </c>
      <c r="G1252" s="5">
        <v>0.0</v>
      </c>
      <c r="H1252" s="4">
        <v>0.059545670556931</v>
      </c>
      <c r="I1252" s="4">
        <v>1779.036103</v>
      </c>
      <c r="J1252" s="6">
        <v>13.6862617241724</v>
      </c>
      <c r="K1252" s="5">
        <v>0.0248106960653879</v>
      </c>
      <c r="L1252" s="7">
        <v>1.09482602174236</v>
      </c>
      <c r="M1252" s="4">
        <v>36.06</v>
      </c>
      <c r="N1252" s="2">
        <v>22.67</v>
      </c>
    </row>
    <row r="1253">
      <c r="A1253" s="2" t="s">
        <v>1278</v>
      </c>
      <c r="B1253" s="3" t="str">
        <f>HYPERLINK("https://www.suredividend.com/sure-analysis-research-database/","Park National Corp.")</f>
        <v>Park National Corp.</v>
      </c>
      <c r="C1253" s="2" t="s">
        <v>22</v>
      </c>
      <c r="D1253" s="4">
        <v>127.41</v>
      </c>
      <c r="E1253" s="5">
        <v>0.030234732180535</v>
      </c>
      <c r="F1253" s="5">
        <v>1.1</v>
      </c>
      <c r="G1253" s="5">
        <v>0.00581434544441439</v>
      </c>
      <c r="H1253" s="4">
        <v>4.11162122923102</v>
      </c>
      <c r="I1253" s="4">
        <v>2191.679979</v>
      </c>
      <c r="J1253" s="6">
        <v>16.1965147224316</v>
      </c>
      <c r="K1253" s="5">
        <v>0.495376051714581</v>
      </c>
      <c r="L1253" s="7">
        <v>1.27064870698326</v>
      </c>
      <c r="M1253" s="4">
        <v>137.0</v>
      </c>
      <c r="N1253" s="2">
        <v>87.74</v>
      </c>
    </row>
    <row r="1254">
      <c r="A1254" s="2" t="s">
        <v>1279</v>
      </c>
      <c r="B1254" s="3" t="str">
        <f>HYPERLINK("https://www.suredividend.com/sure-analysis-research-database/","Proto Labs Inc")</f>
        <v>Proto Labs Inc</v>
      </c>
      <c r="C1254" s="2" t="s">
        <v>17</v>
      </c>
      <c r="D1254" s="4">
        <v>36.27</v>
      </c>
      <c r="E1254" s="5">
        <v>0.0</v>
      </c>
      <c r="F1254" s="5" t="s">
        <v>15</v>
      </c>
      <c r="G1254" s="5" t="s">
        <v>15</v>
      </c>
      <c r="H1254" s="4">
        <v>0.0</v>
      </c>
      <c r="I1254" s="4">
        <v>976.770006</v>
      </c>
      <c r="J1254" s="6" t="s">
        <v>15</v>
      </c>
      <c r="K1254" s="5">
        <v>0.0</v>
      </c>
      <c r="L1254" s="7">
        <v>1.58338609636879</v>
      </c>
      <c r="M1254" s="4">
        <v>40.47</v>
      </c>
      <c r="N1254" s="2">
        <v>23.01</v>
      </c>
    </row>
    <row r="1255">
      <c r="A1255" s="2" t="s">
        <v>1280</v>
      </c>
      <c r="B1255" s="3" t="str">
        <f>HYPERLINK("https://www.suredividend.com/sure-analysis-research-database/","Perimeter Solutions SA")</f>
        <v>Perimeter Solutions SA</v>
      </c>
      <c r="C1255" s="2" t="s">
        <v>15</v>
      </c>
      <c r="D1255" s="4">
        <v>4.78</v>
      </c>
      <c r="E1255" s="5">
        <v>0.0</v>
      </c>
      <c r="F1255" s="5" t="s">
        <v>15</v>
      </c>
      <c r="G1255" s="5" t="s">
        <v>15</v>
      </c>
      <c r="H1255" s="4">
        <v>0.0</v>
      </c>
      <c r="I1255" s="4">
        <v>724.197573</v>
      </c>
      <c r="J1255" s="6">
        <v>14.8583826942962</v>
      </c>
      <c r="K1255" s="5">
        <v>0.0</v>
      </c>
      <c r="L1255" s="7">
        <v>1.54607537463895</v>
      </c>
      <c r="M1255" s="4">
        <v>9.59</v>
      </c>
      <c r="N1255" s="2">
        <v>2.79</v>
      </c>
    </row>
    <row r="1256">
      <c r="A1256" s="2" t="s">
        <v>1281</v>
      </c>
      <c r="B1256" s="3" t="str">
        <f>HYPERLINK("https://www.suredividend.com/sure-analysis-research-database/","Prime Medicine Inc")</f>
        <v>Prime Medicine Inc</v>
      </c>
      <c r="C1256" s="2" t="s">
        <v>15</v>
      </c>
      <c r="D1256" s="4">
        <v>6.47</v>
      </c>
      <c r="E1256" s="5">
        <v>0.0</v>
      </c>
      <c r="F1256" s="5" t="s">
        <v>15</v>
      </c>
      <c r="G1256" s="5" t="s">
        <v>15</v>
      </c>
      <c r="H1256" s="4">
        <v>0.0</v>
      </c>
      <c r="I1256" s="4">
        <v>728.959014</v>
      </c>
      <c r="J1256" s="6">
        <v>0.0</v>
      </c>
      <c r="K1256" s="5" t="s">
        <v>15</v>
      </c>
      <c r="L1256" s="7">
        <v>1.9772076795992</v>
      </c>
      <c r="M1256" s="4">
        <v>21.48</v>
      </c>
      <c r="N1256" s="2">
        <v>5.54</v>
      </c>
    </row>
    <row r="1257">
      <c r="A1257" s="2" t="s">
        <v>1282</v>
      </c>
      <c r="B1257" s="3" t="str">
        <f>HYPERLINK("https://www.suredividend.com/sure-analysis-research-database/","Primo Water Corporation")</f>
        <v>Primo Water Corporation</v>
      </c>
      <c r="C1257" s="2" t="s">
        <v>89</v>
      </c>
      <c r="D1257" s="4">
        <v>14.35</v>
      </c>
      <c r="E1257" s="5">
        <v>0.023188117743056</v>
      </c>
      <c r="F1257" s="5">
        <v>0.565485714285714</v>
      </c>
      <c r="G1257" s="5">
        <v>0.0642433407745886</v>
      </c>
      <c r="H1257" s="4">
        <v>0.346894241436132</v>
      </c>
      <c r="I1257" s="4">
        <v>2405.480783</v>
      </c>
      <c r="J1257" s="6">
        <v>20.3854303661016</v>
      </c>
      <c r="K1257" s="5">
        <v>0.473446487561255</v>
      </c>
      <c r="L1257" s="7">
        <v>0.749269318144021</v>
      </c>
      <c r="M1257" s="4">
        <v>16.1</v>
      </c>
      <c r="N1257" s="2">
        <v>12.13</v>
      </c>
    </row>
    <row r="1258">
      <c r="A1258" s="2" t="s">
        <v>1283</v>
      </c>
      <c r="B1258" s="3" t="str">
        <f>HYPERLINK("https://www.suredividend.com/sure-analysis-research-database/","Pros Holdings Inc")</f>
        <v>Pros Holdings Inc</v>
      </c>
      <c r="C1258" s="2" t="s">
        <v>40</v>
      </c>
      <c r="D1258" s="4">
        <v>34.98</v>
      </c>
      <c r="E1258" s="5">
        <v>0.0</v>
      </c>
      <c r="F1258" s="5" t="s">
        <v>15</v>
      </c>
      <c r="G1258" s="5" t="s">
        <v>15</v>
      </c>
      <c r="H1258" s="4">
        <v>0.0</v>
      </c>
      <c r="I1258" s="4">
        <v>1679.752451</v>
      </c>
      <c r="J1258" s="6" t="s">
        <v>15</v>
      </c>
      <c r="K1258" s="5">
        <v>0.0</v>
      </c>
      <c r="L1258" s="7">
        <v>1.51919955653236</v>
      </c>
      <c r="M1258" s="4">
        <v>40.99</v>
      </c>
      <c r="N1258" s="2">
        <v>23.96</v>
      </c>
    </row>
    <row r="1259">
      <c r="A1259" s="2" t="s">
        <v>1284</v>
      </c>
      <c r="B1259" s="3" t="str">
        <f>HYPERLINK("https://www.suredividend.com/sure-analysis-research-database/","Purple Innovation Inc")</f>
        <v>Purple Innovation Inc</v>
      </c>
      <c r="C1259" s="2" t="s">
        <v>25</v>
      </c>
      <c r="D1259" s="4">
        <v>1.21</v>
      </c>
      <c r="E1259" s="5">
        <v>0.0</v>
      </c>
      <c r="F1259" s="5" t="s">
        <v>15</v>
      </c>
      <c r="G1259" s="5" t="s">
        <v>15</v>
      </c>
      <c r="H1259" s="4">
        <v>0.0</v>
      </c>
      <c r="I1259" s="4">
        <v>108.482285</v>
      </c>
      <c r="J1259" s="6" t="s">
        <v>15</v>
      </c>
      <c r="K1259" s="5">
        <v>0.0</v>
      </c>
      <c r="L1259" s="7">
        <v>1.51038852343252</v>
      </c>
      <c r="M1259" s="4">
        <v>6.76</v>
      </c>
      <c r="N1259" s="2">
        <v>0.5451</v>
      </c>
    </row>
    <row r="1260">
      <c r="A1260" s="2" t="s">
        <v>1285</v>
      </c>
      <c r="B1260" s="3" t="str">
        <f>HYPERLINK("https://www.suredividend.com/sure-analysis-research-database/","Prothena Corporation plc")</f>
        <v>Prothena Corporation plc</v>
      </c>
      <c r="C1260" s="2" t="s">
        <v>30</v>
      </c>
      <c r="D1260" s="4">
        <v>25.05</v>
      </c>
      <c r="E1260" s="5">
        <v>0.0</v>
      </c>
      <c r="F1260" s="5" t="s">
        <v>15</v>
      </c>
      <c r="G1260" s="5" t="s">
        <v>15</v>
      </c>
      <c r="H1260" s="4">
        <v>0.0</v>
      </c>
      <c r="I1260" s="4">
        <v>1811.742182</v>
      </c>
      <c r="J1260" s="6" t="s">
        <v>15</v>
      </c>
      <c r="K1260" s="5">
        <v>0.0</v>
      </c>
      <c r="L1260" s="7">
        <v>1.09905982217804</v>
      </c>
      <c r="M1260" s="4">
        <v>79.65</v>
      </c>
      <c r="N1260" s="2">
        <v>28.51</v>
      </c>
    </row>
    <row r="1261">
      <c r="A1261" s="2" t="s">
        <v>1286</v>
      </c>
      <c r="B1261" s="3" t="str">
        <f>HYPERLINK("https://www.suredividend.com/sure-analysis-research-database/","Priority Technology Holdings Inc")</f>
        <v>Priority Technology Holdings Inc</v>
      </c>
      <c r="C1261" s="2" t="s">
        <v>40</v>
      </c>
      <c r="D1261" s="4">
        <v>3.2</v>
      </c>
      <c r="E1261" s="5">
        <v>0.0</v>
      </c>
      <c r="F1261" s="5" t="s">
        <v>15</v>
      </c>
      <c r="G1261" s="5" t="s">
        <v>15</v>
      </c>
      <c r="H1261" s="4">
        <v>0.0</v>
      </c>
      <c r="I1261" s="4">
        <v>283.106324</v>
      </c>
      <c r="J1261" s="6">
        <v>0.0</v>
      </c>
      <c r="K1261" s="5" t="s">
        <v>15</v>
      </c>
      <c r="L1261" s="7">
        <v>1.6508269368347</v>
      </c>
      <c r="M1261" s="4">
        <v>5.32</v>
      </c>
      <c r="N1261" s="2">
        <v>2.62</v>
      </c>
    </row>
    <row r="1262">
      <c r="A1262" s="2" t="s">
        <v>1287</v>
      </c>
      <c r="B1262" s="3" t="str">
        <f>HYPERLINK("https://www.suredividend.com/sure-analysis-research-database/","CarParts.com Inc")</f>
        <v>CarParts.com Inc</v>
      </c>
      <c r="C1262" s="2" t="s">
        <v>25</v>
      </c>
      <c r="D1262" s="4">
        <v>2.62</v>
      </c>
      <c r="E1262" s="5">
        <v>0.0</v>
      </c>
      <c r="F1262" s="5" t="s">
        <v>15</v>
      </c>
      <c r="G1262" s="5" t="s">
        <v>15</v>
      </c>
      <c r="H1262" s="4">
        <v>0.0</v>
      </c>
      <c r="I1262" s="4">
        <v>166.74596</v>
      </c>
      <c r="J1262" s="6" t="s">
        <v>15</v>
      </c>
      <c r="K1262" s="5">
        <v>0.0</v>
      </c>
      <c r="L1262" s="7">
        <v>1.74949709489725</v>
      </c>
      <c r="M1262" s="4">
        <v>7.44</v>
      </c>
      <c r="N1262" s="2">
        <v>2.5</v>
      </c>
    </row>
    <row r="1263">
      <c r="A1263" s="2" t="s">
        <v>1288</v>
      </c>
      <c r="B1263" s="3" t="str">
        <f>HYPERLINK("https://www.suredividend.com/sure-analysis-research-database/","Privia Health Group Inc")</f>
        <v>Privia Health Group Inc</v>
      </c>
      <c r="C1263" s="2" t="s">
        <v>15</v>
      </c>
      <c r="D1263" s="4">
        <v>19.31</v>
      </c>
      <c r="E1263" s="5">
        <v>0.0</v>
      </c>
      <c r="F1263" s="5" t="s">
        <v>15</v>
      </c>
      <c r="G1263" s="5" t="s">
        <v>15</v>
      </c>
      <c r="H1263" s="4">
        <v>0.0</v>
      </c>
      <c r="I1263" s="4">
        <v>2544.287367</v>
      </c>
      <c r="J1263" s="6">
        <v>66.9249905949969</v>
      </c>
      <c r="K1263" s="5">
        <v>0.0</v>
      </c>
      <c r="L1263" s="7">
        <v>1.24086437444641</v>
      </c>
      <c r="M1263" s="4">
        <v>30.15</v>
      </c>
      <c r="N1263" s="2">
        <v>19.57</v>
      </c>
    </row>
    <row r="1264">
      <c r="A1264" s="2" t="s">
        <v>1289</v>
      </c>
      <c r="B1264" s="3" t="str">
        <f>HYPERLINK("https://www.suredividend.com/sure-analysis-research-database/","Paysafe Limited")</f>
        <v>Paysafe Limited</v>
      </c>
      <c r="C1264" s="2" t="s">
        <v>15</v>
      </c>
      <c r="D1264" s="4">
        <v>13.91</v>
      </c>
      <c r="E1264" s="5">
        <v>0.0</v>
      </c>
      <c r="F1264" s="5" t="s">
        <v>15</v>
      </c>
      <c r="G1264" s="5" t="s">
        <v>15</v>
      </c>
      <c r="H1264" s="4">
        <v>0.0</v>
      </c>
      <c r="I1264" s="4">
        <v>972.621056</v>
      </c>
      <c r="J1264" s="6">
        <v>0.0</v>
      </c>
      <c r="K1264" s="5" t="s">
        <v>15</v>
      </c>
      <c r="L1264" s="7">
        <v>2.06074810281208</v>
      </c>
      <c r="M1264" s="4">
        <v>24.25</v>
      </c>
      <c r="N1264" s="2">
        <v>9.25</v>
      </c>
    </row>
    <row r="1265">
      <c r="A1265" s="2" t="s">
        <v>1290</v>
      </c>
      <c r="B1265" s="3" t="str">
        <f>HYPERLINK("https://www.suredividend.com/sure-analysis-research-database/","Pricesmart Inc.")</f>
        <v>Pricesmart Inc.</v>
      </c>
      <c r="C1265" s="2" t="s">
        <v>89</v>
      </c>
      <c r="D1265" s="4">
        <v>75.12</v>
      </c>
      <c r="E1265" s="5">
        <v>0.01177792605938</v>
      </c>
      <c r="F1265" s="5" t="s">
        <v>15</v>
      </c>
      <c r="G1265" s="5" t="s">
        <v>15</v>
      </c>
      <c r="H1265" s="4">
        <v>0.917264881504548</v>
      </c>
      <c r="I1265" s="4">
        <v>2376.568323</v>
      </c>
      <c r="J1265" s="6">
        <v>20.7920099679795</v>
      </c>
      <c r="K1265" s="5">
        <v>0.245915517829637</v>
      </c>
      <c r="L1265" s="7">
        <v>0.765361597224842</v>
      </c>
      <c r="M1265" s="4">
        <v>83.71</v>
      </c>
      <c r="N1265" s="2">
        <v>61.82</v>
      </c>
    </row>
    <row r="1266">
      <c r="A1266" s="2" t="s">
        <v>1291</v>
      </c>
      <c r="B1266" s="3" t="str">
        <f>HYPERLINK("https://www.suredividend.com/sure-analysis-research-database/","Parsons Corp")</f>
        <v>Parsons Corp</v>
      </c>
      <c r="C1266" s="2" t="s">
        <v>17</v>
      </c>
      <c r="D1266" s="4">
        <v>65.16</v>
      </c>
      <c r="E1266" s="5">
        <v>0.0</v>
      </c>
      <c r="F1266" s="5" t="s">
        <v>15</v>
      </c>
      <c r="G1266" s="5" t="s">
        <v>15</v>
      </c>
      <c r="H1266" s="4">
        <v>0.0</v>
      </c>
      <c r="I1266" s="4">
        <v>6958.332081</v>
      </c>
      <c r="J1266" s="6">
        <v>48.1972410202809</v>
      </c>
      <c r="K1266" s="5">
        <v>0.0</v>
      </c>
      <c r="L1266" s="7">
        <v>0.465664911265231</v>
      </c>
      <c r="M1266" s="4">
        <v>67.12</v>
      </c>
      <c r="N1266" s="2">
        <v>40.61</v>
      </c>
    </row>
    <row r="1267">
      <c r="A1267" s="2" t="s">
        <v>1292</v>
      </c>
      <c r="B1267" s="3" t="str">
        <f>HYPERLINK("https://www.suredividend.com/sure-analysis-PSTL/","Postal Realty Trust Inc")</f>
        <v>Postal Realty Trust Inc</v>
      </c>
      <c r="C1267" s="2" t="s">
        <v>20</v>
      </c>
      <c r="D1267" s="4">
        <v>14.18</v>
      </c>
      <c r="E1267" s="5">
        <v>0.0669957686882933</v>
      </c>
      <c r="F1267" s="5" t="s">
        <v>15</v>
      </c>
      <c r="G1267" s="5" t="s">
        <v>15</v>
      </c>
      <c r="H1267" s="4">
        <v>0.926448379766758</v>
      </c>
      <c r="I1267" s="4">
        <v>315.728685</v>
      </c>
      <c r="J1267" s="6">
        <v>80.935320328121</v>
      </c>
      <c r="K1267" s="5">
        <v>4.6299269353661</v>
      </c>
      <c r="L1267" s="7">
        <v>0.764565319023189</v>
      </c>
      <c r="M1267" s="4">
        <v>15.22</v>
      </c>
      <c r="N1267" s="2">
        <v>12.75</v>
      </c>
    </row>
    <row r="1268">
      <c r="A1268" s="2" t="s">
        <v>1293</v>
      </c>
      <c r="B1268" s="3" t="str">
        <f>HYPERLINK("https://www.suredividend.com/sure-analysis-research-database/","PTC Therapeutics Inc")</f>
        <v>PTC Therapeutics Inc</v>
      </c>
      <c r="C1268" s="2" t="s">
        <v>30</v>
      </c>
      <c r="D1268" s="4">
        <v>25.07</v>
      </c>
      <c r="E1268" s="5">
        <v>0.0</v>
      </c>
      <c r="F1268" s="5" t="s">
        <v>15</v>
      </c>
      <c r="G1268" s="5" t="s">
        <v>15</v>
      </c>
      <c r="H1268" s="4">
        <v>0.0</v>
      </c>
      <c r="I1268" s="4">
        <v>2125.042163</v>
      </c>
      <c r="J1268" s="6" t="s">
        <v>15</v>
      </c>
      <c r="K1268" s="5">
        <v>0.0</v>
      </c>
      <c r="L1268" s="7">
        <v>1.29711170375426</v>
      </c>
      <c r="M1268" s="4">
        <v>59.84</v>
      </c>
      <c r="N1268" s="2">
        <v>17.53</v>
      </c>
    </row>
    <row r="1269">
      <c r="A1269" s="2" t="s">
        <v>1294</v>
      </c>
      <c r="B1269" s="3" t="str">
        <f>HYPERLINK("https://www.suredividend.com/sure-analysis-research-database/","Patterson-UTI Energy Inc")</f>
        <v>Patterson-UTI Energy Inc</v>
      </c>
      <c r="C1269" s="2" t="s">
        <v>125</v>
      </c>
      <c r="D1269" s="4">
        <v>10.15</v>
      </c>
      <c r="E1269" s="5">
        <v>0.029029877331842</v>
      </c>
      <c r="F1269" s="5" t="s">
        <v>15</v>
      </c>
      <c r="G1269" s="5" t="s">
        <v>15</v>
      </c>
      <c r="H1269" s="4">
        <v>0.31468387027717</v>
      </c>
      <c r="I1269" s="4">
        <v>4523.3152</v>
      </c>
      <c r="J1269" s="6">
        <v>15.9025843854042</v>
      </c>
      <c r="K1269" s="5">
        <v>0.257937598587844</v>
      </c>
      <c r="L1269" s="7">
        <v>1.18156445539784</v>
      </c>
      <c r="M1269" s="4">
        <v>16.37</v>
      </c>
      <c r="N1269" s="2">
        <v>9.52</v>
      </c>
    </row>
    <row r="1270">
      <c r="A1270" s="2" t="s">
        <v>1295</v>
      </c>
      <c r="B1270" s="3" t="str">
        <f>HYPERLINK("https://www.suredividend.com/sure-analysis-research-database/","Protagonist Therapeutics Inc")</f>
        <v>Protagonist Therapeutics Inc</v>
      </c>
      <c r="C1270" s="2" t="s">
        <v>30</v>
      </c>
      <c r="D1270" s="4">
        <v>26.01</v>
      </c>
      <c r="E1270" s="5">
        <v>0.0</v>
      </c>
      <c r="F1270" s="5" t="s">
        <v>15</v>
      </c>
      <c r="G1270" s="5" t="s">
        <v>15</v>
      </c>
      <c r="H1270" s="4">
        <v>0.0</v>
      </c>
      <c r="I1270" s="4">
        <v>1535.391608</v>
      </c>
      <c r="J1270" s="6">
        <v>0.0</v>
      </c>
      <c r="K1270" s="5" t="s">
        <v>15</v>
      </c>
      <c r="L1270" s="7">
        <v>0.467269358235578</v>
      </c>
      <c r="M1270" s="4">
        <v>30.1</v>
      </c>
      <c r="N1270" s="2">
        <v>12.91</v>
      </c>
    </row>
    <row r="1271">
      <c r="A1271" s="2" t="s">
        <v>1296</v>
      </c>
      <c r="B1271" s="3" t="str">
        <f>HYPERLINK("https://www.suredividend.com/sure-analysis-research-database/","Portillos Inc")</f>
        <v>Portillos Inc</v>
      </c>
      <c r="C1271" s="2" t="s">
        <v>15</v>
      </c>
      <c r="D1271" s="4">
        <v>13.21</v>
      </c>
      <c r="E1271" s="5">
        <v>0.0</v>
      </c>
      <c r="F1271" s="5" t="s">
        <v>15</v>
      </c>
      <c r="G1271" s="5" t="s">
        <v>15</v>
      </c>
      <c r="H1271" s="4">
        <v>0.0</v>
      </c>
      <c r="I1271" s="4">
        <v>791.161236</v>
      </c>
      <c r="J1271" s="6">
        <v>0.0</v>
      </c>
      <c r="K1271" s="5" t="s">
        <v>15</v>
      </c>
      <c r="L1271" s="7">
        <v>1.05327958800038</v>
      </c>
      <c r="M1271" s="4">
        <v>24.41</v>
      </c>
      <c r="N1271" s="2">
        <v>12.85</v>
      </c>
    </row>
    <row r="1272">
      <c r="A1272" s="2" t="s">
        <v>1297</v>
      </c>
      <c r="B1272" s="3" t="str">
        <f>HYPERLINK("https://www.suredividend.com/sure-analysis-research-database/","Proterra Inc")</f>
        <v>Proterra Inc</v>
      </c>
      <c r="C1272" s="2" t="s">
        <v>15</v>
      </c>
      <c r="D1272" s="4">
        <v>0.067</v>
      </c>
      <c r="E1272" s="5">
        <v>0.0</v>
      </c>
      <c r="F1272" s="5" t="s">
        <v>15</v>
      </c>
      <c r="G1272" s="5" t="s">
        <v>15</v>
      </c>
      <c r="H1272" s="4">
        <v>0.0</v>
      </c>
      <c r="I1272" s="4">
        <v>0.0</v>
      </c>
      <c r="J1272" s="6">
        <v>0.0</v>
      </c>
      <c r="K1272" s="5" t="s">
        <v>15</v>
      </c>
      <c r="L1272" s="7"/>
      <c r="M1272" s="4" t="s">
        <v>49</v>
      </c>
      <c r="N1272" s="2" t="s">
        <v>49</v>
      </c>
    </row>
    <row r="1273">
      <c r="A1273" s="2" t="s">
        <v>1298</v>
      </c>
      <c r="B1273" s="3" t="str">
        <f>HYPERLINK("https://www.suredividend.com/sure-analysis-research-database/","P.A.M. Transportation Services, Inc.")</f>
        <v>P.A.M. Transportation Services, Inc.</v>
      </c>
      <c r="C1273" s="2" t="s">
        <v>17</v>
      </c>
      <c r="D1273" s="4">
        <v>19.1</v>
      </c>
      <c r="E1273" s="5">
        <v>0.0</v>
      </c>
      <c r="F1273" s="5" t="s">
        <v>15</v>
      </c>
      <c r="G1273" s="5" t="s">
        <v>15</v>
      </c>
      <c r="H1273" s="4">
        <v>0.0</v>
      </c>
      <c r="I1273" s="4">
        <v>471.697124</v>
      </c>
      <c r="J1273" s="6">
        <v>12.2109587154728</v>
      </c>
      <c r="K1273" s="5">
        <v>0.0</v>
      </c>
      <c r="L1273" s="7">
        <v>1.04944107950051</v>
      </c>
      <c r="M1273" s="4">
        <v>31.36</v>
      </c>
      <c r="N1273" s="2">
        <v>15.66</v>
      </c>
    </row>
    <row r="1274">
      <c r="A1274" s="2" t="s">
        <v>1299</v>
      </c>
      <c r="B1274" s="3" t="str">
        <f>HYPERLINK("https://www.suredividend.com/sure-analysis-research-database/","Pactiv Evergreen Inc")</f>
        <v>Pactiv Evergreen Inc</v>
      </c>
      <c r="C1274" s="2" t="s">
        <v>15</v>
      </c>
      <c r="D1274" s="4">
        <v>14.42</v>
      </c>
      <c r="E1274" s="5">
        <v>0.026049289060269</v>
      </c>
      <c r="F1274" s="5" t="s">
        <v>15</v>
      </c>
      <c r="G1274" s="5" t="s">
        <v>15</v>
      </c>
      <c r="H1274" s="4">
        <v>0.388915885669819</v>
      </c>
      <c r="I1274" s="4">
        <v>2664.341451</v>
      </c>
      <c r="J1274" s="6" t="s">
        <v>15</v>
      </c>
      <c r="K1274" s="5" t="s">
        <v>15</v>
      </c>
      <c r="L1274" s="7">
        <v>1.54824062636266</v>
      </c>
      <c r="M1274" s="4">
        <v>15.25</v>
      </c>
      <c r="N1274" s="2">
        <v>6.49</v>
      </c>
    </row>
    <row r="1275">
      <c r="A1275" s="2" t="s">
        <v>1300</v>
      </c>
      <c r="B1275" s="3" t="str">
        <f>HYPERLINK("https://www.suredividend.com/sure-analysis-research-database/","PubMatic Inc")</f>
        <v>PubMatic Inc</v>
      </c>
      <c r="C1275" s="2" t="s">
        <v>15</v>
      </c>
      <c r="D1275" s="4">
        <v>14.81</v>
      </c>
      <c r="E1275" s="5">
        <v>0.0</v>
      </c>
      <c r="F1275" s="5" t="s">
        <v>15</v>
      </c>
      <c r="G1275" s="5" t="s">
        <v>15</v>
      </c>
      <c r="H1275" s="4">
        <v>0.0</v>
      </c>
      <c r="I1275" s="4">
        <v>668.57628</v>
      </c>
      <c r="J1275" s="6">
        <v>225.870364864864</v>
      </c>
      <c r="K1275" s="5">
        <v>0.0</v>
      </c>
      <c r="L1275" s="7">
        <v>1.79278136751209</v>
      </c>
      <c r="M1275" s="4">
        <v>20.08</v>
      </c>
      <c r="N1275" s="2">
        <v>10.92</v>
      </c>
    </row>
    <row r="1276">
      <c r="A1276" s="2" t="s">
        <v>1301</v>
      </c>
      <c r="B1276" s="3" t="str">
        <f>HYPERLINK("https://www.suredividend.com/sure-analysis-research-database/","ProPetro Holding Corp")</f>
        <v>ProPetro Holding Corp</v>
      </c>
      <c r="C1276" s="2" t="s">
        <v>125</v>
      </c>
      <c r="D1276" s="4">
        <v>7.7</v>
      </c>
      <c r="E1276" s="5">
        <v>0.0</v>
      </c>
      <c r="F1276" s="5" t="s">
        <v>15</v>
      </c>
      <c r="G1276" s="5" t="s">
        <v>15</v>
      </c>
      <c r="H1276" s="4">
        <v>0.0</v>
      </c>
      <c r="I1276" s="4">
        <v>923.791951</v>
      </c>
      <c r="J1276" s="6">
        <v>7.97858038364541</v>
      </c>
      <c r="K1276" s="5">
        <v>0.0</v>
      </c>
      <c r="L1276" s="7">
        <v>1.22597687681214</v>
      </c>
      <c r="M1276" s="4">
        <v>11.37</v>
      </c>
      <c r="N1276" s="2">
        <v>6.33</v>
      </c>
    </row>
    <row r="1277">
      <c r="A1277" s="2" t="s">
        <v>1302</v>
      </c>
      <c r="B1277" s="3" t="str">
        <f>HYPERLINK("https://www.suredividend.com/sure-analysis-research-database/","Provident Bancorp Inc")</f>
        <v>Provident Bancorp Inc</v>
      </c>
      <c r="C1277" s="2" t="s">
        <v>22</v>
      </c>
      <c r="D1277" s="4">
        <v>10.18</v>
      </c>
      <c r="E1277" s="5">
        <v>0.0</v>
      </c>
      <c r="F1277" s="5" t="s">
        <v>15</v>
      </c>
      <c r="G1277" s="5" t="s">
        <v>15</v>
      </c>
      <c r="H1277" s="4">
        <v>0.0</v>
      </c>
      <c r="I1277" s="4">
        <v>200.732922</v>
      </c>
      <c r="J1277" s="6">
        <v>18.7128667847487</v>
      </c>
      <c r="K1277" s="5">
        <v>0.0</v>
      </c>
      <c r="L1277" s="7">
        <v>1.02070093506286</v>
      </c>
      <c r="M1277" s="4">
        <v>11.45</v>
      </c>
      <c r="N1277" s="2">
        <v>5.76</v>
      </c>
    </row>
    <row r="1278">
      <c r="A1278" s="2" t="s">
        <v>1303</v>
      </c>
      <c r="B1278" s="3" t="str">
        <f>HYPERLINK("https://www.suredividend.com/sure-analysis-research-database/","Perella Weinberg Partners")</f>
        <v>Perella Weinberg Partners</v>
      </c>
      <c r="C1278" s="2" t="s">
        <v>15</v>
      </c>
      <c r="D1278" s="4">
        <v>11.68</v>
      </c>
      <c r="E1278" s="5">
        <v>0.022043199511173</v>
      </c>
      <c r="F1278" s="5" t="s">
        <v>15</v>
      </c>
      <c r="G1278" s="5" t="s">
        <v>15</v>
      </c>
      <c r="H1278" s="4">
        <v>0.275319561894562</v>
      </c>
      <c r="I1278" s="4">
        <v>540.424989</v>
      </c>
      <c r="J1278" s="6" t="s">
        <v>15</v>
      </c>
      <c r="K1278" s="5" t="s">
        <v>15</v>
      </c>
      <c r="L1278" s="7">
        <v>1.14005640434056</v>
      </c>
      <c r="M1278" s="4">
        <v>12.92</v>
      </c>
      <c r="N1278" s="2">
        <v>6.56</v>
      </c>
    </row>
    <row r="1279">
      <c r="A1279" s="2" t="s">
        <v>1304</v>
      </c>
      <c r="B1279" s="3" t="str">
        <f>HYPERLINK("https://www.suredividend.com/sure-analysis-research-database/","PowerSchool Holdings Inc")</f>
        <v>PowerSchool Holdings Inc</v>
      </c>
      <c r="C1279" s="2" t="s">
        <v>15</v>
      </c>
      <c r="D1279" s="4">
        <v>24.72</v>
      </c>
      <c r="E1279" s="5">
        <v>0.0</v>
      </c>
      <c r="F1279" s="5" t="s">
        <v>15</v>
      </c>
      <c r="G1279" s="5" t="s">
        <v>15</v>
      </c>
      <c r="H1279" s="4">
        <v>0.0</v>
      </c>
      <c r="I1279" s="4">
        <v>4882.922717</v>
      </c>
      <c r="J1279" s="6" t="s">
        <v>15</v>
      </c>
      <c r="K1279" s="5">
        <v>0.0</v>
      </c>
      <c r="L1279" s="7">
        <v>1.10759085230618</v>
      </c>
      <c r="M1279" s="4">
        <v>25.05</v>
      </c>
      <c r="N1279" s="2">
        <v>16.41</v>
      </c>
    </row>
    <row r="1280">
      <c r="A1280" s="2" t="s">
        <v>1305</v>
      </c>
      <c r="B1280" s="3" t="str">
        <f>HYPERLINK("https://www.suredividend.com/sure-analysis-research-database/","Papa John`s International, Inc.")</f>
        <v>Papa John`s International, Inc.</v>
      </c>
      <c r="C1280" s="2" t="s">
        <v>25</v>
      </c>
      <c r="D1280" s="4">
        <v>72.01</v>
      </c>
      <c r="E1280" s="5">
        <v>0.022554784962828</v>
      </c>
      <c r="F1280" s="5">
        <v>0.0952380952380953</v>
      </c>
      <c r="G1280" s="5">
        <v>0.153758896163067</v>
      </c>
      <c r="H1280" s="4">
        <v>1.73017755449858</v>
      </c>
      <c r="I1280" s="4">
        <v>2512.701867</v>
      </c>
      <c r="J1280" s="6">
        <v>31.626999637247</v>
      </c>
      <c r="K1280" s="5">
        <v>0.736245767871737</v>
      </c>
      <c r="L1280" s="7">
        <v>0.876342495998012</v>
      </c>
      <c r="M1280" s="4">
        <v>94.81</v>
      </c>
      <c r="N1280" s="2">
        <v>59.8</v>
      </c>
    </row>
    <row r="1281">
      <c r="A1281" s="2" t="s">
        <v>1306</v>
      </c>
      <c r="B1281" s="3" t="str">
        <f>HYPERLINK("https://www.suredividend.com/sure-analysis-research-database/","QCR Holding, Inc.")</f>
        <v>QCR Holding, Inc.</v>
      </c>
      <c r="C1281" s="2" t="s">
        <v>22</v>
      </c>
      <c r="D1281" s="4">
        <v>56.46</v>
      </c>
      <c r="E1281" s="5">
        <v>0.003834879410752</v>
      </c>
      <c r="F1281" s="5">
        <v>0.0</v>
      </c>
      <c r="G1281" s="5">
        <v>0.0</v>
      </c>
      <c r="H1281" s="4">
        <v>0.239162254451559</v>
      </c>
      <c r="I1281" s="4">
        <v>1043.515128</v>
      </c>
      <c r="J1281" s="6">
        <v>0.0</v>
      </c>
      <c r="K1281" s="5" t="s">
        <v>15</v>
      </c>
      <c r="L1281" s="7">
        <v>1.40778789703237</v>
      </c>
      <c r="M1281" s="4">
        <v>62.45</v>
      </c>
      <c r="N1281" s="2">
        <v>34.88</v>
      </c>
    </row>
    <row r="1282">
      <c r="A1282" s="2" t="s">
        <v>1307</v>
      </c>
      <c r="B1282" s="3" t="str">
        <f>HYPERLINK("https://www.suredividend.com/sure-analysis-research-database/","Qualys Inc")</f>
        <v>Qualys Inc</v>
      </c>
      <c r="C1282" s="2" t="s">
        <v>40</v>
      </c>
      <c r="D1282" s="4">
        <v>168.24</v>
      </c>
      <c r="E1282" s="5">
        <v>0.0</v>
      </c>
      <c r="F1282" s="5" t="s">
        <v>15</v>
      </c>
      <c r="G1282" s="5" t="s">
        <v>15</v>
      </c>
      <c r="H1282" s="4">
        <v>0.0</v>
      </c>
      <c r="I1282" s="4">
        <v>7051.03774</v>
      </c>
      <c r="J1282" s="6">
        <v>50.6074711437758</v>
      </c>
      <c r="K1282" s="5">
        <v>0.0</v>
      </c>
      <c r="L1282" s="7">
        <v>1.22950260843455</v>
      </c>
      <c r="M1282" s="4">
        <v>206.35</v>
      </c>
      <c r="N1282" s="2">
        <v>107.0</v>
      </c>
    </row>
    <row r="1283">
      <c r="A1283" s="2" t="s">
        <v>1308</v>
      </c>
      <c r="B1283" s="3" t="str">
        <f>HYPERLINK("https://www.suredividend.com/sure-analysis-research-database/","QuinStreet Inc")</f>
        <v>QuinStreet Inc</v>
      </c>
      <c r="C1283" s="2" t="s">
        <v>114</v>
      </c>
      <c r="D1283" s="4">
        <v>12.41</v>
      </c>
      <c r="E1283" s="5">
        <v>0.0</v>
      </c>
      <c r="F1283" s="5" t="s">
        <v>15</v>
      </c>
      <c r="G1283" s="5" t="s">
        <v>15</v>
      </c>
      <c r="H1283" s="4">
        <v>0.0</v>
      </c>
      <c r="I1283" s="4">
        <v>709.254</v>
      </c>
      <c r="J1283" s="6" t="s">
        <v>15</v>
      </c>
      <c r="K1283" s="5">
        <v>0.0</v>
      </c>
      <c r="L1283" s="7">
        <v>1.05023797793269</v>
      </c>
      <c r="M1283" s="4">
        <v>18.18</v>
      </c>
      <c r="N1283" s="2">
        <v>6.79</v>
      </c>
    </row>
    <row r="1284">
      <c r="A1284" s="2" t="s">
        <v>1309</v>
      </c>
      <c r="B1284" s="3" t="str">
        <f>HYPERLINK("https://www.suredividend.com/sure-analysis-research-database/","Qurate Retail Inc")</f>
        <v>Qurate Retail Inc</v>
      </c>
      <c r="C1284" s="2" t="s">
        <v>25</v>
      </c>
      <c r="D1284" s="4">
        <v>0.8</v>
      </c>
      <c r="E1284" s="5">
        <v>0.0</v>
      </c>
      <c r="F1284" s="5" t="s">
        <v>15</v>
      </c>
      <c r="G1284" s="5" t="s">
        <v>15</v>
      </c>
      <c r="H1284" s="4">
        <v>0.0</v>
      </c>
      <c r="I1284" s="4">
        <v>383.860597</v>
      </c>
      <c r="J1284" s="6">
        <v>0.0</v>
      </c>
      <c r="K1284" s="5" t="s">
        <v>15</v>
      </c>
      <c r="L1284" s="7">
        <v>3.3803907479151</v>
      </c>
      <c r="M1284" s="4">
        <v>2.84</v>
      </c>
      <c r="N1284" s="2">
        <v>0.4</v>
      </c>
    </row>
    <row r="1285">
      <c r="A1285" s="2" t="s">
        <v>1310</v>
      </c>
      <c r="B1285" s="3" t="str">
        <f>HYPERLINK("https://www.suredividend.com/sure-analysis-research-database/","Quantum-Si Incorporated")</f>
        <v>Quantum-Si Incorporated</v>
      </c>
      <c r="C1285" s="2" t="s">
        <v>15</v>
      </c>
      <c r="D1285" s="4">
        <v>1.49</v>
      </c>
      <c r="E1285" s="5">
        <v>0.0</v>
      </c>
      <c r="F1285" s="5" t="s">
        <v>15</v>
      </c>
      <c r="G1285" s="5" t="s">
        <v>15</v>
      </c>
      <c r="H1285" s="4">
        <v>0.0</v>
      </c>
      <c r="I1285" s="4">
        <v>213.133435</v>
      </c>
      <c r="J1285" s="6">
        <v>0.0</v>
      </c>
      <c r="K1285" s="5" t="s">
        <v>15</v>
      </c>
      <c r="L1285" s="7">
        <v>2.98354863517067</v>
      </c>
      <c r="M1285" s="4">
        <v>3.9</v>
      </c>
      <c r="N1285" s="2">
        <v>1.12</v>
      </c>
    </row>
    <row r="1286">
      <c r="A1286" s="2" t="s">
        <v>1311</v>
      </c>
      <c r="B1286" s="3" t="str">
        <f>HYPERLINK("https://www.suredividend.com/sure-analysis-research-database/","Quanterix Corp")</f>
        <v>Quanterix Corp</v>
      </c>
      <c r="C1286" s="2" t="s">
        <v>30</v>
      </c>
      <c r="D1286" s="4">
        <v>23.44</v>
      </c>
      <c r="E1286" s="5">
        <v>0.0</v>
      </c>
      <c r="F1286" s="5" t="s">
        <v>15</v>
      </c>
      <c r="G1286" s="5" t="s">
        <v>15</v>
      </c>
      <c r="H1286" s="4">
        <v>0.0</v>
      </c>
      <c r="I1286" s="4">
        <v>893.538601</v>
      </c>
      <c r="J1286" s="6" t="s">
        <v>15</v>
      </c>
      <c r="K1286" s="5">
        <v>0.0</v>
      </c>
      <c r="L1286" s="7">
        <v>1.55886164965065</v>
      </c>
      <c r="M1286" s="4">
        <v>28.78</v>
      </c>
      <c r="N1286" s="2">
        <v>10.02</v>
      </c>
    </row>
    <row r="1287">
      <c r="A1287" s="2" t="s">
        <v>1312</v>
      </c>
      <c r="B1287" s="3" t="str">
        <f>HYPERLINK("https://www.suredividend.com/sure-analysis-research-database/","Q2 Holdings Inc")</f>
        <v>Q2 Holdings Inc</v>
      </c>
      <c r="C1287" s="2" t="s">
        <v>40</v>
      </c>
      <c r="D1287" s="4">
        <v>40.98</v>
      </c>
      <c r="E1287" s="5">
        <v>0.0</v>
      </c>
      <c r="F1287" s="5" t="s">
        <v>15</v>
      </c>
      <c r="G1287" s="5" t="s">
        <v>15</v>
      </c>
      <c r="H1287" s="4">
        <v>0.0</v>
      </c>
      <c r="I1287" s="4">
        <v>2604.566922</v>
      </c>
      <c r="J1287" s="6" t="s">
        <v>15</v>
      </c>
      <c r="K1287" s="5">
        <v>0.0</v>
      </c>
      <c r="L1287" s="7">
        <v>2.38326381161551</v>
      </c>
      <c r="M1287" s="4">
        <v>45.0</v>
      </c>
      <c r="N1287" s="2">
        <v>18.91</v>
      </c>
    </row>
    <row r="1288">
      <c r="A1288" s="2" t="s">
        <v>1313</v>
      </c>
      <c r="B1288" s="3" t="str">
        <f>HYPERLINK("https://www.suredividend.com/sure-analysis-research-database/","Quad/Graphics Inc")</f>
        <v>Quad/Graphics Inc</v>
      </c>
      <c r="C1288" s="2" t="s">
        <v>17</v>
      </c>
      <c r="D1288" s="4">
        <v>5.42</v>
      </c>
      <c r="E1288" s="5">
        <v>0.0</v>
      </c>
      <c r="F1288" s="5" t="s">
        <v>15</v>
      </c>
      <c r="G1288" s="5" t="s">
        <v>15</v>
      </c>
      <c r="H1288" s="4">
        <v>0.0</v>
      </c>
      <c r="I1288" s="4">
        <v>214.806086</v>
      </c>
      <c r="J1288" s="6">
        <v>0.0</v>
      </c>
      <c r="K1288" s="5" t="s">
        <v>15</v>
      </c>
      <c r="L1288" s="7">
        <v>1.59421486688517</v>
      </c>
      <c r="M1288" s="4">
        <v>6.41</v>
      </c>
      <c r="N1288" s="2">
        <v>2.68</v>
      </c>
    </row>
    <row r="1289">
      <c r="A1289" s="2" t="s">
        <v>1314</v>
      </c>
      <c r="B1289" s="3" t="str">
        <f>HYPERLINK("https://www.suredividend.com/sure-analysis-research-database/","Quotient Technology Inc")</f>
        <v>Quotient Technology Inc</v>
      </c>
      <c r="C1289" s="2" t="s">
        <v>114</v>
      </c>
      <c r="D1289" s="4">
        <v>3.99</v>
      </c>
      <c r="E1289" s="5">
        <v>0.0</v>
      </c>
      <c r="F1289" s="5" t="s">
        <v>15</v>
      </c>
      <c r="G1289" s="5" t="s">
        <v>15</v>
      </c>
      <c r="H1289" s="4">
        <v>0.0</v>
      </c>
      <c r="I1289" s="4">
        <v>397.923394</v>
      </c>
      <c r="J1289" s="6" t="s">
        <v>15</v>
      </c>
      <c r="K1289" s="5">
        <v>0.0</v>
      </c>
      <c r="L1289" s="7">
        <v>0.831249451515452</v>
      </c>
      <c r="M1289" s="4">
        <v>4.25</v>
      </c>
      <c r="N1289" s="2">
        <v>1.71</v>
      </c>
    </row>
    <row r="1290">
      <c r="A1290" s="2" t="s">
        <v>1315</v>
      </c>
      <c r="B1290" s="3" t="str">
        <f>HYPERLINK("https://www.suredividend.com/sure-analysis-research-database/","Rite Aid Corp.")</f>
        <v>Rite Aid Corp.</v>
      </c>
      <c r="C1290" s="2" t="s">
        <v>30</v>
      </c>
      <c r="D1290" s="4">
        <v>0.6483</v>
      </c>
      <c r="E1290" s="5">
        <v>0.0</v>
      </c>
      <c r="F1290" s="5" t="s">
        <v>15</v>
      </c>
      <c r="G1290" s="5" t="s">
        <v>15</v>
      </c>
      <c r="H1290" s="4">
        <v>0.0</v>
      </c>
      <c r="I1290" s="4">
        <v>36.756232</v>
      </c>
      <c r="J1290" s="6" t="s">
        <v>15</v>
      </c>
      <c r="K1290" s="5">
        <v>0.0</v>
      </c>
      <c r="L1290" s="7">
        <v>1.05032209267541</v>
      </c>
      <c r="M1290" s="4">
        <v>7.37</v>
      </c>
      <c r="N1290" s="2">
        <v>0.3779</v>
      </c>
    </row>
    <row r="1291">
      <c r="A1291" s="2" t="s">
        <v>1316</v>
      </c>
      <c r="B1291" s="3" t="str">
        <f>HYPERLINK("https://www.suredividend.com/sure-analysis-research-database/","Radius Global Infrastructure Inc")</f>
        <v>Radius Global Infrastructure Inc</v>
      </c>
      <c r="C1291" s="2" t="s">
        <v>15</v>
      </c>
      <c r="D1291" s="4">
        <v>15.0</v>
      </c>
      <c r="E1291" s="5">
        <v>0.0</v>
      </c>
      <c r="F1291" s="5" t="s">
        <v>15</v>
      </c>
      <c r="G1291" s="5" t="s">
        <v>15</v>
      </c>
      <c r="H1291" s="4">
        <v>0.0</v>
      </c>
      <c r="I1291" s="4">
        <v>0.0</v>
      </c>
      <c r="J1291" s="6">
        <v>0.0</v>
      </c>
      <c r="K1291" s="5">
        <v>0.0</v>
      </c>
      <c r="L1291" s="7"/>
      <c r="M1291" s="4" t="s">
        <v>49</v>
      </c>
      <c r="N1291" s="2" t="s">
        <v>49</v>
      </c>
    </row>
    <row r="1292">
      <c r="A1292" s="2" t="s">
        <v>1317</v>
      </c>
      <c r="B1292" s="3" t="str">
        <f>HYPERLINK("https://www.suredividend.com/sure-analysis-research-database/","LiveRamp Holdings Inc")</f>
        <v>LiveRamp Holdings Inc</v>
      </c>
      <c r="C1292" s="2" t="s">
        <v>40</v>
      </c>
      <c r="D1292" s="4">
        <v>40.07</v>
      </c>
      <c r="E1292" s="5">
        <v>0.0</v>
      </c>
      <c r="F1292" s="5" t="s">
        <v>15</v>
      </c>
      <c r="G1292" s="5" t="s">
        <v>15</v>
      </c>
      <c r="H1292" s="4">
        <v>0.0</v>
      </c>
      <c r="I1292" s="4">
        <v>2714.770494</v>
      </c>
      <c r="J1292" s="6" t="s">
        <v>15</v>
      </c>
      <c r="K1292" s="5">
        <v>0.0</v>
      </c>
      <c r="L1292" s="7">
        <v>1.31673027617357</v>
      </c>
      <c r="M1292" s="4">
        <v>42.66</v>
      </c>
      <c r="N1292" s="2">
        <v>20.26</v>
      </c>
    </row>
    <row r="1293">
      <c r="A1293" s="2" t="s">
        <v>1318</v>
      </c>
      <c r="B1293" s="3" t="str">
        <f>HYPERLINK("https://www.suredividend.com/sure-analysis-research-database/","RAPT Therapeutics Inc")</f>
        <v>RAPT Therapeutics Inc</v>
      </c>
      <c r="C1293" s="2" t="s">
        <v>30</v>
      </c>
      <c r="D1293" s="4">
        <v>25.1</v>
      </c>
      <c r="E1293" s="5">
        <v>0.0</v>
      </c>
      <c r="F1293" s="5" t="s">
        <v>15</v>
      </c>
      <c r="G1293" s="5" t="s">
        <v>15</v>
      </c>
      <c r="H1293" s="4">
        <v>0.0</v>
      </c>
      <c r="I1293" s="4">
        <v>901.524717</v>
      </c>
      <c r="J1293" s="6">
        <v>0.0</v>
      </c>
      <c r="K1293" s="5" t="s">
        <v>15</v>
      </c>
      <c r="L1293" s="7">
        <v>1.35426278475881</v>
      </c>
      <c r="M1293" s="4">
        <v>31.45</v>
      </c>
      <c r="N1293" s="2">
        <v>10.47</v>
      </c>
    </row>
    <row r="1294">
      <c r="A1294" s="2" t="s">
        <v>1319</v>
      </c>
      <c r="B1294" s="3" t="str">
        <f>HYPERLINK("https://www.suredividend.com/sure-analysis-research-database/","RBB Bancorp")</f>
        <v>RBB Bancorp</v>
      </c>
      <c r="C1294" s="2" t="s">
        <v>22</v>
      </c>
      <c r="D1294" s="4">
        <v>17.27</v>
      </c>
      <c r="E1294" s="5">
        <v>0.024658391245545</v>
      </c>
      <c r="F1294" s="5">
        <v>0.0</v>
      </c>
      <c r="G1294" s="5">
        <v>0.0985605433061176</v>
      </c>
      <c r="H1294" s="4">
        <v>0.46010338808976</v>
      </c>
      <c r="I1294" s="4">
        <v>354.435258</v>
      </c>
      <c r="J1294" s="6">
        <v>7.38806975043356</v>
      </c>
      <c r="K1294" s="5">
        <v>0.182580709559428</v>
      </c>
      <c r="L1294" s="7">
        <v>1.95282475185596</v>
      </c>
      <c r="M1294" s="4">
        <v>19.88</v>
      </c>
      <c r="N1294" s="2">
        <v>8.07</v>
      </c>
    </row>
    <row r="1295">
      <c r="A1295" s="2" t="s">
        <v>1320</v>
      </c>
      <c r="B1295" s="3" t="str">
        <f>HYPERLINK("https://www.suredividend.com/sure-analysis-research-database/","Ribbon Communications Inc")</f>
        <v>Ribbon Communications Inc</v>
      </c>
      <c r="C1295" s="2" t="s">
        <v>114</v>
      </c>
      <c r="D1295" s="4">
        <v>3.21</v>
      </c>
      <c r="E1295" s="5">
        <v>0.0</v>
      </c>
      <c r="F1295" s="5" t="s">
        <v>15</v>
      </c>
      <c r="G1295" s="5" t="s">
        <v>15</v>
      </c>
      <c r="H1295" s="4">
        <v>0.0</v>
      </c>
      <c r="I1295" s="4">
        <v>552.973038</v>
      </c>
      <c r="J1295" s="6">
        <v>0.0</v>
      </c>
      <c r="K1295" s="5" t="s">
        <v>15</v>
      </c>
      <c r="L1295" s="7">
        <v>1.56358831275004</v>
      </c>
      <c r="M1295" s="4">
        <v>4.84</v>
      </c>
      <c r="N1295" s="2">
        <v>1.78</v>
      </c>
    </row>
    <row r="1296">
      <c r="A1296" s="2" t="s">
        <v>1321</v>
      </c>
      <c r="B1296" s="3" t="str">
        <f>HYPERLINK("https://www.suredividend.com/sure-analysis-research-database/","RBC Bearings Inc.")</f>
        <v>RBC Bearings Inc.</v>
      </c>
      <c r="C1296" s="2" t="s">
        <v>17</v>
      </c>
      <c r="D1296" s="4">
        <v>272.53</v>
      </c>
      <c r="E1296" s="5">
        <v>0.0</v>
      </c>
      <c r="F1296" s="5" t="s">
        <v>15</v>
      </c>
      <c r="G1296" s="5" t="s">
        <v>15</v>
      </c>
      <c r="H1296" s="4">
        <v>0.0</v>
      </c>
      <c r="I1296" s="4">
        <v>7998.956425</v>
      </c>
      <c r="J1296" s="6">
        <v>48.6969221050773</v>
      </c>
      <c r="K1296" s="5">
        <v>0.0</v>
      </c>
      <c r="L1296" s="7">
        <v>1.11463668664427</v>
      </c>
      <c r="M1296" s="4">
        <v>288.16</v>
      </c>
      <c r="N1296" s="2">
        <v>195.18</v>
      </c>
    </row>
    <row r="1297">
      <c r="A1297" s="2" t="s">
        <v>1322</v>
      </c>
      <c r="B1297" s="3" t="str">
        <f>HYPERLINK("https://www.suredividend.com/sure-analysis-RBCAA/","Republic Bancorp, Inc. (KY)")</f>
        <v>Republic Bancorp, Inc. (KY)</v>
      </c>
      <c r="C1297" s="2" t="s">
        <v>22</v>
      </c>
      <c r="D1297" s="4">
        <v>50.05</v>
      </c>
      <c r="E1297" s="5">
        <v>0.0325674325674325</v>
      </c>
      <c r="F1297" s="5">
        <v>0.096774193548387</v>
      </c>
      <c r="G1297" s="5">
        <v>0.0721450259008509</v>
      </c>
      <c r="H1297" s="4">
        <v>1.46163829757749</v>
      </c>
      <c r="I1297" s="4">
        <v>935.324267</v>
      </c>
      <c r="J1297" s="6">
        <v>10.333818733966</v>
      </c>
      <c r="K1297" s="5">
        <v>0.321946761580946</v>
      </c>
      <c r="L1297" s="7">
        <v>0.879714548126002</v>
      </c>
      <c r="M1297" s="4">
        <v>57.54</v>
      </c>
      <c r="N1297" s="2">
        <v>35.49</v>
      </c>
    </row>
    <row r="1298">
      <c r="A1298" s="2" t="s">
        <v>1323</v>
      </c>
      <c r="B1298" s="3" t="str">
        <f>HYPERLINK("https://www.suredividend.com/sure-analysis-research-database/","Vicarious Surgical Inc")</f>
        <v>Vicarious Surgical Inc</v>
      </c>
      <c r="C1298" s="2" t="s">
        <v>15</v>
      </c>
      <c r="D1298" s="4">
        <v>0.3895</v>
      </c>
      <c r="E1298" s="5">
        <v>0.0</v>
      </c>
      <c r="F1298" s="5" t="s">
        <v>15</v>
      </c>
      <c r="G1298" s="5" t="s">
        <v>15</v>
      </c>
      <c r="H1298" s="4">
        <v>0.0</v>
      </c>
      <c r="I1298" s="4">
        <v>47.833507</v>
      </c>
      <c r="J1298" s="6">
        <v>0.0</v>
      </c>
      <c r="K1298" s="5" t="s">
        <v>15</v>
      </c>
      <c r="L1298" s="7">
        <v>1.34032342768784</v>
      </c>
      <c r="M1298" s="4">
        <v>3.56</v>
      </c>
      <c r="N1298" s="2">
        <v>0.2</v>
      </c>
    </row>
    <row r="1299">
      <c r="A1299" s="2" t="s">
        <v>1324</v>
      </c>
      <c r="B1299" s="3" t="str">
        <f>HYPERLINK("https://www.suredividend.com/sure-analysis-research-database/","Ready Capital Corp")</f>
        <v>Ready Capital Corp</v>
      </c>
      <c r="C1299" s="2" t="s">
        <v>20</v>
      </c>
      <c r="D1299" s="4">
        <v>9.04</v>
      </c>
      <c r="E1299" s="5">
        <v>0.114909957705667</v>
      </c>
      <c r="F1299" s="5">
        <v>-0.249999999999999</v>
      </c>
      <c r="G1299" s="5">
        <v>-0.055912488705098</v>
      </c>
      <c r="H1299" s="4">
        <v>1.14335407917138</v>
      </c>
      <c r="I1299" s="4">
        <v>1712.640457</v>
      </c>
      <c r="J1299" s="6">
        <v>5.13176837936314</v>
      </c>
      <c r="K1299" s="5">
        <v>0.478390828105182</v>
      </c>
      <c r="L1299" s="7">
        <v>1.53877947341271</v>
      </c>
      <c r="M1299" s="4">
        <v>11.72</v>
      </c>
      <c r="N1299" s="2">
        <v>8.13</v>
      </c>
    </row>
    <row r="1300">
      <c r="A1300" s="2" t="s">
        <v>1325</v>
      </c>
      <c r="B1300" s="3" t="str">
        <f>HYPERLINK("https://www.suredividend.com/sure-analysis-research-database/","Rocket Pharmaceuticals Inc")</f>
        <v>Rocket Pharmaceuticals Inc</v>
      </c>
      <c r="C1300" s="2" t="s">
        <v>30</v>
      </c>
      <c r="D1300" s="4">
        <v>28.64</v>
      </c>
      <c r="E1300" s="5">
        <v>0.0</v>
      </c>
      <c r="F1300" s="5" t="s">
        <v>15</v>
      </c>
      <c r="G1300" s="5" t="s">
        <v>15</v>
      </c>
      <c r="H1300" s="4">
        <v>0.0</v>
      </c>
      <c r="I1300" s="4">
        <v>2626.328611</v>
      </c>
      <c r="J1300" s="6">
        <v>0.0</v>
      </c>
      <c r="K1300" s="5" t="s">
        <v>15</v>
      </c>
      <c r="L1300" s="7">
        <v>1.88356619514551</v>
      </c>
      <c r="M1300" s="4">
        <v>32.53</v>
      </c>
      <c r="N1300" s="2">
        <v>14.89</v>
      </c>
    </row>
    <row r="1301">
      <c r="A1301" s="2" t="s">
        <v>1326</v>
      </c>
      <c r="B1301" s="3" t="str">
        <f>HYPERLINK("https://www.suredividend.com/sure-analysis-research-database/","Rocky Brands, Inc")</f>
        <v>Rocky Brands, Inc</v>
      </c>
      <c r="C1301" s="2" t="s">
        <v>25</v>
      </c>
      <c r="D1301" s="4">
        <v>27.08</v>
      </c>
      <c r="E1301" s="5">
        <v>0.02167860892183</v>
      </c>
      <c r="F1301" s="5">
        <v>0.0</v>
      </c>
      <c r="G1301" s="5">
        <v>0.0525193538142663</v>
      </c>
      <c r="H1301" s="4">
        <v>0.607217835900475</v>
      </c>
      <c r="I1301" s="4">
        <v>206.811275</v>
      </c>
      <c r="J1301" s="6">
        <v>0.0</v>
      </c>
      <c r="K1301" s="5" t="s">
        <v>15</v>
      </c>
      <c r="L1301" s="7">
        <v>1.80703999208376</v>
      </c>
      <c r="M1301" s="4">
        <v>32.38</v>
      </c>
      <c r="N1301" s="2">
        <v>11.64</v>
      </c>
    </row>
    <row r="1302">
      <c r="A1302" s="2" t="s">
        <v>1327</v>
      </c>
      <c r="B1302" s="3" t="str">
        <f>HYPERLINK("https://www.suredividend.com/sure-analysis-research-database/","R1 RCM Inc.")</f>
        <v>R1 RCM Inc.</v>
      </c>
      <c r="C1302" s="2" t="s">
        <v>30</v>
      </c>
      <c r="D1302" s="4">
        <v>10.51</v>
      </c>
      <c r="E1302" s="5">
        <v>0.0</v>
      </c>
      <c r="F1302" s="5" t="s">
        <v>15</v>
      </c>
      <c r="G1302" s="5" t="s">
        <v>15</v>
      </c>
      <c r="H1302" s="4">
        <v>0.0</v>
      </c>
      <c r="I1302" s="4">
        <v>2925.662</v>
      </c>
      <c r="J1302" s="6" t="s">
        <v>15</v>
      </c>
      <c r="K1302" s="5">
        <v>0.0</v>
      </c>
      <c r="L1302" s="7">
        <v>1.0894077434798</v>
      </c>
      <c r="M1302" s="4">
        <v>18.7</v>
      </c>
      <c r="N1302" s="2">
        <v>8.87</v>
      </c>
    </row>
    <row r="1303">
      <c r="A1303" s="2" t="s">
        <v>1328</v>
      </c>
      <c r="B1303" s="3" t="str">
        <f>HYPERLINK("https://www.suredividend.com/sure-analysis-research-database/","Arcus Biosciences Inc")</f>
        <v>Arcus Biosciences Inc</v>
      </c>
      <c r="C1303" s="2" t="s">
        <v>30</v>
      </c>
      <c r="D1303" s="4">
        <v>15.22</v>
      </c>
      <c r="E1303" s="5">
        <v>0.0</v>
      </c>
      <c r="F1303" s="5" t="s">
        <v>15</v>
      </c>
      <c r="G1303" s="5" t="s">
        <v>15</v>
      </c>
      <c r="H1303" s="4">
        <v>0.0</v>
      </c>
      <c r="I1303" s="4">
        <v>1145.290145</v>
      </c>
      <c r="J1303" s="6" t="s">
        <v>15</v>
      </c>
      <c r="K1303" s="5">
        <v>0.0</v>
      </c>
      <c r="L1303" s="7">
        <v>1.27150319206061</v>
      </c>
      <c r="M1303" s="4">
        <v>25.47</v>
      </c>
      <c r="N1303" s="2">
        <v>12.95</v>
      </c>
    </row>
    <row r="1304">
      <c r="A1304" s="2" t="s">
        <v>1329</v>
      </c>
      <c r="B1304" s="3" t="str">
        <f>HYPERLINK("https://www.suredividend.com/sure-analysis-research-database/","Redfin Corp")</f>
        <v>Redfin Corp</v>
      </c>
      <c r="C1304" s="2" t="s">
        <v>20</v>
      </c>
      <c r="D1304" s="4">
        <v>8.08</v>
      </c>
      <c r="E1304" s="5">
        <v>0.0</v>
      </c>
      <c r="F1304" s="5" t="s">
        <v>15</v>
      </c>
      <c r="G1304" s="5" t="s">
        <v>15</v>
      </c>
      <c r="H1304" s="4">
        <v>0.0</v>
      </c>
      <c r="I1304" s="4">
        <v>1033.717493</v>
      </c>
      <c r="J1304" s="6" t="s">
        <v>15</v>
      </c>
      <c r="K1304" s="5">
        <v>0.0</v>
      </c>
      <c r="L1304" s="7">
        <v>3.80089845962719</v>
      </c>
      <c r="M1304" s="4">
        <v>17.68</v>
      </c>
      <c r="N1304" s="2">
        <v>4.26</v>
      </c>
    </row>
    <row r="1305">
      <c r="A1305" s="2" t="s">
        <v>1330</v>
      </c>
      <c r="B1305" s="3" t="str">
        <f>HYPERLINK("https://www.suredividend.com/sure-analysis-research-database/","Radian Group, Inc.")</f>
        <v>Radian Group, Inc.</v>
      </c>
      <c r="C1305" s="2" t="s">
        <v>22</v>
      </c>
      <c r="D1305" s="4">
        <v>28.36</v>
      </c>
      <c r="E1305" s="5">
        <v>0.030233881678637</v>
      </c>
      <c r="F1305" s="5">
        <v>0.125</v>
      </c>
      <c r="G1305" s="5">
        <v>1.45950948584936</v>
      </c>
      <c r="H1305" s="4">
        <v>0.888271443718372</v>
      </c>
      <c r="I1305" s="4">
        <v>4499.85073</v>
      </c>
      <c r="J1305" s="6">
        <v>7.22570433755756</v>
      </c>
      <c r="K1305" s="5">
        <v>0.230122135678334</v>
      </c>
      <c r="L1305" s="7">
        <v>0.987381189742342</v>
      </c>
      <c r="M1305" s="4">
        <v>29.57</v>
      </c>
      <c r="N1305" s="2">
        <v>19.49</v>
      </c>
    </row>
    <row r="1306">
      <c r="A1306" s="2" t="s">
        <v>1331</v>
      </c>
      <c r="B1306" s="3" t="str">
        <f>HYPERLINK("https://www.suredividend.com/sure-analysis-research-database/","Radnet Inc")</f>
        <v>Radnet Inc</v>
      </c>
      <c r="C1306" s="2" t="s">
        <v>30</v>
      </c>
      <c r="D1306" s="4">
        <v>37.15</v>
      </c>
      <c r="E1306" s="5">
        <v>0.0</v>
      </c>
      <c r="F1306" s="5" t="s">
        <v>15</v>
      </c>
      <c r="G1306" s="5" t="s">
        <v>15</v>
      </c>
      <c r="H1306" s="4">
        <v>0.0</v>
      </c>
      <c r="I1306" s="4">
        <v>2629.388208</v>
      </c>
      <c r="J1306" s="6">
        <v>662.648237789818</v>
      </c>
      <c r="K1306" s="5">
        <v>0.0</v>
      </c>
      <c r="L1306" s="7">
        <v>1.28245500991413</v>
      </c>
      <c r="M1306" s="4">
        <v>39.33</v>
      </c>
      <c r="N1306" s="2">
        <v>20.27</v>
      </c>
    </row>
    <row r="1307">
      <c r="A1307" s="2" t="s">
        <v>1332</v>
      </c>
      <c r="B1307" s="3" t="str">
        <f>HYPERLINK("https://www.suredividend.com/sure-analysis-research-database/","Red Violet Inc")</f>
        <v>Red Violet Inc</v>
      </c>
      <c r="C1307" s="2" t="s">
        <v>40</v>
      </c>
      <c r="D1307" s="4">
        <v>17.7</v>
      </c>
      <c r="E1307" s="5">
        <v>0.0</v>
      </c>
      <c r="F1307" s="5" t="s">
        <v>15</v>
      </c>
      <c r="G1307" s="5" t="s">
        <v>15</v>
      </c>
      <c r="H1307" s="4">
        <v>0.0</v>
      </c>
      <c r="I1307" s="4">
        <v>263.454755</v>
      </c>
      <c r="J1307" s="6">
        <v>20.1803718498659</v>
      </c>
      <c r="K1307" s="5">
        <v>0.0</v>
      </c>
      <c r="L1307" s="7">
        <v>1.02134370325753</v>
      </c>
      <c r="M1307" s="4">
        <v>24.28</v>
      </c>
      <c r="N1307" s="2">
        <v>15.2</v>
      </c>
    </row>
    <row r="1308">
      <c r="A1308" s="2" t="s">
        <v>1333</v>
      </c>
      <c r="B1308" s="3" t="str">
        <f>HYPERLINK("https://www.suredividend.com/sure-analysis-research-database/","Redwire Corporation")</f>
        <v>Redwire Corporation</v>
      </c>
      <c r="C1308" s="2" t="s">
        <v>15</v>
      </c>
      <c r="D1308" s="4">
        <v>2.87</v>
      </c>
      <c r="E1308" s="5">
        <v>0.0</v>
      </c>
      <c r="F1308" s="5" t="s">
        <v>15</v>
      </c>
      <c r="G1308" s="5" t="s">
        <v>15</v>
      </c>
      <c r="H1308" s="4">
        <v>0.0</v>
      </c>
      <c r="I1308" s="4">
        <v>185.327545</v>
      </c>
      <c r="J1308" s="6" t="s">
        <v>15</v>
      </c>
      <c r="K1308" s="5">
        <v>0.0</v>
      </c>
      <c r="L1308" s="7">
        <v>2.18064293462525</v>
      </c>
      <c r="M1308" s="4">
        <v>4.58</v>
      </c>
      <c r="N1308" s="2">
        <v>2.35</v>
      </c>
    </row>
    <row r="1309">
      <c r="A1309" s="2" t="s">
        <v>1334</v>
      </c>
      <c r="B1309" s="3" t="str">
        <f>HYPERLINK("https://www.suredividend.com/sure-analysis-research-database/","Therealreal Inc")</f>
        <v>Therealreal Inc</v>
      </c>
      <c r="C1309" s="2" t="s">
        <v>25</v>
      </c>
      <c r="D1309" s="4">
        <v>1.81</v>
      </c>
      <c r="E1309" s="5">
        <v>0.0</v>
      </c>
      <c r="F1309" s="5" t="s">
        <v>15</v>
      </c>
      <c r="G1309" s="5" t="s">
        <v>15</v>
      </c>
      <c r="H1309" s="4">
        <v>0.0</v>
      </c>
      <c r="I1309" s="4">
        <v>212.368</v>
      </c>
      <c r="J1309" s="6" t="s">
        <v>15</v>
      </c>
      <c r="K1309" s="5">
        <v>0.0</v>
      </c>
      <c r="L1309" s="7">
        <v>3.07968767268719</v>
      </c>
      <c r="M1309" s="4">
        <v>2.94</v>
      </c>
      <c r="N1309" s="2">
        <v>1.0</v>
      </c>
    </row>
    <row r="1310">
      <c r="A1310" s="2" t="s">
        <v>1335</v>
      </c>
      <c r="B1310" s="3" t="str">
        <f>HYPERLINK("https://www.suredividend.com/sure-analysis-research-database/","Chicago Atlantic Real Estate Finance Inc")</f>
        <v>Chicago Atlantic Real Estate Finance Inc</v>
      </c>
      <c r="C1310" s="2" t="s">
        <v>15</v>
      </c>
      <c r="D1310" s="4">
        <v>15.73</v>
      </c>
      <c r="E1310" s="5">
        <v>0.105319846017903</v>
      </c>
      <c r="F1310" s="5" t="s">
        <v>15</v>
      </c>
      <c r="G1310" s="5" t="s">
        <v>15</v>
      </c>
      <c r="H1310" s="4">
        <v>1.72619227623343</v>
      </c>
      <c r="I1310" s="4">
        <v>298.00693</v>
      </c>
      <c r="J1310" s="6">
        <v>8.1492924962458</v>
      </c>
      <c r="K1310" s="5">
        <v>0.854550631798732</v>
      </c>
      <c r="L1310" s="7">
        <v>0.620854561237115</v>
      </c>
      <c r="M1310" s="4">
        <v>16.75</v>
      </c>
      <c r="N1310" s="2">
        <v>10.43</v>
      </c>
    </row>
    <row r="1311">
      <c r="A1311" s="2" t="s">
        <v>1336</v>
      </c>
      <c r="B1311" s="3" t="str">
        <f>HYPERLINK("https://www.suredividend.com/sure-analysis-research-database/","Ring Energy Inc")</f>
        <v>Ring Energy Inc</v>
      </c>
      <c r="C1311" s="2" t="s">
        <v>125</v>
      </c>
      <c r="D1311" s="4">
        <v>1.25</v>
      </c>
      <c r="E1311" s="5">
        <v>0.0</v>
      </c>
      <c r="F1311" s="5" t="s">
        <v>15</v>
      </c>
      <c r="G1311" s="5" t="s">
        <v>15</v>
      </c>
      <c r="H1311" s="4">
        <v>0.0</v>
      </c>
      <c r="I1311" s="4">
        <v>268.013512</v>
      </c>
      <c r="J1311" s="6">
        <v>0.0</v>
      </c>
      <c r="K1311" s="5" t="s">
        <v>15</v>
      </c>
      <c r="L1311" s="7">
        <v>1.43553814249263</v>
      </c>
      <c r="M1311" s="4">
        <v>2.43</v>
      </c>
      <c r="N1311" s="2">
        <v>1.25</v>
      </c>
    </row>
    <row r="1312">
      <c r="A1312" s="2" t="s">
        <v>1337</v>
      </c>
      <c r="B1312" s="3" t="str">
        <f>HYPERLINK("https://www.suredividend.com/sure-analysis-research-database/","Remitly Global Inc")</f>
        <v>Remitly Global Inc</v>
      </c>
      <c r="C1312" s="2" t="s">
        <v>15</v>
      </c>
      <c r="D1312" s="4">
        <v>18.09</v>
      </c>
      <c r="E1312" s="5">
        <v>0.0</v>
      </c>
      <c r="F1312" s="5" t="s">
        <v>15</v>
      </c>
      <c r="G1312" s="5" t="s">
        <v>15</v>
      </c>
      <c r="H1312" s="4">
        <v>0.0</v>
      </c>
      <c r="I1312" s="4">
        <v>3231.0071</v>
      </c>
      <c r="J1312" s="6" t="s">
        <v>15</v>
      </c>
      <c r="K1312" s="5">
        <v>0.0</v>
      </c>
      <c r="L1312" s="7">
        <v>0.840332624590957</v>
      </c>
      <c r="M1312" s="4">
        <v>27.95</v>
      </c>
      <c r="N1312" s="2">
        <v>11.25</v>
      </c>
    </row>
    <row r="1313">
      <c r="A1313" s="2" t="s">
        <v>1338</v>
      </c>
      <c r="B1313" s="3" t="str">
        <f>HYPERLINK("https://www.suredividend.com/sure-analysis-research-database/","Rent the Runway Inc")</f>
        <v>Rent the Runway Inc</v>
      </c>
      <c r="C1313" s="2" t="s">
        <v>15</v>
      </c>
      <c r="D1313" s="4">
        <v>0.505</v>
      </c>
      <c r="E1313" s="5">
        <v>0.0</v>
      </c>
      <c r="F1313" s="5" t="s">
        <v>15</v>
      </c>
      <c r="G1313" s="5" t="s">
        <v>15</v>
      </c>
      <c r="H1313" s="4">
        <v>0.0</v>
      </c>
      <c r="I1313" s="4">
        <v>40.804361</v>
      </c>
      <c r="J1313" s="6">
        <v>0.0</v>
      </c>
      <c r="K1313" s="5" t="s">
        <v>15</v>
      </c>
      <c r="L1313" s="7">
        <v>2.29566917863925</v>
      </c>
      <c r="M1313" s="4">
        <v>4.82</v>
      </c>
      <c r="N1313" s="2">
        <v>0.42</v>
      </c>
    </row>
    <row r="1314">
      <c r="A1314" s="2" t="s">
        <v>1339</v>
      </c>
      <c r="B1314" s="3" t="str">
        <f>HYPERLINK("https://www.suredividend.com/sure-analysis-research-database/","Replimune Group Inc")</f>
        <v>Replimune Group Inc</v>
      </c>
      <c r="C1314" s="2" t="s">
        <v>30</v>
      </c>
      <c r="D1314" s="4">
        <v>7.05</v>
      </c>
      <c r="E1314" s="5">
        <v>0.0</v>
      </c>
      <c r="F1314" s="5" t="s">
        <v>15</v>
      </c>
      <c r="G1314" s="5" t="s">
        <v>15</v>
      </c>
      <c r="H1314" s="4">
        <v>0.0</v>
      </c>
      <c r="I1314" s="4">
        <v>478.971272</v>
      </c>
      <c r="J1314" s="6">
        <v>0.0</v>
      </c>
      <c r="K1314" s="5" t="s">
        <v>15</v>
      </c>
      <c r="L1314" s="7">
        <v>0.935816086750296</v>
      </c>
      <c r="M1314" s="4">
        <v>29.52</v>
      </c>
      <c r="N1314" s="2">
        <v>5.89</v>
      </c>
    </row>
    <row r="1315">
      <c r="A1315" s="2" t="s">
        <v>1340</v>
      </c>
      <c r="B1315" s="3" t="str">
        <f>HYPERLINK("https://www.suredividend.com/sure-analysis-research-database/","Riley Exploration Permian Inc.")</f>
        <v>Riley Exploration Permian Inc.</v>
      </c>
      <c r="C1315" s="2" t="s">
        <v>15</v>
      </c>
      <c r="D1315" s="4">
        <v>21.43</v>
      </c>
      <c r="E1315" s="5">
        <v>0.061016475209016</v>
      </c>
      <c r="F1315" s="5" t="s">
        <v>15</v>
      </c>
      <c r="G1315" s="5" t="s">
        <v>15</v>
      </c>
      <c r="H1315" s="4">
        <v>1.34602344311089</v>
      </c>
      <c r="I1315" s="4">
        <v>450.60195</v>
      </c>
      <c r="J1315" s="6">
        <v>3.81830464905813</v>
      </c>
      <c r="K1315" s="5">
        <v>0.22471176011868</v>
      </c>
      <c r="L1315" s="7">
        <v>1.04553728722893</v>
      </c>
      <c r="M1315" s="4">
        <v>43.72</v>
      </c>
      <c r="N1315" s="2">
        <v>20.9</v>
      </c>
    </row>
    <row r="1316">
      <c r="A1316" s="2" t="s">
        <v>1341</v>
      </c>
      <c r="B1316" s="3" t="str">
        <f>HYPERLINK("https://www.suredividend.com/sure-analysis-research-database/","RPC, Inc.")</f>
        <v>RPC, Inc.</v>
      </c>
      <c r="C1316" s="2" t="s">
        <v>125</v>
      </c>
      <c r="D1316" s="4">
        <v>6.92</v>
      </c>
      <c r="E1316" s="5">
        <v>0.021392714050618</v>
      </c>
      <c r="F1316" s="5" t="s">
        <v>15</v>
      </c>
      <c r="G1316" s="5" t="s">
        <v>15</v>
      </c>
      <c r="H1316" s="4">
        <v>0.158733938255589</v>
      </c>
      <c r="I1316" s="4">
        <v>1605.754587</v>
      </c>
      <c r="J1316" s="6">
        <v>6.72815356898039</v>
      </c>
      <c r="K1316" s="5">
        <v>0.141726730585347</v>
      </c>
      <c r="L1316" s="7">
        <v>0.861450811888551</v>
      </c>
      <c r="M1316" s="4">
        <v>9.96</v>
      </c>
      <c r="N1316" s="2">
        <v>6.34</v>
      </c>
    </row>
    <row r="1317">
      <c r="A1317" s="2" t="s">
        <v>1342</v>
      </c>
      <c r="B1317" s="3" t="str">
        <f>HYPERLINK("https://www.suredividend.com/sure-analysis-research-database/","Reata Pharmaceuticals Inc")</f>
        <v>Reata Pharmaceuticals Inc</v>
      </c>
      <c r="C1317" s="2" t="s">
        <v>30</v>
      </c>
      <c r="D1317" s="4">
        <v>172.36</v>
      </c>
      <c r="E1317" s="5">
        <v>0.0</v>
      </c>
      <c r="F1317" s="5" t="s">
        <v>15</v>
      </c>
      <c r="G1317" s="5" t="s">
        <v>15</v>
      </c>
      <c r="H1317" s="4">
        <v>0.0</v>
      </c>
      <c r="I1317" s="4">
        <v>0.0</v>
      </c>
      <c r="J1317" s="6">
        <v>0.0</v>
      </c>
      <c r="K1317" s="5">
        <v>0.0</v>
      </c>
      <c r="L1317" s="7"/>
      <c r="M1317" s="4" t="s">
        <v>49</v>
      </c>
      <c r="N1317" s="2" t="s">
        <v>49</v>
      </c>
    </row>
    <row r="1318">
      <c r="A1318" s="2" t="s">
        <v>1343</v>
      </c>
      <c r="B1318" s="3" t="str">
        <f>HYPERLINK("https://www.suredividend.com/sure-analysis-research-database/","REV Group Inc")</f>
        <v>REV Group Inc</v>
      </c>
      <c r="C1318" s="2" t="s">
        <v>17</v>
      </c>
      <c r="D1318" s="4">
        <v>19.55</v>
      </c>
      <c r="E1318" s="5">
        <v>0.009899841408655</v>
      </c>
      <c r="F1318" s="5" t="s">
        <v>15</v>
      </c>
      <c r="G1318" s="5" t="s">
        <v>15</v>
      </c>
      <c r="H1318" s="4">
        <v>0.199085810728061</v>
      </c>
      <c r="I1318" s="4">
        <v>1201.33846</v>
      </c>
      <c r="J1318" s="6" t="s">
        <v>15</v>
      </c>
      <c r="K1318" s="5" t="s">
        <v>15</v>
      </c>
      <c r="L1318" s="7">
        <v>1.25289484976948</v>
      </c>
      <c r="M1318" s="4">
        <v>20.17</v>
      </c>
      <c r="N1318" s="2">
        <v>9.75</v>
      </c>
    </row>
    <row r="1319">
      <c r="A1319" s="2" t="s">
        <v>1344</v>
      </c>
      <c r="B1319" s="3" t="str">
        <f>HYPERLINK("https://www.suredividend.com/sure-analysis-research-database/","REX American Resources Corp")</f>
        <v>REX American Resources Corp</v>
      </c>
      <c r="C1319" s="2" t="s">
        <v>125</v>
      </c>
      <c r="D1319" s="4">
        <v>40.91</v>
      </c>
      <c r="E1319" s="5">
        <v>0.0</v>
      </c>
      <c r="F1319" s="5" t="s">
        <v>15</v>
      </c>
      <c r="G1319" s="5" t="s">
        <v>15</v>
      </c>
      <c r="H1319" s="4">
        <v>0.0</v>
      </c>
      <c r="I1319" s="4">
        <v>739.358189</v>
      </c>
      <c r="J1319" s="6">
        <v>15.235702868447</v>
      </c>
      <c r="K1319" s="5">
        <v>0.0</v>
      </c>
      <c r="L1319" s="7">
        <v>0.994497423794208</v>
      </c>
      <c r="M1319" s="4">
        <v>51.19</v>
      </c>
      <c r="N1319" s="2">
        <v>27.42</v>
      </c>
    </row>
    <row r="1320">
      <c r="A1320" s="2" t="s">
        <v>1345</v>
      </c>
      <c r="B1320" s="3" t="str">
        <f>HYPERLINK("https://www.suredividend.com/sure-analysis-research-database/","Resideo Technologies Inc")</f>
        <v>Resideo Technologies Inc</v>
      </c>
      <c r="C1320" s="2" t="s">
        <v>17</v>
      </c>
      <c r="D1320" s="4">
        <v>16.75</v>
      </c>
      <c r="E1320" s="5">
        <v>0.0</v>
      </c>
      <c r="F1320" s="5" t="s">
        <v>15</v>
      </c>
      <c r="G1320" s="5" t="s">
        <v>15</v>
      </c>
      <c r="H1320" s="4">
        <v>0.0</v>
      </c>
      <c r="I1320" s="4">
        <v>2543.601</v>
      </c>
      <c r="J1320" s="6">
        <v>15.2311437125748</v>
      </c>
      <c r="K1320" s="5">
        <v>0.0</v>
      </c>
      <c r="L1320" s="7">
        <v>1.52775013872827</v>
      </c>
      <c r="M1320" s="4">
        <v>20.16</v>
      </c>
      <c r="N1320" s="2">
        <v>14.2</v>
      </c>
    </row>
    <row r="1321">
      <c r="A1321" s="2" t="s">
        <v>1346</v>
      </c>
      <c r="B1321" s="3" t="str">
        <f>HYPERLINK("https://www.suredividend.com/sure-analysis-research-database/","Regenxbio Inc")</f>
        <v>Regenxbio Inc</v>
      </c>
      <c r="C1321" s="2" t="s">
        <v>30</v>
      </c>
      <c r="D1321" s="4">
        <v>12.32</v>
      </c>
      <c r="E1321" s="5">
        <v>0.0</v>
      </c>
      <c r="F1321" s="5" t="s">
        <v>15</v>
      </c>
      <c r="G1321" s="5" t="s">
        <v>15</v>
      </c>
      <c r="H1321" s="4">
        <v>0.0</v>
      </c>
      <c r="I1321" s="4">
        <v>570.575981</v>
      </c>
      <c r="J1321" s="6" t="s">
        <v>15</v>
      </c>
      <c r="K1321" s="5">
        <v>0.0</v>
      </c>
      <c r="L1321" s="7">
        <v>1.26069911366196</v>
      </c>
      <c r="M1321" s="4">
        <v>25.32</v>
      </c>
      <c r="N1321" s="2">
        <v>12.43</v>
      </c>
    </row>
    <row r="1322">
      <c r="A1322" s="2" t="s">
        <v>1347</v>
      </c>
      <c r="B1322" s="3" t="str">
        <f>HYPERLINK("https://www.suredividend.com/sure-analysis-research-database/","Resources Connection Inc")</f>
        <v>Resources Connection Inc</v>
      </c>
      <c r="C1322" s="2" t="s">
        <v>17</v>
      </c>
      <c r="D1322" s="4">
        <v>13.25</v>
      </c>
      <c r="E1322" s="5">
        <v>0.040038172793233</v>
      </c>
      <c r="F1322" s="5">
        <v>0.0</v>
      </c>
      <c r="G1322" s="5">
        <v>0.0149319789453938</v>
      </c>
      <c r="H1322" s="4">
        <v>0.545720295171771</v>
      </c>
      <c r="I1322" s="4">
        <v>456.716834</v>
      </c>
      <c r="J1322" s="6">
        <v>17.0423088230904</v>
      </c>
      <c r="K1322" s="5">
        <v>0.692978152599074</v>
      </c>
      <c r="L1322" s="7">
        <v>0.833770270901874</v>
      </c>
      <c r="M1322" s="4">
        <v>17.63</v>
      </c>
      <c r="N1322" s="2">
        <v>12.5</v>
      </c>
    </row>
    <row r="1323">
      <c r="A1323" s="2" t="s">
        <v>1348</v>
      </c>
      <c r="B1323" s="3" t="str">
        <f>HYPERLINK("https://www.suredividend.com/sure-analysis-research-database/","Sturm, Ruger &amp; Co., Inc.")</f>
        <v>Sturm, Ruger &amp; Co., Inc.</v>
      </c>
      <c r="C1323" s="2" t="s">
        <v>17</v>
      </c>
      <c r="D1323" s="4">
        <v>43.2</v>
      </c>
      <c r="E1323" s="5">
        <v>0.028395328426842</v>
      </c>
      <c r="F1323" s="5">
        <v>-0.966</v>
      </c>
      <c r="G1323" s="5">
        <v>0.0395949882075525</v>
      </c>
      <c r="H1323" s="4">
        <v>1.25848095587764</v>
      </c>
      <c r="I1323" s="4">
        <v>785.469266</v>
      </c>
      <c r="J1323" s="6">
        <v>13.7995303274771</v>
      </c>
      <c r="K1323" s="5">
        <v>0.393275298711764</v>
      </c>
      <c r="L1323" s="7">
        <v>0.277629383668228</v>
      </c>
      <c r="M1323" s="4">
        <v>59.89</v>
      </c>
      <c r="N1323" s="2">
        <v>42.93</v>
      </c>
    </row>
    <row r="1324">
      <c r="A1324" s="2" t="s">
        <v>1349</v>
      </c>
      <c r="B1324" s="3" t="str">
        <f>HYPERLINK("https://www.suredividend.com/sure-analysis-research-database/","Rigetti Computing Inc")</f>
        <v>Rigetti Computing Inc</v>
      </c>
      <c r="C1324" s="2" t="s">
        <v>15</v>
      </c>
      <c r="D1324" s="4">
        <v>1.18</v>
      </c>
      <c r="E1324" s="5">
        <v>0.0</v>
      </c>
      <c r="F1324" s="5" t="s">
        <v>15</v>
      </c>
      <c r="G1324" s="5" t="s">
        <v>15</v>
      </c>
      <c r="H1324" s="4">
        <v>0.0</v>
      </c>
      <c r="I1324" s="4">
        <v>160.966175</v>
      </c>
      <c r="J1324" s="6" t="s">
        <v>15</v>
      </c>
      <c r="K1324" s="5">
        <v>0.0</v>
      </c>
      <c r="L1324" s="7">
        <v>3.31611067407133</v>
      </c>
      <c r="M1324" s="4">
        <v>3.43</v>
      </c>
      <c r="N1324" s="2">
        <v>0.3601</v>
      </c>
    </row>
    <row r="1325">
      <c r="A1325" s="2" t="s">
        <v>1350</v>
      </c>
      <c r="B1325" s="3" t="str">
        <f>HYPERLINK("https://www.suredividend.com/sure-analysis-research-database/","Ryman Hospitality Properties Inc")</f>
        <v>Ryman Hospitality Properties Inc</v>
      </c>
      <c r="C1325" s="2" t="s">
        <v>20</v>
      </c>
      <c r="D1325" s="4">
        <v>113.54</v>
      </c>
      <c r="E1325" s="5">
        <v>0.034018474333902</v>
      </c>
      <c r="F1325" s="5" t="s">
        <v>15</v>
      </c>
      <c r="G1325" s="5" t="s">
        <v>15</v>
      </c>
      <c r="H1325" s="4">
        <v>3.79374025771682</v>
      </c>
      <c r="I1325" s="4">
        <v>6654.636049</v>
      </c>
      <c r="J1325" s="6">
        <v>29.2924788343993</v>
      </c>
      <c r="K1325" s="5">
        <v>0.980294640236905</v>
      </c>
      <c r="L1325" s="7">
        <v>1.16727169350751</v>
      </c>
      <c r="M1325" s="4">
        <v>114.98</v>
      </c>
      <c r="N1325" s="2">
        <v>74.0</v>
      </c>
    </row>
    <row r="1326">
      <c r="A1326" s="2" t="s">
        <v>1351</v>
      </c>
      <c r="B1326" s="3" t="str">
        <f>HYPERLINK("https://www.suredividend.com/sure-analysis-research-database/","RCI Hospitality Holdings Inc")</f>
        <v>RCI Hospitality Holdings Inc</v>
      </c>
      <c r="C1326" s="2" t="s">
        <v>25</v>
      </c>
      <c r="D1326" s="4">
        <v>60.23</v>
      </c>
      <c r="E1326" s="5">
        <v>0.003807730065173</v>
      </c>
      <c r="F1326" s="5">
        <v>0.199999999999999</v>
      </c>
      <c r="G1326" s="5">
        <v>0.148698354997035</v>
      </c>
      <c r="H1326" s="4">
        <v>0.239353911896835</v>
      </c>
      <c r="I1326" s="4">
        <v>588.349799</v>
      </c>
      <c r="J1326" s="6">
        <v>20.1172741263762</v>
      </c>
      <c r="K1326" s="5">
        <v>0.0764708983695958</v>
      </c>
      <c r="L1326" s="7">
        <v>1.03918829923248</v>
      </c>
      <c r="M1326" s="4">
        <v>93.81</v>
      </c>
      <c r="N1326" s="2">
        <v>50.34</v>
      </c>
    </row>
    <row r="1327">
      <c r="A1327" s="2" t="s">
        <v>1352</v>
      </c>
      <c r="B1327" s="3" t="str">
        <f>HYPERLINK("https://www.suredividend.com/sure-analysis-research-database/","Lordstown Motors Corp.")</f>
        <v>Lordstown Motors Corp.</v>
      </c>
      <c r="C1327" s="2" t="s">
        <v>15</v>
      </c>
      <c r="D1327" s="4">
        <v>2.2</v>
      </c>
      <c r="E1327" s="5">
        <v>0.0</v>
      </c>
      <c r="F1327" s="5" t="s">
        <v>15</v>
      </c>
      <c r="G1327" s="5" t="s">
        <v>15</v>
      </c>
      <c r="H1327" s="4">
        <v>0.0</v>
      </c>
      <c r="I1327" s="4">
        <v>0.0</v>
      </c>
      <c r="J1327" s="6">
        <v>0.0</v>
      </c>
      <c r="K1327" s="5" t="s">
        <v>15</v>
      </c>
      <c r="L1327" s="7"/>
      <c r="M1327" s="4" t="s">
        <v>49</v>
      </c>
      <c r="N1327" s="2" t="s">
        <v>49</v>
      </c>
    </row>
    <row r="1328">
      <c r="A1328" s="2" t="s">
        <v>1353</v>
      </c>
      <c r="B1328" s="3" t="str">
        <f>HYPERLINK("https://www.suredividend.com/sure-analysis-research-database/","Rigel Pharmaceuticals")</f>
        <v>Rigel Pharmaceuticals</v>
      </c>
      <c r="C1328" s="2" t="s">
        <v>30</v>
      </c>
      <c r="D1328" s="4">
        <v>1.17</v>
      </c>
      <c r="E1328" s="5">
        <v>0.0</v>
      </c>
      <c r="F1328" s="5" t="s">
        <v>15</v>
      </c>
      <c r="G1328" s="5" t="s">
        <v>15</v>
      </c>
      <c r="H1328" s="4">
        <v>0.0</v>
      </c>
      <c r="I1328" s="4">
        <v>226.680354</v>
      </c>
      <c r="J1328" s="6" t="s">
        <v>15</v>
      </c>
      <c r="K1328" s="5">
        <v>0.0</v>
      </c>
      <c r="L1328" s="7">
        <v>1.57235341130281</v>
      </c>
      <c r="M1328" s="4">
        <v>1.96</v>
      </c>
      <c r="N1328" s="2">
        <v>0.712</v>
      </c>
    </row>
    <row r="1329">
      <c r="A1329" s="2" t="s">
        <v>1354</v>
      </c>
      <c r="B1329" s="3" t="str">
        <f>HYPERLINK("https://www.suredividend.com/sure-analysis-research-database/","B. Riley Financial Inc")</f>
        <v>B. Riley Financial Inc</v>
      </c>
      <c r="C1329" s="2" t="s">
        <v>22</v>
      </c>
      <c r="D1329" s="4">
        <v>18.79</v>
      </c>
      <c r="E1329" s="5">
        <v>0.149157394413482</v>
      </c>
      <c r="F1329" s="5">
        <v>0.0</v>
      </c>
      <c r="G1329" s="5">
        <v>0.319507910772894</v>
      </c>
      <c r="H1329" s="4">
        <v>3.6155752405828</v>
      </c>
      <c r="I1329" s="4">
        <v>741.328793</v>
      </c>
      <c r="J1329" s="6" t="s">
        <v>15</v>
      </c>
      <c r="K1329" s="5" t="s">
        <v>15</v>
      </c>
      <c r="L1329" s="7">
        <v>2.66798814105593</v>
      </c>
      <c r="M1329" s="4">
        <v>53.26</v>
      </c>
      <c r="N1329" s="2">
        <v>15.17</v>
      </c>
    </row>
    <row r="1330">
      <c r="A1330" s="2" t="s">
        <v>1355</v>
      </c>
      <c r="B1330" s="3" t="str">
        <f>HYPERLINK("https://www.suredividend.com/sure-analysis-research-database/","Riot Platforms Inc")</f>
        <v>Riot Platforms Inc</v>
      </c>
      <c r="C1330" s="2" t="s">
        <v>40</v>
      </c>
      <c r="D1330" s="4">
        <v>10.34</v>
      </c>
      <c r="E1330" s="5">
        <v>0.0</v>
      </c>
      <c r="F1330" s="5" t="s">
        <v>15</v>
      </c>
      <c r="G1330" s="5" t="s">
        <v>15</v>
      </c>
      <c r="H1330" s="4">
        <v>0.0</v>
      </c>
      <c r="I1330" s="4">
        <v>2385.075</v>
      </c>
      <c r="J1330" s="6">
        <v>0.0</v>
      </c>
      <c r="K1330" s="5" t="s">
        <v>15</v>
      </c>
      <c r="L1330" s="7">
        <v>2.97171572070918</v>
      </c>
      <c r="M1330" s="4">
        <v>20.65</v>
      </c>
      <c r="N1330" s="2">
        <v>5.16</v>
      </c>
    </row>
    <row r="1331">
      <c r="A1331" s="2" t="s">
        <v>1356</v>
      </c>
      <c r="B1331" s="3" t="str">
        <f>HYPERLINK("https://www.suredividend.com/sure-analysis-research-database/","Rocket Lab USA Inc")</f>
        <v>Rocket Lab USA Inc</v>
      </c>
      <c r="C1331" s="2" t="s">
        <v>15</v>
      </c>
      <c r="D1331" s="4">
        <v>4.07</v>
      </c>
      <c r="E1331" s="5">
        <v>0.0</v>
      </c>
      <c r="F1331" s="5" t="s">
        <v>15</v>
      </c>
      <c r="G1331" s="5" t="s">
        <v>15</v>
      </c>
      <c r="H1331" s="4">
        <v>0.0</v>
      </c>
      <c r="I1331" s="4">
        <v>2497.459144</v>
      </c>
      <c r="J1331" s="6" t="s">
        <v>15</v>
      </c>
      <c r="K1331" s="5">
        <v>0.0</v>
      </c>
      <c r="L1331" s="7">
        <v>2.20867222821805</v>
      </c>
      <c r="M1331" s="4">
        <v>8.05</v>
      </c>
      <c r="N1331" s="2">
        <v>3.62</v>
      </c>
    </row>
    <row r="1332">
      <c r="A1332" s="2" t="s">
        <v>1357</v>
      </c>
      <c r="B1332" s="3" t="str">
        <f>HYPERLINK("https://www.suredividend.com/sure-analysis-research-database/","Relay Therapeutics Inc")</f>
        <v>Relay Therapeutics Inc</v>
      </c>
      <c r="C1332" s="2" t="s">
        <v>15</v>
      </c>
      <c r="D1332" s="4">
        <v>8.69</v>
      </c>
      <c r="E1332" s="5">
        <v>0.0</v>
      </c>
      <c r="F1332" s="5" t="s">
        <v>15</v>
      </c>
      <c r="G1332" s="5" t="s">
        <v>15</v>
      </c>
      <c r="H1332" s="4">
        <v>0.0</v>
      </c>
      <c r="I1332" s="4">
        <v>1266.976345</v>
      </c>
      <c r="J1332" s="6" t="s">
        <v>15</v>
      </c>
      <c r="K1332" s="5">
        <v>0.0</v>
      </c>
      <c r="L1332" s="7">
        <v>1.6516068922109</v>
      </c>
      <c r="M1332" s="4">
        <v>23.18</v>
      </c>
      <c r="N1332" s="2">
        <v>5.95</v>
      </c>
    </row>
    <row r="1333">
      <c r="A1333" s="2" t="s">
        <v>1358</v>
      </c>
      <c r="B1333" s="3" t="str">
        <f>HYPERLINK("https://www.suredividend.com/sure-analysis-research-database/","Radiant Logistics, Inc.")</f>
        <v>Radiant Logistics, Inc.</v>
      </c>
      <c r="C1333" s="2" t="s">
        <v>17</v>
      </c>
      <c r="D1333" s="4">
        <v>6.05</v>
      </c>
      <c r="E1333" s="5">
        <v>0.0</v>
      </c>
      <c r="F1333" s="5" t="s">
        <v>15</v>
      </c>
      <c r="G1333" s="5" t="s">
        <v>15</v>
      </c>
      <c r="H1333" s="4">
        <v>0.0</v>
      </c>
      <c r="I1333" s="4">
        <v>301.84295</v>
      </c>
      <c r="J1333" s="6">
        <v>0.0</v>
      </c>
      <c r="K1333" s="5" t="s">
        <v>15</v>
      </c>
      <c r="L1333" s="7">
        <v>1.20338998270928</v>
      </c>
      <c r="M1333" s="4">
        <v>7.76</v>
      </c>
      <c r="N1333" s="2">
        <v>5.2</v>
      </c>
    </row>
    <row r="1334">
      <c r="A1334" s="2" t="s">
        <v>1359</v>
      </c>
      <c r="B1334" s="3" t="str">
        <f>HYPERLINK("https://www.suredividend.com/sure-analysis-RLI/","RLI Corp.")</f>
        <v>RLI Corp.</v>
      </c>
      <c r="C1334" s="2" t="s">
        <v>22</v>
      </c>
      <c r="D1334" s="4">
        <v>137.27</v>
      </c>
      <c r="E1334" s="5">
        <v>0.00786770598091352</v>
      </c>
      <c r="F1334" s="5">
        <v>0.0384615384615385</v>
      </c>
      <c r="G1334" s="5">
        <v>0.0325882661698757</v>
      </c>
      <c r="H1334" s="4">
        <v>3.06675389432045</v>
      </c>
      <c r="I1334" s="4">
        <v>6326.013149</v>
      </c>
      <c r="J1334" s="6">
        <v>21.9780676612827</v>
      </c>
      <c r="K1334" s="5">
        <v>0.491466970243663</v>
      </c>
      <c r="L1334" s="7">
        <v>0.393102512084555</v>
      </c>
      <c r="M1334" s="4">
        <v>148.72</v>
      </c>
      <c r="N1334" s="2">
        <v>122.54</v>
      </c>
    </row>
    <row r="1335">
      <c r="A1335" s="2" t="s">
        <v>1360</v>
      </c>
      <c r="B1335" s="3" t="str">
        <f>HYPERLINK("https://www.suredividend.com/sure-analysis-research-database/","RLJ Lodging Trust")</f>
        <v>RLJ Lodging Trust</v>
      </c>
      <c r="C1335" s="2" t="s">
        <v>20</v>
      </c>
      <c r="D1335" s="4">
        <v>11.55</v>
      </c>
      <c r="E1335" s="5">
        <v>0.029829567652345</v>
      </c>
      <c r="F1335" s="5">
        <v>1.0</v>
      </c>
      <c r="G1335" s="5">
        <v>-0.21241540646885</v>
      </c>
      <c r="H1335" s="4">
        <v>0.355568446415959</v>
      </c>
      <c r="I1335" s="4">
        <v>1857.664747</v>
      </c>
      <c r="J1335" s="6">
        <v>37.7022395551225</v>
      </c>
      <c r="K1335" s="5">
        <v>1.13854769905846</v>
      </c>
      <c r="L1335" s="7">
        <v>1.26206030225323</v>
      </c>
      <c r="M1335" s="4">
        <v>12.48</v>
      </c>
      <c r="N1335" s="2">
        <v>8.95</v>
      </c>
    </row>
    <row r="1336">
      <c r="A1336" s="2" t="s">
        <v>1361</v>
      </c>
      <c r="B1336" s="3" t="str">
        <f>HYPERLINK("https://www.suredividend.com/sure-analysis-research-database/","Relmada Therapeutics Inc")</f>
        <v>Relmada Therapeutics Inc</v>
      </c>
      <c r="C1336" s="2" t="s">
        <v>30</v>
      </c>
      <c r="D1336" s="4">
        <v>5.04</v>
      </c>
      <c r="E1336" s="5">
        <v>0.0</v>
      </c>
      <c r="F1336" s="5" t="s">
        <v>15</v>
      </c>
      <c r="G1336" s="5" t="s">
        <v>15</v>
      </c>
      <c r="H1336" s="4">
        <v>0.0</v>
      </c>
      <c r="I1336" s="4">
        <v>111.969035</v>
      </c>
      <c r="J1336" s="6">
        <v>0.0</v>
      </c>
      <c r="K1336" s="5" t="s">
        <v>15</v>
      </c>
      <c r="L1336" s="7">
        <v>1.40137564021941</v>
      </c>
      <c r="M1336" s="4">
        <v>4.7</v>
      </c>
      <c r="N1336" s="2">
        <v>2.0</v>
      </c>
    </row>
    <row r="1337">
      <c r="A1337" s="2" t="s">
        <v>1362</v>
      </c>
      <c r="B1337" s="3" t="str">
        <f>HYPERLINK("https://www.suredividend.com/sure-analysis-research-database/","Rallybio Corp")</f>
        <v>Rallybio Corp</v>
      </c>
      <c r="C1337" s="2" t="s">
        <v>15</v>
      </c>
      <c r="D1337" s="4">
        <v>1.25</v>
      </c>
      <c r="E1337" s="5">
        <v>0.0</v>
      </c>
      <c r="F1337" s="5" t="s">
        <v>15</v>
      </c>
      <c r="G1337" s="5" t="s">
        <v>15</v>
      </c>
      <c r="H1337" s="4">
        <v>0.0</v>
      </c>
      <c r="I1337" s="4">
        <v>52.911187</v>
      </c>
      <c r="J1337" s="6">
        <v>0.0</v>
      </c>
      <c r="K1337" s="5" t="s">
        <v>15</v>
      </c>
      <c r="L1337" s="7">
        <v>0.887092065945451</v>
      </c>
      <c r="M1337" s="4">
        <v>9.88</v>
      </c>
      <c r="N1337" s="2">
        <v>1.32</v>
      </c>
    </row>
    <row r="1338">
      <c r="A1338" s="2" t="s">
        <v>1363</v>
      </c>
      <c r="B1338" s="3" t="str">
        <f>HYPERLINK("https://www.suredividend.com/sure-analysis-research-database/","Regional Management Corp")</f>
        <v>Regional Management Corp</v>
      </c>
      <c r="C1338" s="2" t="s">
        <v>22</v>
      </c>
      <c r="D1338" s="4">
        <v>23.97</v>
      </c>
      <c r="E1338" s="5">
        <v>0.04552082253373</v>
      </c>
      <c r="F1338" s="5" t="s">
        <v>15</v>
      </c>
      <c r="G1338" s="5" t="s">
        <v>15</v>
      </c>
      <c r="H1338" s="4">
        <v>1.17853409539828</v>
      </c>
      <c r="I1338" s="4">
        <v>254.621393</v>
      </c>
      <c r="J1338" s="6">
        <v>0.0</v>
      </c>
      <c r="K1338" s="5" t="s">
        <v>15</v>
      </c>
      <c r="L1338" s="7">
        <v>1.13344954921871</v>
      </c>
      <c r="M1338" s="4">
        <v>36.67</v>
      </c>
      <c r="N1338" s="2">
        <v>20.64</v>
      </c>
    </row>
    <row r="1339">
      <c r="A1339" s="2" t="s">
        <v>1364</v>
      </c>
      <c r="B1339" s="3" t="str">
        <f>HYPERLINK("https://www.suredividend.com/sure-analysis-research-database/","RE/MAX Holdings Inc")</f>
        <v>RE/MAX Holdings Inc</v>
      </c>
      <c r="C1339" s="2" t="s">
        <v>20</v>
      </c>
      <c r="D1339" s="4">
        <v>10.0</v>
      </c>
      <c r="E1339" s="5">
        <v>0.059015584032941</v>
      </c>
      <c r="F1339" s="5" t="s">
        <v>15</v>
      </c>
      <c r="G1339" s="5" t="s">
        <v>15</v>
      </c>
      <c r="H1339" s="4">
        <v>0.681629995580476</v>
      </c>
      <c r="I1339" s="4">
        <v>210.641127</v>
      </c>
      <c r="J1339" s="6" t="s">
        <v>15</v>
      </c>
      <c r="K1339" s="5" t="s">
        <v>15</v>
      </c>
      <c r="L1339" s="7">
        <v>1.55208820579111</v>
      </c>
      <c r="M1339" s="4">
        <v>23.39</v>
      </c>
      <c r="N1339" s="2">
        <v>8.61</v>
      </c>
    </row>
    <row r="1340">
      <c r="A1340" s="2" t="s">
        <v>1365</v>
      </c>
      <c r="B1340" s="3" t="str">
        <f>HYPERLINK("https://www.suredividend.com/sure-analysis-research-database/","RumbleON Inc")</f>
        <v>RumbleON Inc</v>
      </c>
      <c r="C1340" s="2" t="s">
        <v>25</v>
      </c>
      <c r="D1340" s="4">
        <v>6.47</v>
      </c>
      <c r="E1340" s="5">
        <v>0.0</v>
      </c>
      <c r="F1340" s="5" t="s">
        <v>15</v>
      </c>
      <c r="G1340" s="5" t="s">
        <v>15</v>
      </c>
      <c r="H1340" s="4">
        <v>0.0</v>
      </c>
      <c r="I1340" s="4">
        <v>122.707883</v>
      </c>
      <c r="J1340" s="6" t="s">
        <v>15</v>
      </c>
      <c r="K1340" s="5">
        <v>0.0</v>
      </c>
      <c r="L1340" s="7">
        <v>1.64558083124939</v>
      </c>
      <c r="M1340" s="4">
        <v>13.52</v>
      </c>
      <c r="N1340" s="2">
        <v>5.1</v>
      </c>
    </row>
    <row r="1341">
      <c r="A1341" s="2" t="s">
        <v>1366</v>
      </c>
      <c r="B1341" s="3" t="str">
        <f>HYPERLINK("https://www.suredividend.com/sure-analysis-research-database/","Rambus Inc.")</f>
        <v>Rambus Inc.</v>
      </c>
      <c r="C1341" s="2" t="s">
        <v>40</v>
      </c>
      <c r="D1341" s="4">
        <v>68.37</v>
      </c>
      <c r="E1341" s="5">
        <v>0.0</v>
      </c>
      <c r="F1341" s="5" t="s">
        <v>15</v>
      </c>
      <c r="G1341" s="5" t="s">
        <v>15</v>
      </c>
      <c r="H1341" s="4">
        <v>0.0</v>
      </c>
      <c r="I1341" s="4">
        <v>7850.725</v>
      </c>
      <c r="J1341" s="6">
        <v>26.9499121205047</v>
      </c>
      <c r="K1341" s="5">
        <v>0.0</v>
      </c>
      <c r="L1341" s="7">
        <v>1.97808377085407</v>
      </c>
      <c r="M1341" s="4">
        <v>76.38</v>
      </c>
      <c r="N1341" s="2">
        <v>39.6</v>
      </c>
    </row>
    <row r="1342">
      <c r="A1342" s="2" t="s">
        <v>1367</v>
      </c>
      <c r="B1342" s="3" t="str">
        <f>HYPERLINK("https://www.suredividend.com/sure-analysis-research-database/","Rimini Street Inc.")</f>
        <v>Rimini Street Inc.</v>
      </c>
      <c r="C1342" s="2" t="s">
        <v>40</v>
      </c>
      <c r="D1342" s="4">
        <v>3.19</v>
      </c>
      <c r="E1342" s="5">
        <v>0.0</v>
      </c>
      <c r="F1342" s="5" t="s">
        <v>15</v>
      </c>
      <c r="G1342" s="5" t="s">
        <v>15</v>
      </c>
      <c r="H1342" s="4">
        <v>0.0</v>
      </c>
      <c r="I1342" s="4">
        <v>305.71038</v>
      </c>
      <c r="J1342" s="6">
        <v>26.7322822665267</v>
      </c>
      <c r="K1342" s="5">
        <v>0.0</v>
      </c>
      <c r="L1342" s="7">
        <v>1.59828961068209</v>
      </c>
      <c r="M1342" s="4">
        <v>5.32</v>
      </c>
      <c r="N1342" s="2">
        <v>2.01</v>
      </c>
    </row>
    <row r="1343">
      <c r="A1343" s="2" t="s">
        <v>1368</v>
      </c>
      <c r="B1343" s="3" t="str">
        <f>HYPERLINK("https://www.suredividend.com/sure-analysis-research-database/","RMR Group Inc (The)")</f>
        <v>RMR Group Inc (The)</v>
      </c>
      <c r="C1343" s="2" t="s">
        <v>20</v>
      </c>
      <c r="D1343" s="4">
        <v>24.85</v>
      </c>
      <c r="E1343" s="5">
        <v>0.058771341121782</v>
      </c>
      <c r="F1343" s="5">
        <v>0.0</v>
      </c>
      <c r="G1343" s="5">
        <v>0.0270660870893517</v>
      </c>
      <c r="H1343" s="4">
        <v>1.54274770444678</v>
      </c>
      <c r="I1343" s="4">
        <v>412.380176</v>
      </c>
      <c r="J1343" s="6">
        <v>7.21612991495616</v>
      </c>
      <c r="K1343" s="5">
        <v>0.443318305875514</v>
      </c>
      <c r="L1343" s="7">
        <v>0.957567256512807</v>
      </c>
      <c r="M1343" s="4">
        <v>28.38</v>
      </c>
      <c r="N1343" s="2">
        <v>19.14</v>
      </c>
    </row>
    <row r="1344">
      <c r="A1344" s="2" t="s">
        <v>1369</v>
      </c>
      <c r="B1344" s="3" t="str">
        <f>HYPERLINK("https://www.suredividend.com/sure-analysis-research-database/","Avidity Biosciences Inc")</f>
        <v>Avidity Biosciences Inc</v>
      </c>
      <c r="C1344" s="2" t="s">
        <v>15</v>
      </c>
      <c r="D1344" s="4">
        <v>11.64</v>
      </c>
      <c r="E1344" s="5">
        <v>0.0</v>
      </c>
      <c r="F1344" s="5" t="s">
        <v>15</v>
      </c>
      <c r="G1344" s="5" t="s">
        <v>15</v>
      </c>
      <c r="H1344" s="4">
        <v>0.0</v>
      </c>
      <c r="I1344" s="4">
        <v>934.416813</v>
      </c>
      <c r="J1344" s="6" t="s">
        <v>15</v>
      </c>
      <c r="K1344" s="5">
        <v>0.0</v>
      </c>
      <c r="L1344" s="7">
        <v>1.10778031971917</v>
      </c>
      <c r="M1344" s="4">
        <v>25.74</v>
      </c>
      <c r="N1344" s="2">
        <v>4.83</v>
      </c>
    </row>
    <row r="1345">
      <c r="A1345" s="2" t="s">
        <v>1370</v>
      </c>
      <c r="B1345" s="3" t="str">
        <f>HYPERLINK("https://www.suredividend.com/sure-analysis-research-database/","Renasant Corp.")</f>
        <v>Renasant Corp.</v>
      </c>
      <c r="C1345" s="2" t="s">
        <v>22</v>
      </c>
      <c r="D1345" s="4">
        <v>31.0</v>
      </c>
      <c r="E1345" s="5">
        <v>0.019017062006448</v>
      </c>
      <c r="F1345" s="5">
        <v>0.0</v>
      </c>
      <c r="G1345" s="5">
        <v>0.00934741990956888</v>
      </c>
      <c r="H1345" s="4">
        <v>0.644488231398539</v>
      </c>
      <c r="I1345" s="4">
        <v>1902.63696</v>
      </c>
      <c r="J1345" s="6">
        <v>11.6848059942885</v>
      </c>
      <c r="K1345" s="5">
        <v>0.223006308442401</v>
      </c>
      <c r="L1345" s="7">
        <v>1.48583726835098</v>
      </c>
      <c r="M1345" s="4">
        <v>36.76</v>
      </c>
      <c r="N1345" s="2">
        <v>22.62</v>
      </c>
    </row>
    <row r="1346">
      <c r="A1346" s="2" t="s">
        <v>1371</v>
      </c>
      <c r="B1346" s="3" t="str">
        <f>HYPERLINK("https://www.suredividend.com/sure-analysis-research-database/","Construction Partners Inc")</f>
        <v>Construction Partners Inc</v>
      </c>
      <c r="C1346" s="2" t="s">
        <v>17</v>
      </c>
      <c r="D1346" s="4">
        <v>47.27</v>
      </c>
      <c r="E1346" s="5">
        <v>0.0</v>
      </c>
      <c r="F1346" s="5" t="s">
        <v>15</v>
      </c>
      <c r="G1346" s="5" t="s">
        <v>15</v>
      </c>
      <c r="H1346" s="4">
        <v>0.0</v>
      </c>
      <c r="I1346" s="4">
        <v>1955.205222</v>
      </c>
      <c r="J1346" s="6">
        <v>39.9013330656517</v>
      </c>
      <c r="K1346" s="5">
        <v>0.0</v>
      </c>
      <c r="L1346" s="7">
        <v>1.3924430452956</v>
      </c>
      <c r="M1346" s="4">
        <v>45.22</v>
      </c>
      <c r="N1346" s="2">
        <v>24.12</v>
      </c>
    </row>
    <row r="1347">
      <c r="A1347" s="2" t="s">
        <v>1372</v>
      </c>
      <c r="B1347" s="3" t="str">
        <f>HYPERLINK("https://www.suredividend.com/sure-analysis-research-database/","Ranger Oil Corp")</f>
        <v>Ranger Oil Corp</v>
      </c>
      <c r="C1347" s="2" t="s">
        <v>15</v>
      </c>
      <c r="D1347" s="4">
        <v>37.47</v>
      </c>
      <c r="E1347" s="5">
        <v>0.0</v>
      </c>
      <c r="F1347" s="5" t="s">
        <v>15</v>
      </c>
      <c r="G1347" s="5" t="s">
        <v>15</v>
      </c>
      <c r="H1347" s="4">
        <v>0.300000011920928</v>
      </c>
      <c r="I1347" s="4">
        <v>0.0</v>
      </c>
      <c r="J1347" s="6">
        <v>0.0</v>
      </c>
      <c r="K1347" s="5">
        <v>0.0219458677337913</v>
      </c>
      <c r="L1347" s="7"/>
      <c r="M1347" s="4" t="s">
        <v>49</v>
      </c>
      <c r="N1347" s="2" t="s">
        <v>49</v>
      </c>
    </row>
    <row r="1348">
      <c r="A1348" s="2" t="s">
        <v>1373</v>
      </c>
      <c r="B1348" s="3" t="str">
        <f>HYPERLINK("https://www.suredividend.com/sure-analysis-research-database/","Gibraltar Industries Inc.")</f>
        <v>Gibraltar Industries Inc.</v>
      </c>
      <c r="C1348" s="2" t="s">
        <v>17</v>
      </c>
      <c r="D1348" s="4">
        <v>83.08</v>
      </c>
      <c r="E1348" s="5">
        <v>0.0</v>
      </c>
      <c r="F1348" s="5" t="s">
        <v>15</v>
      </c>
      <c r="G1348" s="5" t="s">
        <v>15</v>
      </c>
      <c r="H1348" s="4">
        <v>0.0</v>
      </c>
      <c r="I1348" s="4">
        <v>2499.744653</v>
      </c>
      <c r="J1348" s="6">
        <v>26.4671683901023</v>
      </c>
      <c r="K1348" s="5">
        <v>0.0</v>
      </c>
      <c r="L1348" s="7">
        <v>1.17243488515239</v>
      </c>
      <c r="M1348" s="4">
        <v>83.96</v>
      </c>
      <c r="N1348" s="2">
        <v>44.98</v>
      </c>
    </row>
    <row r="1349">
      <c r="A1349" s="2" t="s">
        <v>1374</v>
      </c>
      <c r="B1349" s="3" t="str">
        <f>HYPERLINK("https://www.suredividend.com/sure-analysis-research-database/","Rogers Corp.")</f>
        <v>Rogers Corp.</v>
      </c>
      <c r="C1349" s="2" t="s">
        <v>40</v>
      </c>
      <c r="D1349" s="4">
        <v>116.14</v>
      </c>
      <c r="E1349" s="5">
        <v>0.0</v>
      </c>
      <c r="F1349" s="5" t="s">
        <v>15</v>
      </c>
      <c r="G1349" s="5" t="s">
        <v>15</v>
      </c>
      <c r="H1349" s="4">
        <v>0.0</v>
      </c>
      <c r="I1349" s="4">
        <v>2210.897796</v>
      </c>
      <c r="J1349" s="6">
        <v>21.9548548831204</v>
      </c>
      <c r="K1349" s="5">
        <v>0.0</v>
      </c>
      <c r="L1349" s="7">
        <v>0.943505022699154</v>
      </c>
      <c r="M1349" s="4">
        <v>173.16</v>
      </c>
      <c r="N1349" s="2">
        <v>111.08</v>
      </c>
    </row>
    <row r="1350">
      <c r="A1350" s="2" t="s">
        <v>1375</v>
      </c>
      <c r="B1350" s="3" t="str">
        <f>HYPERLINK("https://www.suredividend.com/sure-analysis-research-database/","Retail Opportunity Investments Corp")</f>
        <v>Retail Opportunity Investments Corp</v>
      </c>
      <c r="C1350" s="2" t="s">
        <v>20</v>
      </c>
      <c r="D1350" s="4">
        <v>13.56</v>
      </c>
      <c r="E1350" s="5">
        <v>0.042039913013233</v>
      </c>
      <c r="F1350" s="5" t="s">
        <v>15</v>
      </c>
      <c r="G1350" s="5" t="s">
        <v>15</v>
      </c>
      <c r="H1350" s="4">
        <v>0.580991597842891</v>
      </c>
      <c r="I1350" s="4">
        <v>1741.344807</v>
      </c>
      <c r="J1350" s="6">
        <v>48.0317980609036</v>
      </c>
      <c r="K1350" s="5">
        <v>2.12973459619828</v>
      </c>
      <c r="L1350" s="7">
        <v>1.18401081283992</v>
      </c>
      <c r="M1350" s="4">
        <v>15.16</v>
      </c>
      <c r="N1350" s="2">
        <v>10.75</v>
      </c>
    </row>
    <row r="1351">
      <c r="A1351" s="2" t="s">
        <v>1376</v>
      </c>
      <c r="B1351" s="3" t="str">
        <f>HYPERLINK("https://www.suredividend.com/sure-analysis-research-database/","Root Inc")</f>
        <v>Root Inc</v>
      </c>
      <c r="C1351" s="2" t="s">
        <v>15</v>
      </c>
      <c r="D1351" s="4">
        <v>7.63</v>
      </c>
      <c r="E1351" s="5">
        <v>0.0</v>
      </c>
      <c r="F1351" s="5" t="s">
        <v>15</v>
      </c>
      <c r="G1351" s="5" t="s">
        <v>15</v>
      </c>
      <c r="H1351" s="4">
        <v>0.0</v>
      </c>
      <c r="I1351" s="4">
        <v>82.944</v>
      </c>
      <c r="J1351" s="6" t="s">
        <v>15</v>
      </c>
      <c r="K1351" s="5">
        <v>0.0</v>
      </c>
      <c r="L1351" s="7">
        <v>1.97207808609637</v>
      </c>
      <c r="M1351" s="4">
        <v>14.8</v>
      </c>
      <c r="N1351" s="2">
        <v>3.31</v>
      </c>
    </row>
    <row r="1352">
      <c r="A1352" s="2" t="s">
        <v>1377</v>
      </c>
      <c r="B1352" s="3" t="str">
        <f>HYPERLINK("https://www.suredividend.com/sure-analysis-research-database/","Rover Group Inc")</f>
        <v>Rover Group Inc</v>
      </c>
      <c r="C1352" s="2" t="s">
        <v>15</v>
      </c>
      <c r="D1352" s="4">
        <v>10.95</v>
      </c>
      <c r="E1352" s="5">
        <v>0.0</v>
      </c>
      <c r="F1352" s="5" t="s">
        <v>15</v>
      </c>
      <c r="G1352" s="5" t="s">
        <v>15</v>
      </c>
      <c r="H1352" s="4">
        <v>0.0</v>
      </c>
      <c r="I1352" s="4">
        <v>1964.781681</v>
      </c>
      <c r="J1352" s="6">
        <v>180.885811190388</v>
      </c>
      <c r="K1352" s="5">
        <v>0.0</v>
      </c>
      <c r="L1352" s="7">
        <v>0.832919424090406</v>
      </c>
      <c r="M1352" s="4">
        <v>11.1</v>
      </c>
      <c r="N1352" s="2">
        <v>3.75</v>
      </c>
    </row>
    <row r="1353">
      <c r="A1353" s="2" t="s">
        <v>1378</v>
      </c>
      <c r="B1353" s="3" t="str">
        <f>HYPERLINK("https://www.suredividend.com/sure-analysis-research-database/","Repay Holdings Corporation")</f>
        <v>Repay Holdings Corporation</v>
      </c>
      <c r="C1353" s="2" t="s">
        <v>40</v>
      </c>
      <c r="D1353" s="4">
        <v>7.99</v>
      </c>
      <c r="E1353" s="5">
        <v>0.0</v>
      </c>
      <c r="F1353" s="5" t="s">
        <v>15</v>
      </c>
      <c r="G1353" s="5" t="s">
        <v>15</v>
      </c>
      <c r="H1353" s="4">
        <v>0.0</v>
      </c>
      <c r="I1353" s="4">
        <v>757.27104</v>
      </c>
      <c r="J1353" s="6">
        <v>0.0</v>
      </c>
      <c r="K1353" s="5" t="s">
        <v>15</v>
      </c>
      <c r="L1353" s="7">
        <v>2.19931617667659</v>
      </c>
      <c r="M1353" s="4">
        <v>10.43</v>
      </c>
      <c r="N1353" s="2">
        <v>5.61</v>
      </c>
    </row>
    <row r="1354">
      <c r="A1354" s="2" t="s">
        <v>1379</v>
      </c>
      <c r="B1354" s="3" t="str">
        <f>HYPERLINK("https://www.suredividend.com/sure-analysis-research-database/","Rapid7 Inc")</f>
        <v>Rapid7 Inc</v>
      </c>
      <c r="C1354" s="2" t="s">
        <v>40</v>
      </c>
      <c r="D1354" s="4">
        <v>55.43</v>
      </c>
      <c r="E1354" s="5">
        <v>0.0</v>
      </c>
      <c r="F1354" s="5" t="s">
        <v>15</v>
      </c>
      <c r="G1354" s="5" t="s">
        <v>15</v>
      </c>
      <c r="H1354" s="4">
        <v>0.0</v>
      </c>
      <c r="I1354" s="4">
        <v>3538.731175</v>
      </c>
      <c r="J1354" s="6" t="s">
        <v>15</v>
      </c>
      <c r="K1354" s="5">
        <v>0.0</v>
      </c>
      <c r="L1354" s="7">
        <v>1.79473132833599</v>
      </c>
      <c r="M1354" s="4">
        <v>60.15</v>
      </c>
      <c r="N1354" s="2">
        <v>37.29</v>
      </c>
    </row>
    <row r="1355">
      <c r="A1355" s="2" t="s">
        <v>1380</v>
      </c>
      <c r="B1355" s="3" t="str">
        <f>HYPERLINK("https://www.suredividend.com/sure-analysis-RPT/","RPT Realty")</f>
        <v>RPT Realty</v>
      </c>
      <c r="C1355" s="2" t="s">
        <v>20</v>
      </c>
      <c r="D1355" s="4">
        <v>12.83</v>
      </c>
      <c r="E1355" s="5">
        <v>0.0436477007014809</v>
      </c>
      <c r="F1355" s="5" t="s">
        <v>15</v>
      </c>
      <c r="G1355" s="5" t="s">
        <v>15</v>
      </c>
      <c r="H1355" s="4">
        <v>0.549953819214017</v>
      </c>
      <c r="I1355" s="4">
        <v>1112.416143</v>
      </c>
      <c r="J1355" s="6">
        <v>24.0730608816273</v>
      </c>
      <c r="K1355" s="5">
        <v>1.02089069837389</v>
      </c>
      <c r="L1355" s="7">
        <v>1.301014352102</v>
      </c>
      <c r="M1355" s="4">
        <v>13.79</v>
      </c>
      <c r="N1355" s="2">
        <v>8.3</v>
      </c>
    </row>
    <row r="1356">
      <c r="A1356" s="2" t="s">
        <v>1381</v>
      </c>
      <c r="B1356" s="3" t="str">
        <f>HYPERLINK("https://www.suredividend.com/sure-analysis-research-database/","Red River Bancshares Inc")</f>
        <v>Red River Bancshares Inc</v>
      </c>
      <c r="C1356" s="2" t="s">
        <v>22</v>
      </c>
      <c r="D1356" s="4">
        <v>51.47</v>
      </c>
      <c r="E1356" s="5">
        <v>0.006022313176615</v>
      </c>
      <c r="F1356" s="5" t="s">
        <v>15</v>
      </c>
      <c r="G1356" s="5" t="s">
        <v>15</v>
      </c>
      <c r="H1356" s="4">
        <v>0.318459920779444</v>
      </c>
      <c r="I1356" s="4">
        <v>377.127786</v>
      </c>
      <c r="J1356" s="6">
        <v>10.2541678742726</v>
      </c>
      <c r="K1356" s="5">
        <v>0.0623209238315937</v>
      </c>
      <c r="L1356" s="7">
        <v>0.82227537271408</v>
      </c>
      <c r="M1356" s="4">
        <v>58.0</v>
      </c>
      <c r="N1356" s="2">
        <v>43.08</v>
      </c>
    </row>
    <row r="1357">
      <c r="A1357" s="2" t="s">
        <v>1382</v>
      </c>
      <c r="B1357" s="3" t="str">
        <f>HYPERLINK("https://www.suredividend.com/sure-analysis-research-database/","Red Rock Resorts Inc")</f>
        <v>Red Rock Resorts Inc</v>
      </c>
      <c r="C1357" s="2" t="s">
        <v>25</v>
      </c>
      <c r="D1357" s="4">
        <v>54.06</v>
      </c>
      <c r="E1357" s="5">
        <v>0.017714394848507</v>
      </c>
      <c r="F1357" s="5" t="s">
        <v>15</v>
      </c>
      <c r="G1357" s="5" t="s">
        <v>15</v>
      </c>
      <c r="H1357" s="4">
        <v>0.987931800701283</v>
      </c>
      <c r="I1357" s="4">
        <v>3256.898232</v>
      </c>
      <c r="J1357" s="6">
        <v>15.4019589129386</v>
      </c>
      <c r="K1357" s="5">
        <v>0.534017189568261</v>
      </c>
      <c r="L1357" s="7">
        <v>1.39759770199988</v>
      </c>
      <c r="M1357" s="4">
        <v>55.81</v>
      </c>
      <c r="N1357" s="2">
        <v>37.62</v>
      </c>
    </row>
    <row r="1358">
      <c r="A1358" s="2" t="s">
        <v>1383</v>
      </c>
      <c r="B1358" s="3" t="str">
        <f>HYPERLINK("https://www.suredividend.com/sure-analysis-research-database/","Rush Street Interactive Inc")</f>
        <v>Rush Street Interactive Inc</v>
      </c>
      <c r="C1358" s="2" t="s">
        <v>15</v>
      </c>
      <c r="D1358" s="4">
        <v>5.4</v>
      </c>
      <c r="E1358" s="5">
        <v>0.0</v>
      </c>
      <c r="F1358" s="5" t="s">
        <v>15</v>
      </c>
      <c r="G1358" s="5" t="s">
        <v>15</v>
      </c>
      <c r="H1358" s="4">
        <v>0.0</v>
      </c>
      <c r="I1358" s="4">
        <v>388.872301</v>
      </c>
      <c r="J1358" s="6" t="s">
        <v>15</v>
      </c>
      <c r="K1358" s="5">
        <v>0.0</v>
      </c>
      <c r="L1358" s="7">
        <v>2.10315464407232</v>
      </c>
      <c r="M1358" s="4">
        <v>5.52</v>
      </c>
      <c r="N1358" s="2">
        <v>2.77</v>
      </c>
    </row>
    <row r="1359">
      <c r="A1359" s="2" t="s">
        <v>1384</v>
      </c>
      <c r="B1359" s="3" t="str">
        <f>HYPERLINK("https://www.suredividend.com/sure-analysis-research-database/","Reservoir Media Inc")</f>
        <v>Reservoir Media Inc</v>
      </c>
      <c r="C1359" s="2" t="s">
        <v>15</v>
      </c>
      <c r="D1359" s="4">
        <v>6.77</v>
      </c>
      <c r="E1359" s="5">
        <v>0.0</v>
      </c>
      <c r="F1359" s="5" t="s">
        <v>15</v>
      </c>
      <c r="G1359" s="5" t="s">
        <v>15</v>
      </c>
      <c r="H1359" s="4">
        <v>0.0</v>
      </c>
      <c r="I1359" s="4">
        <v>460.156929</v>
      </c>
      <c r="J1359" s="6" t="s">
        <v>15</v>
      </c>
      <c r="K1359" s="5">
        <v>0.0</v>
      </c>
      <c r="L1359" s="7">
        <v>1.04027497218521</v>
      </c>
      <c r="M1359" s="4">
        <v>7.77</v>
      </c>
      <c r="N1359" s="2">
        <v>5.19</v>
      </c>
    </row>
    <row r="1360">
      <c r="A1360" s="2" t="s">
        <v>1385</v>
      </c>
      <c r="B1360" s="3" t="str">
        <f>HYPERLINK("https://www.suredividend.com/sure-analysis-research-database/","Necessity Retail REIT Inc (The)")</f>
        <v>Necessity Retail REIT Inc (The)</v>
      </c>
      <c r="C1360" s="2" t="s">
        <v>49</v>
      </c>
      <c r="D1360" s="4">
        <v>7.61</v>
      </c>
      <c r="E1360" s="5">
        <v>0.0</v>
      </c>
      <c r="F1360" s="5" t="s">
        <v>15</v>
      </c>
      <c r="G1360" s="5" t="s">
        <v>15</v>
      </c>
      <c r="H1360" s="4">
        <v>0.850000023841857</v>
      </c>
      <c r="I1360" s="4">
        <v>0.0</v>
      </c>
      <c r="J1360" s="6">
        <v>0.0</v>
      </c>
      <c r="K1360" s="5" t="s">
        <v>15</v>
      </c>
      <c r="L1360" s="7"/>
      <c r="M1360" s="4" t="s">
        <v>49</v>
      </c>
      <c r="N1360" s="2" t="s">
        <v>49</v>
      </c>
    </row>
    <row r="1361">
      <c r="A1361" s="2" t="s">
        <v>1386</v>
      </c>
      <c r="B1361" s="3" t="str">
        <f t="shared" ref="B1361:B1362" si="3">HYPERLINK("https://www.suredividend.com/sure-analysis-research-database/","Rush Enterprises Inc")</f>
        <v>Rush Enterprises Inc</v>
      </c>
      <c r="C1361" s="2" t="s">
        <v>25</v>
      </c>
      <c r="D1361" s="4">
        <v>45.6</v>
      </c>
      <c r="E1361" s="5">
        <v>0.013265425051461</v>
      </c>
      <c r="F1361" s="5">
        <v>-0.19047619047619</v>
      </c>
      <c r="G1361" s="5">
        <v>0.0721450259008509</v>
      </c>
      <c r="H1361" s="4">
        <v>0.615648376638328</v>
      </c>
      <c r="I1361" s="4">
        <v>3739.778646</v>
      </c>
      <c r="J1361" s="6">
        <v>10.1751332389039</v>
      </c>
      <c r="K1361" s="5">
        <v>0.141528362445592</v>
      </c>
      <c r="L1361" s="7">
        <v>0.991103746186076</v>
      </c>
      <c r="M1361" s="4">
        <v>50.5</v>
      </c>
      <c r="N1361" s="2">
        <v>32.8</v>
      </c>
    </row>
    <row r="1362">
      <c r="A1362" s="2" t="s">
        <v>1387</v>
      </c>
      <c r="B1362" s="3" t="str">
        <f t="shared" si="3"/>
        <v>Rush Enterprises Inc</v>
      </c>
      <c r="C1362" s="2" t="s">
        <v>25</v>
      </c>
      <c r="D1362" s="4">
        <v>48.07</v>
      </c>
      <c r="E1362" s="5">
        <v>0.012511247851741</v>
      </c>
      <c r="F1362" s="5">
        <v>-0.19047619047619</v>
      </c>
      <c r="G1362" s="5">
        <v>0.0721450259008509</v>
      </c>
      <c r="H1362" s="4">
        <v>0.616053844219754</v>
      </c>
      <c r="I1362" s="4">
        <v>3739.778646</v>
      </c>
      <c r="J1362" s="6">
        <v>10.1751332389039</v>
      </c>
      <c r="K1362" s="5">
        <v>0.141621573383851</v>
      </c>
      <c r="L1362" s="7">
        <v>1.04930643170247</v>
      </c>
      <c r="M1362" s="4">
        <v>53.11</v>
      </c>
      <c r="N1362" s="2">
        <v>35.89</v>
      </c>
    </row>
    <row r="1363">
      <c r="A1363" s="2" t="s">
        <v>1388</v>
      </c>
      <c r="B1363" s="3" t="str">
        <f>HYPERLINK("https://www.suredividend.com/sure-analysis-research-database/","Revolve Group Inc")</f>
        <v>Revolve Group Inc</v>
      </c>
      <c r="C1363" s="2" t="s">
        <v>25</v>
      </c>
      <c r="D1363" s="4">
        <v>14.46</v>
      </c>
      <c r="E1363" s="5">
        <v>0.0</v>
      </c>
      <c r="F1363" s="5" t="s">
        <v>15</v>
      </c>
      <c r="G1363" s="5" t="s">
        <v>15</v>
      </c>
      <c r="H1363" s="4">
        <v>0.0</v>
      </c>
      <c r="I1363" s="4">
        <v>610.75568</v>
      </c>
      <c r="J1363" s="6">
        <v>18.7803474554902</v>
      </c>
      <c r="K1363" s="5">
        <v>0.0</v>
      </c>
      <c r="L1363" s="7">
        <v>1.75206699716662</v>
      </c>
      <c r="M1363" s="4">
        <v>32.59</v>
      </c>
      <c r="N1363" s="2">
        <v>12.25</v>
      </c>
    </row>
    <row r="1364">
      <c r="A1364" s="2" t="s">
        <v>1389</v>
      </c>
      <c r="B1364" s="3" t="str">
        <f>HYPERLINK("https://www.suredividend.com/sure-analysis-research-database/","Revolution Medicines Inc")</f>
        <v>Revolution Medicines Inc</v>
      </c>
      <c r="C1364" s="2" t="s">
        <v>30</v>
      </c>
      <c r="D1364" s="4">
        <v>30.09</v>
      </c>
      <c r="E1364" s="5">
        <v>0.0</v>
      </c>
      <c r="F1364" s="5" t="s">
        <v>15</v>
      </c>
      <c r="G1364" s="5" t="s">
        <v>15</v>
      </c>
      <c r="H1364" s="4">
        <v>0.0</v>
      </c>
      <c r="I1364" s="4">
        <v>4744.128777</v>
      </c>
      <c r="J1364" s="6" t="s">
        <v>15</v>
      </c>
      <c r="K1364" s="5">
        <v>0.0</v>
      </c>
      <c r="L1364" s="7">
        <v>1.32644612899428</v>
      </c>
      <c r="M1364" s="4">
        <v>35.6</v>
      </c>
      <c r="N1364" s="2">
        <v>15.44</v>
      </c>
    </row>
    <row r="1365">
      <c r="A1365" s="2" t="s">
        <v>1390</v>
      </c>
      <c r="B1365" s="3" t="str">
        <f>HYPERLINK("https://www.suredividend.com/sure-analysis-research-database/","Revance Therapeutics Inc")</f>
        <v>Revance Therapeutics Inc</v>
      </c>
      <c r="C1365" s="2" t="s">
        <v>30</v>
      </c>
      <c r="D1365" s="4">
        <v>5.1</v>
      </c>
      <c r="E1365" s="5">
        <v>0.0</v>
      </c>
      <c r="F1365" s="5" t="s">
        <v>15</v>
      </c>
      <c r="G1365" s="5" t="s">
        <v>15</v>
      </c>
      <c r="H1365" s="4">
        <v>0.0</v>
      </c>
      <c r="I1365" s="4">
        <v>530.393419</v>
      </c>
      <c r="J1365" s="6">
        <v>0.0</v>
      </c>
      <c r="K1365" s="5" t="s">
        <v>15</v>
      </c>
      <c r="L1365" s="7">
        <v>1.4466861864247</v>
      </c>
      <c r="M1365" s="4">
        <v>37.98</v>
      </c>
      <c r="N1365" s="2">
        <v>5.36</v>
      </c>
    </row>
    <row r="1366">
      <c r="A1366" s="2" t="s">
        <v>1391</v>
      </c>
      <c r="B1366" s="3" t="str">
        <f>HYPERLINK("https://www.suredividend.com/sure-analysis-research-database/","Redwood Trust Inc.")</f>
        <v>Redwood Trust Inc.</v>
      </c>
      <c r="C1366" s="2" t="s">
        <v>20</v>
      </c>
      <c r="D1366" s="4">
        <v>6.56</v>
      </c>
      <c r="E1366" s="5">
        <v>0.097409415727391</v>
      </c>
      <c r="F1366" s="5">
        <v>-0.304347826086956</v>
      </c>
      <c r="G1366" s="5">
        <v>-0.118139793778279</v>
      </c>
      <c r="H1366" s="4">
        <v>0.684788192563564</v>
      </c>
      <c r="I1366" s="4">
        <v>803.06954</v>
      </c>
      <c r="J1366" s="6" t="s">
        <v>15</v>
      </c>
      <c r="K1366" s="5" t="s">
        <v>15</v>
      </c>
      <c r="L1366" s="7">
        <v>1.39235363633068</v>
      </c>
      <c r="M1366" s="4">
        <v>7.95</v>
      </c>
      <c r="N1366" s="2">
        <v>5.11</v>
      </c>
    </row>
    <row r="1367">
      <c r="A1367" s="2" t="s">
        <v>1392</v>
      </c>
      <c r="B1367" s="3" t="str">
        <f>HYPERLINK("https://www.suredividend.com/sure-analysis-research-database/","Prometheus Biosciences Inc")</f>
        <v>Prometheus Biosciences Inc</v>
      </c>
      <c r="C1367" s="2" t="s">
        <v>15</v>
      </c>
      <c r="D1367" s="4">
        <v>199.92</v>
      </c>
      <c r="E1367" s="5">
        <v>0.0</v>
      </c>
      <c r="F1367" s="5" t="s">
        <v>15</v>
      </c>
      <c r="G1367" s="5" t="s">
        <v>15</v>
      </c>
      <c r="H1367" s="4">
        <v>0.0</v>
      </c>
      <c r="I1367" s="4">
        <v>0.0</v>
      </c>
      <c r="J1367" s="6">
        <v>0.0</v>
      </c>
      <c r="K1367" s="5" t="s">
        <v>15</v>
      </c>
      <c r="L1367" s="7"/>
      <c r="M1367" s="4" t="s">
        <v>49</v>
      </c>
      <c r="N1367" s="2" t="s">
        <v>49</v>
      </c>
    </row>
    <row r="1368">
      <c r="A1368" s="2" t="s">
        <v>1393</v>
      </c>
      <c r="B1368" s="3" t="str">
        <f>HYPERLINK("https://www.suredividend.com/sure-analysis-research-database/","Recursion Pharmaceuticals Inc")</f>
        <v>Recursion Pharmaceuticals Inc</v>
      </c>
      <c r="C1368" s="2" t="s">
        <v>15</v>
      </c>
      <c r="D1368" s="4">
        <v>9.13</v>
      </c>
      <c r="E1368" s="5">
        <v>0.0</v>
      </c>
      <c r="F1368" s="5" t="s">
        <v>15</v>
      </c>
      <c r="G1368" s="5" t="s">
        <v>15</v>
      </c>
      <c r="H1368" s="4">
        <v>0.0</v>
      </c>
      <c r="I1368" s="4">
        <v>2241.135033</v>
      </c>
      <c r="J1368" s="6" t="s">
        <v>15</v>
      </c>
      <c r="K1368" s="5">
        <v>0.0</v>
      </c>
      <c r="L1368" s="7">
        <v>2.34321877120558</v>
      </c>
      <c r="M1368" s="4">
        <v>16.75</v>
      </c>
      <c r="N1368" s="2">
        <v>4.54</v>
      </c>
    </row>
    <row r="1369">
      <c r="A1369" s="2" t="s">
        <v>1394</v>
      </c>
      <c r="B1369" s="3" t="str">
        <f>HYPERLINK("https://www.suredividend.com/sure-analysis-research-database/","RxSight Inc")</f>
        <v>RxSight Inc</v>
      </c>
      <c r="C1369" s="2" t="s">
        <v>15</v>
      </c>
      <c r="D1369" s="4">
        <v>46.7</v>
      </c>
      <c r="E1369" s="5">
        <v>0.0</v>
      </c>
      <c r="F1369" s="5" t="s">
        <v>15</v>
      </c>
      <c r="G1369" s="5" t="s">
        <v>15</v>
      </c>
      <c r="H1369" s="4">
        <v>0.0</v>
      </c>
      <c r="I1369" s="4">
        <v>1721.356992</v>
      </c>
      <c r="J1369" s="6">
        <v>0.0</v>
      </c>
      <c r="K1369" s="5" t="s">
        <v>15</v>
      </c>
      <c r="L1369" s="7">
        <v>1.67407966160496</v>
      </c>
      <c r="M1369" s="4">
        <v>48.77</v>
      </c>
      <c r="N1369" s="2">
        <v>12.21</v>
      </c>
    </row>
    <row r="1370">
      <c r="A1370" s="2" t="s">
        <v>1395</v>
      </c>
      <c r="B1370" s="3" t="str">
        <f>HYPERLINK("https://www.suredividend.com/sure-analysis-research-database/","Rackspace Technology Inc")</f>
        <v>Rackspace Technology Inc</v>
      </c>
      <c r="C1370" s="2" t="s">
        <v>15</v>
      </c>
      <c r="D1370" s="4">
        <v>1.53</v>
      </c>
      <c r="E1370" s="5">
        <v>0.0</v>
      </c>
      <c r="F1370" s="5" t="s">
        <v>15</v>
      </c>
      <c r="G1370" s="5" t="s">
        <v>15</v>
      </c>
      <c r="H1370" s="4">
        <v>0.0</v>
      </c>
      <c r="I1370" s="4">
        <v>396.024572</v>
      </c>
      <c r="J1370" s="6" t="s">
        <v>15</v>
      </c>
      <c r="K1370" s="5">
        <v>0.0</v>
      </c>
      <c r="L1370" s="7">
        <v>3.07904871667875</v>
      </c>
      <c r="M1370" s="4">
        <v>3.57</v>
      </c>
      <c r="N1370" s="2">
        <v>1.05</v>
      </c>
    </row>
    <row r="1371">
      <c r="A1371" s="2" t="s">
        <v>1396</v>
      </c>
      <c r="B1371" s="3" t="str">
        <f>HYPERLINK("https://www.suredividend.com/sure-analysis-research-database/","Rayonier Advanced Materials Inc")</f>
        <v>Rayonier Advanced Materials Inc</v>
      </c>
      <c r="C1371" s="2" t="s">
        <v>130</v>
      </c>
      <c r="D1371" s="4">
        <v>4.24</v>
      </c>
      <c r="E1371" s="5">
        <v>0.0</v>
      </c>
      <c r="F1371" s="5" t="s">
        <v>15</v>
      </c>
      <c r="G1371" s="5" t="s">
        <v>15</v>
      </c>
      <c r="H1371" s="4">
        <v>0.0</v>
      </c>
      <c r="I1371" s="4">
        <v>297.312552</v>
      </c>
      <c r="J1371" s="6" t="s">
        <v>15</v>
      </c>
      <c r="K1371" s="5">
        <v>0.0</v>
      </c>
      <c r="L1371" s="7">
        <v>1.93429034024328</v>
      </c>
      <c r="M1371" s="4">
        <v>8.65</v>
      </c>
      <c r="N1371" s="2">
        <v>2.66</v>
      </c>
    </row>
    <row r="1372">
      <c r="A1372" s="2" t="s">
        <v>1397</v>
      </c>
      <c r="B1372" s="3" t="str">
        <f>HYPERLINK("https://www.suredividend.com/sure-analysis-research-database/","Ryerson Holding Corp.")</f>
        <v>Ryerson Holding Corp.</v>
      </c>
      <c r="C1372" s="2" t="s">
        <v>17</v>
      </c>
      <c r="D1372" s="4">
        <v>33.33</v>
      </c>
      <c r="E1372" s="5">
        <v>0.020501668157119</v>
      </c>
      <c r="F1372" s="5" t="s">
        <v>15</v>
      </c>
      <c r="G1372" s="5" t="s">
        <v>15</v>
      </c>
      <c r="H1372" s="4">
        <v>0.711202868370472</v>
      </c>
      <c r="I1372" s="4">
        <v>1186.398</v>
      </c>
      <c r="J1372" s="6">
        <v>12.3841127348643</v>
      </c>
      <c r="K1372" s="5">
        <v>0.269395025897906</v>
      </c>
      <c r="L1372" s="7">
        <v>1.31149110414649</v>
      </c>
      <c r="M1372" s="4">
        <v>44.15</v>
      </c>
      <c r="N1372" s="2">
        <v>25.99</v>
      </c>
    </row>
    <row r="1373">
      <c r="A1373" s="2" t="s">
        <v>1398</v>
      </c>
      <c r="B1373" s="3" t="str">
        <f>HYPERLINK("https://www.suredividend.com/sure-analysis-research-database/","Sabre Corp")</f>
        <v>Sabre Corp</v>
      </c>
      <c r="C1373" s="2" t="s">
        <v>40</v>
      </c>
      <c r="D1373" s="4">
        <v>4.03</v>
      </c>
      <c r="E1373" s="5">
        <v>0.0</v>
      </c>
      <c r="F1373" s="5" t="s">
        <v>15</v>
      </c>
      <c r="G1373" s="5" t="s">
        <v>15</v>
      </c>
      <c r="H1373" s="4">
        <v>0.0</v>
      </c>
      <c r="I1373" s="4">
        <v>1722.844861</v>
      </c>
      <c r="J1373" s="6" t="s">
        <v>15</v>
      </c>
      <c r="K1373" s="5">
        <v>0.0</v>
      </c>
      <c r="L1373" s="7">
        <v>2.31435914194815</v>
      </c>
      <c r="M1373" s="4">
        <v>7.92</v>
      </c>
      <c r="N1373" s="2">
        <v>2.99</v>
      </c>
    </row>
    <row r="1374">
      <c r="A1374" s="2" t="s">
        <v>1399</v>
      </c>
      <c r="B1374" s="3" t="str">
        <f>HYPERLINK("https://www.suredividend.com/sure-analysis-SAFE/","Safehold Inc.")</f>
        <v>Safehold Inc.</v>
      </c>
      <c r="C1374" s="2" t="s">
        <v>20</v>
      </c>
      <c r="D1374" s="4">
        <v>20.51</v>
      </c>
      <c r="E1374" s="5">
        <v>0.0346172598732325</v>
      </c>
      <c r="F1374" s="5">
        <v>0.0</v>
      </c>
      <c r="G1374" s="5">
        <v>0.0255804500766649</v>
      </c>
      <c r="H1374" s="4">
        <v>0.703533708628</v>
      </c>
      <c r="I1374" s="4">
        <v>1490.261989</v>
      </c>
      <c r="J1374" s="6" t="s">
        <v>15</v>
      </c>
      <c r="K1374" s="5" t="s">
        <v>15</v>
      </c>
      <c r="L1374" s="7">
        <v>4.3189780102077</v>
      </c>
      <c r="M1374" s="4">
        <v>29.53</v>
      </c>
      <c r="N1374" s="2">
        <v>6.55</v>
      </c>
    </row>
    <row r="1375">
      <c r="A1375" s="2" t="s">
        <v>1400</v>
      </c>
      <c r="B1375" s="3" t="str">
        <f>HYPERLINK("https://www.suredividend.com/sure-analysis-SAFT/","Safety Insurance Group, Inc.")</f>
        <v>Safety Insurance Group, Inc.</v>
      </c>
      <c r="C1375" s="2" t="s">
        <v>22</v>
      </c>
      <c r="D1375" s="4">
        <v>82.77</v>
      </c>
      <c r="E1375" s="5">
        <v>0.0434940195723088</v>
      </c>
      <c r="F1375" s="5">
        <v>0.0</v>
      </c>
      <c r="G1375" s="5">
        <v>0.0238362555396096</v>
      </c>
      <c r="H1375" s="4">
        <v>3.47118497035452</v>
      </c>
      <c r="I1375" s="4">
        <v>1251.839089</v>
      </c>
      <c r="J1375" s="6">
        <v>40.3181773780153</v>
      </c>
      <c r="K1375" s="5">
        <v>1.64511136035759</v>
      </c>
      <c r="L1375" s="7">
        <v>0.401125843836753</v>
      </c>
      <c r="M1375" s="4">
        <v>84.63</v>
      </c>
      <c r="N1375" s="2">
        <v>62.81</v>
      </c>
    </row>
    <row r="1376">
      <c r="A1376" s="2" t="s">
        <v>1401</v>
      </c>
      <c r="B1376" s="3" t="str">
        <f>HYPERLINK("https://www.suredividend.com/sure-analysis-research-database/","Sage Therapeutics Inc")</f>
        <v>Sage Therapeutics Inc</v>
      </c>
      <c r="C1376" s="2" t="s">
        <v>30</v>
      </c>
      <c r="D1376" s="4">
        <v>24.27</v>
      </c>
      <c r="E1376" s="5">
        <v>0.0</v>
      </c>
      <c r="F1376" s="5" t="s">
        <v>15</v>
      </c>
      <c r="G1376" s="5" t="s">
        <v>15</v>
      </c>
      <c r="H1376" s="4">
        <v>0.0</v>
      </c>
      <c r="I1376" s="4">
        <v>1593.271945</v>
      </c>
      <c r="J1376" s="6" t="s">
        <v>15</v>
      </c>
      <c r="K1376" s="5">
        <v>0.0</v>
      </c>
      <c r="L1376" s="7">
        <v>0.804927289580716</v>
      </c>
      <c r="M1376" s="4">
        <v>59.99</v>
      </c>
      <c r="N1376" s="2">
        <v>16.52</v>
      </c>
    </row>
    <row r="1377">
      <c r="A1377" s="2" t="s">
        <v>1402</v>
      </c>
      <c r="B1377" s="3" t="str">
        <f>HYPERLINK("https://www.suredividend.com/sure-analysis-research-database/","Sonic Automotive, Inc.")</f>
        <v>Sonic Automotive, Inc.</v>
      </c>
      <c r="C1377" s="2" t="s">
        <v>25</v>
      </c>
      <c r="D1377" s="4">
        <v>50.66</v>
      </c>
      <c r="E1377" s="5">
        <v>0.021637469991791</v>
      </c>
      <c r="F1377" s="5">
        <v>0.0714285714285714</v>
      </c>
      <c r="G1377" s="5">
        <v>0.245730939615517</v>
      </c>
      <c r="H1377" s="4">
        <v>1.15024790476363</v>
      </c>
      <c r="I1377" s="4">
        <v>1161.932952</v>
      </c>
      <c r="J1377" s="6" t="s">
        <v>15</v>
      </c>
      <c r="K1377" s="5" t="s">
        <v>15</v>
      </c>
      <c r="L1377" s="7">
        <v>1.07211172270456</v>
      </c>
      <c r="M1377" s="4">
        <v>60.86</v>
      </c>
      <c r="N1377" s="2">
        <v>38.34</v>
      </c>
    </row>
    <row r="1378">
      <c r="A1378" s="2" t="s">
        <v>1403</v>
      </c>
      <c r="B1378" s="3" t="str">
        <f>HYPERLINK("https://www.suredividend.com/sure-analysis-research-database/","Saia Inc.")</f>
        <v>Saia Inc.</v>
      </c>
      <c r="C1378" s="2" t="s">
        <v>17</v>
      </c>
      <c r="D1378" s="4">
        <v>531.75</v>
      </c>
      <c r="E1378" s="5">
        <v>0.0</v>
      </c>
      <c r="F1378" s="5" t="s">
        <v>15</v>
      </c>
      <c r="G1378" s="5" t="s">
        <v>15</v>
      </c>
      <c r="H1378" s="4">
        <v>0.0</v>
      </c>
      <c r="I1378" s="4">
        <v>12190.281712</v>
      </c>
      <c r="J1378" s="6">
        <v>36.2276605069972</v>
      </c>
      <c r="K1378" s="5">
        <v>0.0</v>
      </c>
      <c r="L1378" s="7">
        <v>1.45873027877618</v>
      </c>
      <c r="M1378" s="4">
        <v>472.1</v>
      </c>
      <c r="N1378" s="2">
        <v>244.69</v>
      </c>
    </row>
    <row r="1379">
      <c r="A1379" s="2" t="s">
        <v>1404</v>
      </c>
      <c r="B1379" s="3" t="str">
        <f>HYPERLINK("https://www.suredividend.com/sure-analysis-research-database/","Silvercrest Asset Management Group Inc")</f>
        <v>Silvercrest Asset Management Group Inc</v>
      </c>
      <c r="C1379" s="2" t="s">
        <v>22</v>
      </c>
      <c r="D1379" s="4">
        <v>16.22</v>
      </c>
      <c r="E1379" s="5">
        <v>0.041822127456908</v>
      </c>
      <c r="F1379" s="5">
        <v>0.0555555555555555</v>
      </c>
      <c r="G1379" s="5">
        <v>0.0484131712847215</v>
      </c>
      <c r="H1379" s="4">
        <v>0.717249485885982</v>
      </c>
      <c r="I1379" s="4">
        <v>160.219742</v>
      </c>
      <c r="J1379" s="6">
        <v>0.0</v>
      </c>
      <c r="K1379" s="5" t="s">
        <v>15</v>
      </c>
      <c r="L1379" s="7">
        <v>1.00858723654496</v>
      </c>
      <c r="M1379" s="4">
        <v>22.21</v>
      </c>
      <c r="N1379" s="2">
        <v>14.06</v>
      </c>
    </row>
    <row r="1380">
      <c r="A1380" s="2" t="s">
        <v>1405</v>
      </c>
      <c r="B1380" s="3" t="str">
        <f>HYPERLINK("https://www.suredividend.com/sure-analysis-research-database/","Sana Biotechnology Inc")</f>
        <v>Sana Biotechnology Inc</v>
      </c>
      <c r="C1380" s="2" t="s">
        <v>15</v>
      </c>
      <c r="D1380" s="4">
        <v>6.03</v>
      </c>
      <c r="E1380" s="5">
        <v>0.0</v>
      </c>
      <c r="F1380" s="5" t="s">
        <v>15</v>
      </c>
      <c r="G1380" s="5" t="s">
        <v>15</v>
      </c>
      <c r="H1380" s="4">
        <v>0.0</v>
      </c>
      <c r="I1380" s="4">
        <v>1178.856584</v>
      </c>
      <c r="J1380" s="6">
        <v>0.0</v>
      </c>
      <c r="K1380" s="5" t="s">
        <v>15</v>
      </c>
      <c r="L1380" s="7">
        <v>1.51977025761454</v>
      </c>
      <c r="M1380" s="4">
        <v>9.15</v>
      </c>
      <c r="N1380" s="2">
        <v>2.75</v>
      </c>
    </row>
    <row r="1381">
      <c r="A1381" s="2" t="s">
        <v>1406</v>
      </c>
      <c r="B1381" s="3" t="str">
        <f>HYPERLINK("https://www.suredividend.com/sure-analysis-research-database/","Sanmina Corp")</f>
        <v>Sanmina Corp</v>
      </c>
      <c r="C1381" s="2" t="s">
        <v>40</v>
      </c>
      <c r="D1381" s="4">
        <v>59.32</v>
      </c>
      <c r="E1381" s="5">
        <v>0.0</v>
      </c>
      <c r="F1381" s="5" t="s">
        <v>15</v>
      </c>
      <c r="G1381" s="5" t="s">
        <v>15</v>
      </c>
      <c r="H1381" s="4">
        <v>0.0</v>
      </c>
      <c r="I1381" s="4">
        <v>2823.942627</v>
      </c>
      <c r="J1381" s="6">
        <v>9.11037399303158</v>
      </c>
      <c r="K1381" s="5">
        <v>0.0</v>
      </c>
      <c r="L1381" s="7">
        <v>1.13741358653375</v>
      </c>
      <c r="M1381" s="4">
        <v>65.58</v>
      </c>
      <c r="N1381" s="2">
        <v>43.41</v>
      </c>
    </row>
    <row r="1382">
      <c r="A1382" s="2" t="s">
        <v>1407</v>
      </c>
      <c r="B1382" s="3" t="str">
        <f>HYPERLINK("https://www.suredividend.com/sure-analysis-research-database/","Sandy Spring Bancorp")</f>
        <v>Sandy Spring Bancorp</v>
      </c>
      <c r="C1382" s="2" t="s">
        <v>22</v>
      </c>
      <c r="D1382" s="4">
        <v>23.58</v>
      </c>
      <c r="E1382" s="5">
        <v>0.049331271540039</v>
      </c>
      <c r="F1382" s="5">
        <v>0.0</v>
      </c>
      <c r="G1382" s="5">
        <v>0.0395949882075525</v>
      </c>
      <c r="H1382" s="4">
        <v>1.30135894322624</v>
      </c>
      <c r="I1382" s="4">
        <v>1184.334268</v>
      </c>
      <c r="J1382" s="6">
        <v>9.08301455663777</v>
      </c>
      <c r="K1382" s="5">
        <v>0.448744463181463</v>
      </c>
      <c r="L1382" s="7">
        <v>1.44685351915561</v>
      </c>
      <c r="M1382" s="4">
        <v>31.94</v>
      </c>
      <c r="N1382" s="2">
        <v>18.07</v>
      </c>
    </row>
    <row r="1383">
      <c r="A1383" s="2" t="s">
        <v>1408</v>
      </c>
      <c r="B1383" s="3" t="str">
        <f>HYPERLINK("https://www.suredividend.com/sure-analysis-research-database/","EchoStar Corp")</f>
        <v>EchoStar Corp</v>
      </c>
      <c r="C1383" s="2" t="s">
        <v>40</v>
      </c>
      <c r="D1383" s="4">
        <v>13.11</v>
      </c>
      <c r="E1383" s="5">
        <v>0.0</v>
      </c>
      <c r="F1383" s="5" t="s">
        <v>15</v>
      </c>
      <c r="G1383" s="5" t="s">
        <v>15</v>
      </c>
      <c r="H1383" s="4">
        <v>0.0</v>
      </c>
      <c r="I1383" s="4">
        <v>499.833281</v>
      </c>
      <c r="J1383" s="6">
        <v>5.38677301619804</v>
      </c>
      <c r="K1383" s="5">
        <v>0.0</v>
      </c>
      <c r="L1383" s="7">
        <v>1.33307469385567</v>
      </c>
      <c r="M1383" s="4">
        <v>24.8</v>
      </c>
      <c r="N1383" s="2">
        <v>9.53</v>
      </c>
    </row>
    <row r="1384">
      <c r="A1384" s="2" t="s">
        <v>1409</v>
      </c>
      <c r="B1384" s="3" t="str">
        <f>HYPERLINK("https://www.suredividend.com/sure-analysis-research-database/","Cassava Sciences Inc")</f>
        <v>Cassava Sciences Inc</v>
      </c>
      <c r="C1384" s="2" t="s">
        <v>30</v>
      </c>
      <c r="D1384" s="4">
        <v>22.91</v>
      </c>
      <c r="E1384" s="5">
        <v>0.0</v>
      </c>
      <c r="F1384" s="5" t="s">
        <v>15</v>
      </c>
      <c r="G1384" s="5" t="s">
        <v>15</v>
      </c>
      <c r="H1384" s="4">
        <v>0.0</v>
      </c>
      <c r="I1384" s="4">
        <v>1050.555884</v>
      </c>
      <c r="J1384" s="6">
        <v>0.0</v>
      </c>
      <c r="K1384" s="5" t="s">
        <v>15</v>
      </c>
      <c r="L1384" s="7"/>
      <c r="M1384" s="4">
        <v>32.64</v>
      </c>
      <c r="N1384" s="2">
        <v>12.32</v>
      </c>
    </row>
    <row r="1385">
      <c r="A1385" s="2" t="s">
        <v>1410</v>
      </c>
      <c r="B1385" s="3" t="str">
        <f>HYPERLINK("https://www.suredividend.com/sure-analysis-research-database/","Spirit Airlines Inc")</f>
        <v>Spirit Airlines Inc</v>
      </c>
      <c r="C1385" s="2" t="s">
        <v>17</v>
      </c>
      <c r="D1385" s="4">
        <v>6.25</v>
      </c>
      <c r="E1385" s="5">
        <v>0.17551416078771</v>
      </c>
      <c r="F1385" s="5" t="s">
        <v>15</v>
      </c>
      <c r="G1385" s="5" t="s">
        <v>15</v>
      </c>
      <c r="H1385" s="4">
        <v>1.05835038954989</v>
      </c>
      <c r="I1385" s="4">
        <v>658.280387</v>
      </c>
      <c r="J1385" s="6" t="s">
        <v>15</v>
      </c>
      <c r="K1385" s="5" t="s">
        <v>15</v>
      </c>
      <c r="L1385" s="7">
        <v>1.05033364311212</v>
      </c>
      <c r="M1385" s="4">
        <v>18.73</v>
      </c>
      <c r="N1385" s="2">
        <v>3.99</v>
      </c>
    </row>
    <row r="1386">
      <c r="A1386" s="2" t="s">
        <v>1411</v>
      </c>
      <c r="B1386" s="3" t="str">
        <f>HYPERLINK("https://www.suredividend.com/sure-analysis-research-database/","Safe Bulkers, Inc")</f>
        <v>Safe Bulkers, Inc</v>
      </c>
      <c r="C1386" s="2" t="s">
        <v>17</v>
      </c>
      <c r="D1386" s="4">
        <v>3.92</v>
      </c>
      <c r="E1386" s="5">
        <v>0.047858002334507</v>
      </c>
      <c r="F1386" s="5" t="s">
        <v>15</v>
      </c>
      <c r="G1386" s="5" t="s">
        <v>15</v>
      </c>
      <c r="H1386" s="4">
        <v>0.195739229548135</v>
      </c>
      <c r="I1386" s="4">
        <v>456.38148</v>
      </c>
      <c r="J1386" s="6">
        <v>4.91149987903703</v>
      </c>
      <c r="K1386" s="5">
        <v>0.244949605241064</v>
      </c>
      <c r="L1386" s="7">
        <v>0.867913066867969</v>
      </c>
      <c r="M1386" s="4">
        <v>4.3</v>
      </c>
      <c r="N1386" s="2">
        <v>2.93</v>
      </c>
    </row>
    <row r="1387">
      <c r="A1387" s="2" t="s">
        <v>1412</v>
      </c>
      <c r="B1387" s="3" t="str">
        <f>HYPERLINK("https://www.suredividend.com/sure-analysis-research-database/","Seacoast Banking Corp. Of Florida")</f>
        <v>Seacoast Banking Corp. Of Florida</v>
      </c>
      <c r="C1387" s="2" t="s">
        <v>22</v>
      </c>
      <c r="D1387" s="4">
        <v>24.18</v>
      </c>
      <c r="E1387" s="5">
        <v>0.02630413544901</v>
      </c>
      <c r="F1387" s="5" t="s">
        <v>15</v>
      </c>
      <c r="G1387" s="5" t="s">
        <v>15</v>
      </c>
      <c r="H1387" s="4">
        <v>0.695218299917346</v>
      </c>
      <c r="I1387" s="4">
        <v>2250.511328</v>
      </c>
      <c r="J1387" s="6">
        <v>22.8670994685877</v>
      </c>
      <c r="K1387" s="5">
        <v>0.569851065506021</v>
      </c>
      <c r="L1387" s="7">
        <v>1.93238345721381</v>
      </c>
      <c r="M1387" s="4">
        <v>32.3</v>
      </c>
      <c r="N1387" s="2">
        <v>17.16</v>
      </c>
    </row>
    <row r="1388">
      <c r="A1388" s="2" t="s">
        <v>1413</v>
      </c>
      <c r="B1388" s="3" t="str">
        <f>HYPERLINK("https://www.suredividend.com/sure-analysis-research-database/","Sinclair Inc")</f>
        <v>Sinclair Inc</v>
      </c>
      <c r="C1388" s="2" t="s">
        <v>114</v>
      </c>
      <c r="D1388" s="4">
        <v>14.89</v>
      </c>
      <c r="E1388" s="5">
        <v>0.029826974118372</v>
      </c>
      <c r="F1388" s="5">
        <v>0.0</v>
      </c>
      <c r="G1388" s="5">
        <v>0.0456395525912731</v>
      </c>
      <c r="H1388" s="4">
        <v>0.490653724247226</v>
      </c>
      <c r="I1388" s="4">
        <v>653.715236</v>
      </c>
      <c r="J1388" s="6">
        <v>0.0</v>
      </c>
      <c r="K1388" s="5" t="s">
        <v>15</v>
      </c>
      <c r="L1388" s="7">
        <v>1.68321613828847</v>
      </c>
      <c r="M1388" s="4">
        <v>17.59</v>
      </c>
      <c r="N1388" s="2">
        <v>9.04</v>
      </c>
    </row>
    <row r="1389">
      <c r="A1389" s="2" t="s">
        <v>1414</v>
      </c>
      <c r="B1389" s="3" t="str">
        <f>HYPERLINK("https://www.suredividend.com/sure-analysis-research-database/","Sally Beauty Holdings Inc")</f>
        <v>Sally Beauty Holdings Inc</v>
      </c>
      <c r="C1389" s="2" t="s">
        <v>25</v>
      </c>
      <c r="D1389" s="4">
        <v>12.59</v>
      </c>
      <c r="E1389" s="5">
        <v>0.0</v>
      </c>
      <c r="F1389" s="5" t="s">
        <v>15</v>
      </c>
      <c r="G1389" s="5" t="s">
        <v>15</v>
      </c>
      <c r="H1389" s="4">
        <v>0.0</v>
      </c>
      <c r="I1389" s="4">
        <v>1341.054687</v>
      </c>
      <c r="J1389" s="6">
        <v>7.26465160996749</v>
      </c>
      <c r="K1389" s="5">
        <v>0.0</v>
      </c>
      <c r="L1389" s="7">
        <v>1.52927007571358</v>
      </c>
      <c r="M1389" s="4">
        <v>18.42</v>
      </c>
      <c r="N1389" s="2">
        <v>7.21</v>
      </c>
    </row>
    <row r="1390">
      <c r="A1390" s="2" t="s">
        <v>1415</v>
      </c>
      <c r="B1390" s="3" t="str">
        <f>HYPERLINK("https://www.suredividend.com/sure-analysis-research-database/","SilverBow Resources Inc")</f>
        <v>SilverBow Resources Inc</v>
      </c>
      <c r="C1390" s="2" t="s">
        <v>125</v>
      </c>
      <c r="D1390" s="4">
        <v>25.99</v>
      </c>
      <c r="E1390" s="5">
        <v>0.0</v>
      </c>
      <c r="F1390" s="5" t="s">
        <v>15</v>
      </c>
      <c r="G1390" s="5" t="s">
        <v>15</v>
      </c>
      <c r="H1390" s="4">
        <v>0.0</v>
      </c>
      <c r="I1390" s="4">
        <v>691.431096</v>
      </c>
      <c r="J1390" s="6">
        <v>0.0</v>
      </c>
      <c r="K1390" s="5" t="s">
        <v>15</v>
      </c>
      <c r="L1390" s="7">
        <v>1.39312425616961</v>
      </c>
      <c r="M1390" s="4">
        <v>43.95</v>
      </c>
      <c r="N1390" s="2">
        <v>19.13</v>
      </c>
    </row>
    <row r="1391">
      <c r="A1391" s="2" t="s">
        <v>1416</v>
      </c>
      <c r="B1391" s="3" t="str">
        <f>HYPERLINK("https://www.suredividend.com/sure-analysis-SBRA/","Sabra Healthcare REIT Inc")</f>
        <v>Sabra Healthcare REIT Inc</v>
      </c>
      <c r="C1391" s="2" t="s">
        <v>20</v>
      </c>
      <c r="D1391" s="4">
        <v>12.91</v>
      </c>
      <c r="E1391" s="5">
        <v>0.0929512006196746</v>
      </c>
      <c r="F1391" s="5">
        <v>0.0</v>
      </c>
      <c r="G1391" s="5">
        <v>-0.0778920885182722</v>
      </c>
      <c r="H1391" s="4">
        <v>1.14190755654567</v>
      </c>
      <c r="I1391" s="4">
        <v>3116.83917</v>
      </c>
      <c r="J1391" s="6" t="s">
        <v>15</v>
      </c>
      <c r="K1391" s="5" t="s">
        <v>15</v>
      </c>
      <c r="L1391" s="7">
        <v>0.955612309525855</v>
      </c>
      <c r="M1391" s="4">
        <v>14.8</v>
      </c>
      <c r="N1391" s="2">
        <v>9.19</v>
      </c>
    </row>
    <row r="1392">
      <c r="A1392" s="2" t="s">
        <v>1417</v>
      </c>
      <c r="B1392" s="3" t="str">
        <f>HYPERLINK("https://www.suredividend.com/sure-analysis-SBSI/","Southside Bancshares Inc")</f>
        <v>Southside Bancshares Inc</v>
      </c>
      <c r="C1392" s="2" t="s">
        <v>22</v>
      </c>
      <c r="D1392" s="4">
        <v>29.8</v>
      </c>
      <c r="E1392" s="5">
        <v>0.046979865771812</v>
      </c>
      <c r="F1392" s="5">
        <v>0.0</v>
      </c>
      <c r="G1392" s="5">
        <v>0.0245691383630806</v>
      </c>
      <c r="H1392" s="4">
        <v>1.37458604298402</v>
      </c>
      <c r="I1392" s="4">
        <v>990.862</v>
      </c>
      <c r="J1392" s="6">
        <v>10.2104406248711</v>
      </c>
      <c r="K1392" s="5">
        <v>0.441989081345344</v>
      </c>
      <c r="L1392" s="7">
        <v>1.1765291296329</v>
      </c>
      <c r="M1392" s="4">
        <v>38.57</v>
      </c>
      <c r="N1392" s="2">
        <v>24.78</v>
      </c>
    </row>
    <row r="1393">
      <c r="A1393" s="2" t="s">
        <v>1418</v>
      </c>
      <c r="B1393" s="3" t="str">
        <f>HYPERLINK("https://www.suredividend.com/sure-analysis-research-database/","Sterling Bancorp Inc")</f>
        <v>Sterling Bancorp Inc</v>
      </c>
      <c r="C1393" s="2" t="s">
        <v>22</v>
      </c>
      <c r="D1393" s="4">
        <v>5.0</v>
      </c>
      <c r="E1393" s="5">
        <v>0.0</v>
      </c>
      <c r="F1393" s="5" t="s">
        <v>15</v>
      </c>
      <c r="G1393" s="5" t="s">
        <v>15</v>
      </c>
      <c r="H1393" s="4">
        <v>0.0</v>
      </c>
      <c r="I1393" s="4">
        <v>284.837292</v>
      </c>
      <c r="J1393" s="6">
        <v>0.0</v>
      </c>
      <c r="K1393" s="5" t="s">
        <v>15</v>
      </c>
      <c r="L1393" s="7">
        <v>0.918701620301783</v>
      </c>
      <c r="M1393" s="4">
        <v>6.36</v>
      </c>
      <c r="N1393" s="2">
        <v>4.22</v>
      </c>
    </row>
    <row r="1394">
      <c r="A1394" s="2" t="s">
        <v>1419</v>
      </c>
      <c r="B1394" s="3" t="str">
        <f>HYPERLINK("https://www.suredividend.com/sure-analysis-SCHL/","Scholastic Corp.")</f>
        <v>Scholastic Corp.</v>
      </c>
      <c r="C1394" s="2" t="s">
        <v>114</v>
      </c>
      <c r="D1394" s="4">
        <v>37.46</v>
      </c>
      <c r="E1394" s="5">
        <v>0.0213561131873998</v>
      </c>
      <c r="F1394" s="5">
        <v>0.0</v>
      </c>
      <c r="G1394" s="5">
        <v>0.0592238410488121</v>
      </c>
      <c r="H1394" s="4">
        <v>0.587932712957029</v>
      </c>
      <c r="I1394" s="4">
        <v>1107.478044</v>
      </c>
      <c r="J1394" s="6">
        <v>18.7073993936756</v>
      </c>
      <c r="K1394" s="5">
        <v>0.328454029584932</v>
      </c>
      <c r="L1394" s="7">
        <v>0.683922567689775</v>
      </c>
      <c r="M1394" s="4">
        <v>45.6</v>
      </c>
      <c r="N1394" s="2">
        <v>29.44</v>
      </c>
    </row>
    <row r="1395">
      <c r="A1395" s="2" t="s">
        <v>1420</v>
      </c>
      <c r="B1395" s="3" t="str">
        <f>HYPERLINK("https://www.suredividend.com/sure-analysis-SCL/","Stepan Co.")</f>
        <v>Stepan Co.</v>
      </c>
      <c r="C1395" s="2" t="s">
        <v>130</v>
      </c>
      <c r="D1395" s="4">
        <v>88.48</v>
      </c>
      <c r="E1395" s="5">
        <v>0.0169529837251356</v>
      </c>
      <c r="F1395" s="5">
        <v>0.0273972602739727</v>
      </c>
      <c r="G1395" s="5">
        <v>0.0844717711976985</v>
      </c>
      <c r="H1395" s="4">
        <v>1.46056731216609</v>
      </c>
      <c r="I1395" s="4">
        <v>2077.035</v>
      </c>
      <c r="J1395" s="6">
        <v>39.7663265045662</v>
      </c>
      <c r="K1395" s="5">
        <v>0.643421723421188</v>
      </c>
      <c r="L1395" s="7">
        <v>1.02805617859314</v>
      </c>
      <c r="M1395" s="4">
        <v>112.65</v>
      </c>
      <c r="N1395" s="2">
        <v>63.31</v>
      </c>
    </row>
    <row r="1396">
      <c r="A1396" s="2" t="s">
        <v>1421</v>
      </c>
      <c r="B1396" s="3" t="str">
        <f>HYPERLINK("https://www.suredividend.com/sure-analysis-research-database/","Steelcase, Inc.")</f>
        <v>Steelcase, Inc.</v>
      </c>
      <c r="C1396" s="2" t="s">
        <v>17</v>
      </c>
      <c r="D1396" s="4">
        <v>12.43</v>
      </c>
      <c r="E1396" s="5">
        <v>0.029434712111124</v>
      </c>
      <c r="F1396" s="5">
        <v>0.0</v>
      </c>
      <c r="G1396" s="5">
        <v>-0.0716186668769238</v>
      </c>
      <c r="H1396" s="4">
        <v>0.394719489410181</v>
      </c>
      <c r="I1396" s="4">
        <v>1258.760627</v>
      </c>
      <c r="J1396" s="6">
        <v>17.3622155462068</v>
      </c>
      <c r="K1396" s="5">
        <v>0.62189930582981</v>
      </c>
      <c r="L1396" s="7">
        <v>1.03791687590043</v>
      </c>
      <c r="M1396" s="4">
        <v>14.43</v>
      </c>
      <c r="N1396" s="2">
        <v>6.21</v>
      </c>
    </row>
    <row r="1397">
      <c r="A1397" s="2" t="s">
        <v>1422</v>
      </c>
      <c r="B1397" s="3" t="str">
        <f>HYPERLINK("https://www.suredividend.com/sure-analysis-research-database/","Scansource, Inc.")</f>
        <v>Scansource, Inc.</v>
      </c>
      <c r="C1397" s="2" t="s">
        <v>40</v>
      </c>
      <c r="D1397" s="4">
        <v>38.72</v>
      </c>
      <c r="E1397" s="5">
        <v>0.0</v>
      </c>
      <c r="F1397" s="5" t="s">
        <v>15</v>
      </c>
      <c r="G1397" s="5" t="s">
        <v>15</v>
      </c>
      <c r="H1397" s="4">
        <v>0.0</v>
      </c>
      <c r="I1397" s="4">
        <v>995.935695</v>
      </c>
      <c r="J1397" s="6">
        <v>12.2653689740021</v>
      </c>
      <c r="K1397" s="5">
        <v>0.0</v>
      </c>
      <c r="L1397" s="7">
        <v>0.990825733384081</v>
      </c>
      <c r="M1397" s="4">
        <v>40.48</v>
      </c>
      <c r="N1397" s="2">
        <v>26.14</v>
      </c>
    </row>
    <row r="1398">
      <c r="A1398" s="2" t="s">
        <v>1423</v>
      </c>
      <c r="B1398" s="3" t="str">
        <f>HYPERLINK("https://www.suredividend.com/sure-analysis-research-database/","Sculptor Capital Management Inc")</f>
        <v>Sculptor Capital Management Inc</v>
      </c>
      <c r="C1398" s="2" t="s">
        <v>22</v>
      </c>
      <c r="D1398" s="4">
        <v>12.72</v>
      </c>
      <c r="E1398" s="5">
        <v>0.021086481356594</v>
      </c>
      <c r="F1398" s="5" t="s">
        <v>15</v>
      </c>
      <c r="G1398" s="5" t="s">
        <v>15</v>
      </c>
      <c r="H1398" s="4">
        <v>0.26822004285588</v>
      </c>
      <c r="I1398" s="4">
        <v>373.359742</v>
      </c>
      <c r="J1398" s="6" t="s">
        <v>15</v>
      </c>
      <c r="K1398" s="5" t="s">
        <v>15</v>
      </c>
      <c r="L1398" s="7">
        <v>0.926099292842137</v>
      </c>
      <c r="M1398" s="4">
        <v>12.78</v>
      </c>
      <c r="N1398" s="2">
        <v>7.76</v>
      </c>
    </row>
    <row r="1399">
      <c r="A1399" s="2" t="s">
        <v>1424</v>
      </c>
      <c r="B1399" s="3" t="str">
        <f>HYPERLINK("https://www.suredividend.com/sure-analysis-research-database/","Shoe Carnival, Inc.")</f>
        <v>Shoe Carnival, Inc.</v>
      </c>
      <c r="C1399" s="2" t="s">
        <v>25</v>
      </c>
      <c r="D1399" s="4">
        <v>25.92</v>
      </c>
      <c r="E1399" s="5">
        <v>0.016735460783384</v>
      </c>
      <c r="F1399" s="5">
        <v>0.333333333333333</v>
      </c>
      <c r="G1399" s="5">
        <v>0.0844717711976985</v>
      </c>
      <c r="H1399" s="4">
        <v>0.434452561936651</v>
      </c>
      <c r="I1399" s="4">
        <v>704.335375</v>
      </c>
      <c r="J1399" s="6">
        <v>8.86647920994989</v>
      </c>
      <c r="K1399" s="5">
        <v>0.149811228254017</v>
      </c>
      <c r="L1399" s="7">
        <v>1.04459871099566</v>
      </c>
      <c r="M1399" s="4">
        <v>30.67</v>
      </c>
      <c r="N1399" s="2">
        <v>18.73</v>
      </c>
    </row>
    <row r="1400">
      <c r="A1400" s="2" t="s">
        <v>1425</v>
      </c>
      <c r="B1400" s="3" t="str">
        <f>HYPERLINK("https://www.suredividend.com/sure-analysis-research-database/","SecureWorks Corp")</f>
        <v>SecureWorks Corp</v>
      </c>
      <c r="C1400" s="2" t="s">
        <v>40</v>
      </c>
      <c r="D1400" s="4">
        <v>7.35</v>
      </c>
      <c r="E1400" s="5">
        <v>0.0</v>
      </c>
      <c r="F1400" s="5" t="s">
        <v>15</v>
      </c>
      <c r="G1400" s="5" t="s">
        <v>15</v>
      </c>
      <c r="H1400" s="4">
        <v>0.0</v>
      </c>
      <c r="I1400" s="4">
        <v>117.245666</v>
      </c>
      <c r="J1400" s="6" t="s">
        <v>15</v>
      </c>
      <c r="K1400" s="5">
        <v>0.0</v>
      </c>
      <c r="L1400" s="7">
        <v>0.956702816178263</v>
      </c>
      <c r="M1400" s="4">
        <v>10.06</v>
      </c>
      <c r="N1400" s="2">
        <v>5.4</v>
      </c>
    </row>
    <row r="1401">
      <c r="A1401" s="2" t="s">
        <v>1426</v>
      </c>
      <c r="B1401" s="3" t="str">
        <f>HYPERLINK("https://www.suredividend.com/sure-analysis-research-database/","Sandridge Energy Inc")</f>
        <v>Sandridge Energy Inc</v>
      </c>
      <c r="C1401" s="2" t="s">
        <v>125</v>
      </c>
      <c r="D1401" s="4">
        <v>11.93</v>
      </c>
      <c r="E1401" s="5">
        <v>0.013688058524645</v>
      </c>
      <c r="F1401" s="5" t="s">
        <v>15</v>
      </c>
      <c r="G1401" s="5" t="s">
        <v>15</v>
      </c>
      <c r="H1401" s="4">
        <v>0.199298132118838</v>
      </c>
      <c r="I1401" s="4">
        <v>540.048877</v>
      </c>
      <c r="J1401" s="6">
        <v>0.0</v>
      </c>
      <c r="K1401" s="5" t="s">
        <v>15</v>
      </c>
      <c r="L1401" s="7">
        <v>0.957713707050687</v>
      </c>
      <c r="M1401" s="4">
        <v>16.97</v>
      </c>
      <c r="N1401" s="2">
        <v>11.03</v>
      </c>
    </row>
    <row r="1402">
      <c r="A1402" s="2" t="s">
        <v>1427</v>
      </c>
      <c r="B1402" s="3" t="str">
        <f>HYPERLINK("https://www.suredividend.com/sure-analysis-research-database/","Schrodinger Inc")</f>
        <v>Schrodinger Inc</v>
      </c>
      <c r="C1402" s="2" t="s">
        <v>30</v>
      </c>
      <c r="D1402" s="4">
        <v>25.94</v>
      </c>
      <c r="E1402" s="5">
        <v>0.0</v>
      </c>
      <c r="F1402" s="5" t="s">
        <v>15</v>
      </c>
      <c r="G1402" s="5" t="s">
        <v>15</v>
      </c>
      <c r="H1402" s="4">
        <v>0.0</v>
      </c>
      <c r="I1402" s="4">
        <v>1776.037159</v>
      </c>
      <c r="J1402" s="6">
        <v>40.1972966751918</v>
      </c>
      <c r="K1402" s="5">
        <v>0.0</v>
      </c>
      <c r="L1402" s="7">
        <v>2.45099157436402</v>
      </c>
      <c r="M1402" s="4">
        <v>59.24</v>
      </c>
      <c r="N1402" s="2">
        <v>20.76</v>
      </c>
    </row>
    <row r="1403">
      <c r="A1403" s="2" t="s">
        <v>1428</v>
      </c>
      <c r="B1403" s="3" t="str">
        <f>HYPERLINK("https://www.suredividend.com/sure-analysis-research-database/","SeaWorld Entertainment Inc")</f>
        <v>SeaWorld Entertainment Inc</v>
      </c>
      <c r="C1403" s="2" t="s">
        <v>25</v>
      </c>
      <c r="D1403" s="4">
        <v>47.26</v>
      </c>
      <c r="E1403" s="5">
        <v>0.0</v>
      </c>
      <c r="F1403" s="5" t="s">
        <v>15</v>
      </c>
      <c r="G1403" s="5" t="s">
        <v>15</v>
      </c>
      <c r="H1403" s="4">
        <v>0.0</v>
      </c>
      <c r="I1403" s="4">
        <v>3187.610045</v>
      </c>
      <c r="J1403" s="6">
        <v>13.1094826921732</v>
      </c>
      <c r="K1403" s="5">
        <v>0.0</v>
      </c>
      <c r="L1403" s="7">
        <v>1.70839321644822</v>
      </c>
      <c r="M1403" s="4">
        <v>68.19</v>
      </c>
      <c r="N1403" s="2">
        <v>40.87</v>
      </c>
    </row>
    <row r="1404">
      <c r="A1404" s="2" t="s">
        <v>1429</v>
      </c>
      <c r="B1404" s="3" t="str">
        <f>HYPERLINK("https://www.suredividend.com/sure-analysis-research-database/","Vivid Seats Inc")</f>
        <v>Vivid Seats Inc</v>
      </c>
      <c r="C1404" s="2" t="s">
        <v>15</v>
      </c>
      <c r="D1404" s="4">
        <v>5.46</v>
      </c>
      <c r="E1404" s="5">
        <v>0.0</v>
      </c>
      <c r="F1404" s="5" t="s">
        <v>15</v>
      </c>
      <c r="G1404" s="5" t="s">
        <v>15</v>
      </c>
      <c r="H1404" s="4">
        <v>0.0</v>
      </c>
      <c r="I1404" s="4">
        <v>803.254884</v>
      </c>
      <c r="J1404" s="6">
        <v>13.4647794689553</v>
      </c>
      <c r="K1404" s="5">
        <v>0.0</v>
      </c>
      <c r="L1404" s="7">
        <v>0.5151032463377</v>
      </c>
      <c r="M1404" s="4">
        <v>9.89</v>
      </c>
      <c r="N1404" s="2">
        <v>5.55</v>
      </c>
    </row>
    <row r="1405">
      <c r="A1405" s="2" t="s">
        <v>1430</v>
      </c>
      <c r="B1405" s="3" t="str">
        <f>HYPERLINK("https://www.suredividend.com/sure-analysis-research-database/","Seer Inc")</f>
        <v>Seer Inc</v>
      </c>
      <c r="C1405" s="2" t="s">
        <v>15</v>
      </c>
      <c r="D1405" s="4">
        <v>1.67</v>
      </c>
      <c r="E1405" s="5">
        <v>0.0</v>
      </c>
      <c r="F1405" s="5" t="s">
        <v>15</v>
      </c>
      <c r="G1405" s="5" t="s">
        <v>15</v>
      </c>
      <c r="H1405" s="4">
        <v>0.0</v>
      </c>
      <c r="I1405" s="4">
        <v>108.800044</v>
      </c>
      <c r="J1405" s="6" t="s">
        <v>15</v>
      </c>
      <c r="K1405" s="5">
        <v>0.0</v>
      </c>
      <c r="L1405" s="7">
        <v>2.64925345501048</v>
      </c>
      <c r="M1405" s="4">
        <v>6.18</v>
      </c>
      <c r="N1405" s="2">
        <v>1.46</v>
      </c>
    </row>
    <row r="1406">
      <c r="A1406" s="2" t="s">
        <v>1431</v>
      </c>
      <c r="B1406" s="3" t="str">
        <f>HYPERLINK("https://www.suredividend.com/sure-analysis-research-database/","Select Medical Holdings Corporation")</f>
        <v>Select Medical Holdings Corporation</v>
      </c>
      <c r="C1406" s="2" t="s">
        <v>30</v>
      </c>
      <c r="D1406" s="4">
        <v>26.14</v>
      </c>
      <c r="E1406" s="5">
        <v>0.018613152133669</v>
      </c>
      <c r="F1406" s="5" t="s">
        <v>15</v>
      </c>
      <c r="G1406" s="5" t="s">
        <v>15</v>
      </c>
      <c r="H1406" s="4">
        <v>0.496226635883622</v>
      </c>
      <c r="I1406" s="4">
        <v>3418.172923</v>
      </c>
      <c r="J1406" s="6">
        <v>15.788327589284</v>
      </c>
      <c r="K1406" s="5">
        <v>0.286836205713076</v>
      </c>
      <c r="L1406" s="7">
        <v>1.02338882236352</v>
      </c>
      <c r="M1406" s="4">
        <v>33.17</v>
      </c>
      <c r="N1406" s="2">
        <v>21.16</v>
      </c>
    </row>
    <row r="1407">
      <c r="A1407" s="2" t="s">
        <v>1432</v>
      </c>
      <c r="B1407" s="3" t="str">
        <f>HYPERLINK("https://www.suredividend.com/sure-analysis-research-database/","Seneca Foods Corp.")</f>
        <v>Seneca Foods Corp.</v>
      </c>
      <c r="C1407" s="2" t="s">
        <v>89</v>
      </c>
      <c r="D1407" s="4">
        <v>53.39</v>
      </c>
      <c r="E1407" s="5">
        <v>0.0</v>
      </c>
      <c r="F1407" s="5" t="s">
        <v>15</v>
      </c>
      <c r="G1407" s="5" t="s">
        <v>15</v>
      </c>
      <c r="H1407" s="4">
        <v>0.0</v>
      </c>
      <c r="I1407" s="4">
        <v>388.429288</v>
      </c>
      <c r="J1407" s="6">
        <v>10.8300141730329</v>
      </c>
      <c r="K1407" s="5">
        <v>0.0</v>
      </c>
      <c r="L1407" s="7">
        <v>0.207813880904225</v>
      </c>
      <c r="M1407" s="4">
        <v>64.3</v>
      </c>
      <c r="N1407" s="2">
        <v>32.5</v>
      </c>
    </row>
    <row r="1408">
      <c r="A1408" s="2" t="s">
        <v>1433</v>
      </c>
      <c r="B1408" s="3" t="str">
        <f>HYPERLINK("https://www.suredividend.com/sure-analysis-research-database/","Senseonics Holdings Inc")</f>
        <v>Senseonics Holdings Inc</v>
      </c>
      <c r="C1408" s="2" t="s">
        <v>30</v>
      </c>
      <c r="D1408" s="4">
        <v>0.5311</v>
      </c>
      <c r="E1408" s="5">
        <v>0.0</v>
      </c>
      <c r="F1408" s="5" t="s">
        <v>15</v>
      </c>
      <c r="G1408" s="5" t="s">
        <v>15</v>
      </c>
      <c r="H1408" s="4">
        <v>0.0</v>
      </c>
      <c r="I1408" s="4">
        <v>303.761808</v>
      </c>
      <c r="J1408" s="6" t="s">
        <v>15</v>
      </c>
      <c r="K1408" s="5">
        <v>0.0</v>
      </c>
      <c r="L1408" s="7">
        <v>2.12983972198123</v>
      </c>
      <c r="M1408" s="4">
        <v>1.27</v>
      </c>
      <c r="N1408" s="2">
        <v>0.4606</v>
      </c>
    </row>
    <row r="1409">
      <c r="A1409" s="2" t="s">
        <v>1434</v>
      </c>
      <c r="B1409" s="3" t="str">
        <f>HYPERLINK("https://www.suredividend.com/sure-analysis-research-database/","ServisFirst Bancshares Inc")</f>
        <v>ServisFirst Bancshares Inc</v>
      </c>
      <c r="C1409" s="2" t="s">
        <v>22</v>
      </c>
      <c r="D1409" s="4">
        <v>60.85</v>
      </c>
      <c r="E1409" s="5">
        <v>0.016596536760347</v>
      </c>
      <c r="F1409" s="5">
        <v>0.0714285714285714</v>
      </c>
      <c r="G1409" s="5">
        <v>0.148698354997035</v>
      </c>
      <c r="H1409" s="4">
        <v>1.13155187632051</v>
      </c>
      <c r="I1409" s="4">
        <v>3711.389891</v>
      </c>
      <c r="J1409" s="6">
        <v>15.9670191171092</v>
      </c>
      <c r="K1409" s="5">
        <v>0.265622506178524</v>
      </c>
      <c r="L1409" s="7">
        <v>1.64852947126942</v>
      </c>
      <c r="M1409" s="4">
        <v>73.52</v>
      </c>
      <c r="N1409" s="2">
        <v>38.89</v>
      </c>
    </row>
    <row r="1410">
      <c r="A1410" s="2" t="s">
        <v>1435</v>
      </c>
      <c r="B1410" s="3" t="str">
        <f>HYPERLINK("https://www.suredividend.com/sure-analysis-research-database/","Stitch Fix Inc")</f>
        <v>Stitch Fix Inc</v>
      </c>
      <c r="C1410" s="2" t="s">
        <v>25</v>
      </c>
      <c r="D1410" s="4">
        <v>3.2</v>
      </c>
      <c r="E1410" s="5">
        <v>0.0</v>
      </c>
      <c r="F1410" s="5" t="s">
        <v>15</v>
      </c>
      <c r="G1410" s="5" t="s">
        <v>15</v>
      </c>
      <c r="H1410" s="4">
        <v>0.0</v>
      </c>
      <c r="I1410" s="4">
        <v>312.602359</v>
      </c>
      <c r="J1410" s="6" t="s">
        <v>15</v>
      </c>
      <c r="K1410" s="5">
        <v>0.0</v>
      </c>
      <c r="L1410" s="7">
        <v>2.73057123243025</v>
      </c>
      <c r="M1410" s="4">
        <v>6.03</v>
      </c>
      <c r="N1410" s="2">
        <v>2.78</v>
      </c>
    </row>
    <row r="1411">
      <c r="A1411" s="2" t="s">
        <v>1436</v>
      </c>
      <c r="B1411" s="3" t="str">
        <f>HYPERLINK("https://www.suredividend.com/sure-analysis-SFL/","SFL Corporation Ltd")</f>
        <v>SFL Corporation Ltd</v>
      </c>
      <c r="C1411" s="2" t="s">
        <v>17</v>
      </c>
      <c r="D1411" s="4">
        <v>11.78</v>
      </c>
      <c r="E1411" s="5">
        <v>0.0848896434634974</v>
      </c>
      <c r="F1411" s="5">
        <v>0.0869565217391303</v>
      </c>
      <c r="G1411" s="5">
        <v>-0.0650801238515298</v>
      </c>
      <c r="H1411" s="4">
        <v>0.938072374857186</v>
      </c>
      <c r="I1411" s="4">
        <v>1691.844132</v>
      </c>
      <c r="J1411" s="6">
        <v>16.7471183030597</v>
      </c>
      <c r="K1411" s="5">
        <v>1.27317097564764</v>
      </c>
      <c r="L1411" s="7">
        <v>0.704626341177247</v>
      </c>
      <c r="M1411" s="4">
        <v>12.34</v>
      </c>
      <c r="N1411" s="2">
        <v>7.86</v>
      </c>
    </row>
    <row r="1412">
      <c r="A1412" s="2" t="s">
        <v>1437</v>
      </c>
      <c r="B1412" s="3" t="str">
        <f>HYPERLINK("https://www.suredividend.com/sure-analysis-research-database/","Sprouts Farmers Market Inc")</f>
        <v>Sprouts Farmers Market Inc</v>
      </c>
      <c r="C1412" s="2" t="s">
        <v>89</v>
      </c>
      <c r="D1412" s="4">
        <v>51.22</v>
      </c>
      <c r="E1412" s="5">
        <v>0.0</v>
      </c>
      <c r="F1412" s="5" t="s">
        <v>15</v>
      </c>
      <c r="G1412" s="5" t="s">
        <v>15</v>
      </c>
      <c r="H1412" s="4">
        <v>0.0</v>
      </c>
      <c r="I1412" s="4">
        <v>5117.592</v>
      </c>
      <c r="J1412" s="6">
        <v>20.1537922316256</v>
      </c>
      <c r="K1412" s="5">
        <v>0.0</v>
      </c>
      <c r="L1412" s="7">
        <v>0.465212877793572</v>
      </c>
      <c r="M1412" s="4">
        <v>52.02</v>
      </c>
      <c r="N1412" s="2">
        <v>30.2</v>
      </c>
    </row>
    <row r="1413">
      <c r="A1413" s="2" t="s">
        <v>1438</v>
      </c>
      <c r="B1413" s="3" t="str">
        <f>HYPERLINK("https://www.suredividend.com/sure-analysis-research-database/","Simmons First National Corp.")</f>
        <v>Simmons First National Corp.</v>
      </c>
      <c r="C1413" s="2" t="s">
        <v>22</v>
      </c>
      <c r="D1413" s="4">
        <v>18.17</v>
      </c>
      <c r="E1413" s="5">
        <v>0.037997726291964</v>
      </c>
      <c r="F1413" s="5">
        <v>0.0526315789473683</v>
      </c>
      <c r="G1413" s="5">
        <v>0.0456395525912731</v>
      </c>
      <c r="H1413" s="4">
        <v>0.776293548144833</v>
      </c>
      <c r="I1413" s="4">
        <v>2557.194437</v>
      </c>
      <c r="J1413" s="6">
        <v>10.909067175931</v>
      </c>
      <c r="K1413" s="5">
        <v>0.421898667470018</v>
      </c>
      <c r="L1413" s="7">
        <v>1.66201611610028</v>
      </c>
      <c r="M1413" s="4">
        <v>22.17</v>
      </c>
      <c r="N1413" s="2">
        <v>13.08</v>
      </c>
    </row>
    <row r="1414">
      <c r="A1414" s="2" t="s">
        <v>1439</v>
      </c>
      <c r="B1414" s="3" t="str">
        <f>HYPERLINK("https://www.suredividend.com/sure-analysis-research-database/","Southern First Bancshares Inc")</f>
        <v>Southern First Bancshares Inc</v>
      </c>
      <c r="C1414" s="2" t="s">
        <v>22</v>
      </c>
      <c r="D1414" s="4">
        <v>34.42</v>
      </c>
      <c r="E1414" s="5">
        <v>0.0</v>
      </c>
      <c r="F1414" s="5" t="s">
        <v>15</v>
      </c>
      <c r="G1414" s="5" t="s">
        <v>15</v>
      </c>
      <c r="H1414" s="4">
        <v>0.0</v>
      </c>
      <c r="I1414" s="4">
        <v>313.111177</v>
      </c>
      <c r="J1414" s="6">
        <v>0.0</v>
      </c>
      <c r="K1414" s="5" t="s">
        <v>15</v>
      </c>
      <c r="L1414" s="7">
        <v>1.0960276020456</v>
      </c>
      <c r="M1414" s="4">
        <v>42.62</v>
      </c>
      <c r="N1414" s="2">
        <v>20.75</v>
      </c>
    </row>
    <row r="1415">
      <c r="A1415" s="2" t="s">
        <v>1440</v>
      </c>
      <c r="B1415" s="3" t="str">
        <f>HYPERLINK("https://www.suredividend.com/sure-analysis-research-database/","Sweetgreen Inc")</f>
        <v>Sweetgreen Inc</v>
      </c>
      <c r="C1415" s="2" t="s">
        <v>22</v>
      </c>
      <c r="D1415" s="4">
        <v>10.82</v>
      </c>
      <c r="E1415" s="5">
        <v>0.0</v>
      </c>
      <c r="F1415" s="5" t="s">
        <v>15</v>
      </c>
      <c r="G1415" s="5" t="s">
        <v>15</v>
      </c>
      <c r="H1415" s="4">
        <v>0.0</v>
      </c>
      <c r="I1415" s="4">
        <v>1108.392042</v>
      </c>
      <c r="J1415" s="6" t="s">
        <v>15</v>
      </c>
      <c r="K1415" s="5">
        <v>0.0</v>
      </c>
      <c r="L1415" s="7">
        <v>1.98649573242856</v>
      </c>
      <c r="M1415" s="4">
        <v>16.58</v>
      </c>
      <c r="N1415" s="2">
        <v>6.1</v>
      </c>
    </row>
    <row r="1416">
      <c r="A1416" s="2" t="s">
        <v>1441</v>
      </c>
      <c r="B1416" s="3" t="str">
        <f>HYPERLINK("https://www.suredividend.com/sure-analysis-research-database/","Superior Group of Companies Inc..")</f>
        <v>Superior Group of Companies Inc..</v>
      </c>
      <c r="C1416" s="2" t="s">
        <v>25</v>
      </c>
      <c r="D1416" s="4">
        <v>13.69</v>
      </c>
      <c r="E1416" s="5">
        <v>0.038235711319635</v>
      </c>
      <c r="F1416" s="5">
        <v>0.0</v>
      </c>
      <c r="G1416" s="5">
        <v>0.0696103757250687</v>
      </c>
      <c r="H1416" s="4">
        <v>0.538741172493669</v>
      </c>
      <c r="I1416" s="4">
        <v>232.567088</v>
      </c>
      <c r="J1416" s="6">
        <v>0.0</v>
      </c>
      <c r="K1416" s="5" t="s">
        <v>15</v>
      </c>
      <c r="L1416" s="7">
        <v>0.536747908455749</v>
      </c>
      <c r="M1416" s="4">
        <v>14.87</v>
      </c>
      <c r="N1416" s="2">
        <v>6.63</v>
      </c>
    </row>
    <row r="1417">
      <c r="A1417" s="2" t="s">
        <v>1442</v>
      </c>
      <c r="B1417" s="3" t="str">
        <f>HYPERLINK("https://www.suredividend.com/sure-analysis-research-database/","SMART Global Holdings Inc")</f>
        <v>SMART Global Holdings Inc</v>
      </c>
      <c r="C1417" s="2" t="s">
        <v>40</v>
      </c>
      <c r="D1417" s="4">
        <v>20.55</v>
      </c>
      <c r="E1417" s="5">
        <v>0.0</v>
      </c>
      <c r="F1417" s="5" t="s">
        <v>15</v>
      </c>
      <c r="G1417" s="5" t="s">
        <v>15</v>
      </c>
      <c r="H1417" s="4">
        <v>0.0</v>
      </c>
      <c r="I1417" s="4">
        <v>1110.201106</v>
      </c>
      <c r="J1417" s="6" t="s">
        <v>15</v>
      </c>
      <c r="K1417" s="5">
        <v>0.0</v>
      </c>
      <c r="L1417" s="7">
        <v>1.92584450284068</v>
      </c>
      <c r="M1417" s="4">
        <v>29.99</v>
      </c>
      <c r="N1417" s="2">
        <v>12.66</v>
      </c>
    </row>
    <row r="1418">
      <c r="A1418" s="2" t="s">
        <v>1443</v>
      </c>
      <c r="B1418" s="3" t="str">
        <f>HYPERLINK("https://www.suredividend.com/sure-analysis-research-database/","Sight Sciences Inc")</f>
        <v>Sight Sciences Inc</v>
      </c>
      <c r="C1418" s="2" t="s">
        <v>15</v>
      </c>
      <c r="D1418" s="4">
        <v>4.14</v>
      </c>
      <c r="E1418" s="5">
        <v>0.0</v>
      </c>
      <c r="F1418" s="5" t="s">
        <v>15</v>
      </c>
      <c r="G1418" s="5" t="s">
        <v>15</v>
      </c>
      <c r="H1418" s="4">
        <v>0.0</v>
      </c>
      <c r="I1418" s="4">
        <v>229.611916</v>
      </c>
      <c r="J1418" s="6" t="s">
        <v>15</v>
      </c>
      <c r="K1418" s="5">
        <v>0.0</v>
      </c>
      <c r="L1418" s="7">
        <v>2.11067027805017</v>
      </c>
      <c r="M1418" s="4">
        <v>13.32</v>
      </c>
      <c r="N1418" s="2">
        <v>1.04</v>
      </c>
    </row>
    <row r="1419">
      <c r="A1419" s="2" t="s">
        <v>1444</v>
      </c>
      <c r="B1419" s="3" t="str">
        <f>HYPERLINK("https://www.suredividend.com/sure-analysis-research-database/","Sangamo Therapeutics Inc")</f>
        <v>Sangamo Therapeutics Inc</v>
      </c>
      <c r="C1419" s="2" t="s">
        <v>30</v>
      </c>
      <c r="D1419" s="4">
        <v>0.56</v>
      </c>
      <c r="E1419" s="5">
        <v>0.0</v>
      </c>
      <c r="F1419" s="5" t="s">
        <v>15</v>
      </c>
      <c r="G1419" s="5" t="s">
        <v>15</v>
      </c>
      <c r="H1419" s="4">
        <v>0.0</v>
      </c>
      <c r="I1419" s="4">
        <v>79.167692</v>
      </c>
      <c r="J1419" s="6" t="s">
        <v>15</v>
      </c>
      <c r="K1419" s="5">
        <v>0.0</v>
      </c>
      <c r="L1419" s="7">
        <v>1.70255925904186</v>
      </c>
      <c r="M1419" s="4">
        <v>3.73</v>
      </c>
      <c r="N1419" s="2">
        <v>0.2911</v>
      </c>
    </row>
    <row r="1420">
      <c r="A1420" s="2" t="s">
        <v>1445</v>
      </c>
      <c r="B1420" s="3" t="str">
        <f>HYPERLINK("https://www.suredividend.com/sure-analysis-research-database/","Surgery Partners Inc")</f>
        <v>Surgery Partners Inc</v>
      </c>
      <c r="C1420" s="2" t="s">
        <v>30</v>
      </c>
      <c r="D1420" s="4">
        <v>32.03</v>
      </c>
      <c r="E1420" s="5">
        <v>0.0</v>
      </c>
      <c r="F1420" s="5" t="s">
        <v>15</v>
      </c>
      <c r="G1420" s="5" t="s">
        <v>15</v>
      </c>
      <c r="H1420" s="4">
        <v>0.0</v>
      </c>
      <c r="I1420" s="4">
        <v>4080.673181</v>
      </c>
      <c r="J1420" s="6" t="s">
        <v>15</v>
      </c>
      <c r="K1420" s="5">
        <v>0.0</v>
      </c>
      <c r="L1420" s="7">
        <v>2.04751005766225</v>
      </c>
      <c r="M1420" s="4">
        <v>45.79</v>
      </c>
      <c r="N1420" s="2">
        <v>22.05</v>
      </c>
    </row>
    <row r="1421">
      <c r="A1421" s="2" t="s">
        <v>1446</v>
      </c>
      <c r="B1421" s="3" t="str">
        <f>HYPERLINK("https://www.suredividend.com/sure-analysis-research-database/","Shake Shack Inc")</f>
        <v>Shake Shack Inc</v>
      </c>
      <c r="C1421" s="2" t="s">
        <v>25</v>
      </c>
      <c r="D1421" s="4">
        <v>75.77</v>
      </c>
      <c r="E1421" s="5">
        <v>0.0</v>
      </c>
      <c r="F1421" s="5" t="s">
        <v>15</v>
      </c>
      <c r="G1421" s="5" t="s">
        <v>15</v>
      </c>
      <c r="H1421" s="4">
        <v>0.0</v>
      </c>
      <c r="I1421" s="4">
        <v>3106.120661</v>
      </c>
      <c r="J1421" s="6">
        <v>1336.54073179862</v>
      </c>
      <c r="K1421" s="5">
        <v>0.0</v>
      </c>
      <c r="L1421" s="7">
        <v>1.20333478988206</v>
      </c>
      <c r="M1421" s="4">
        <v>80.58</v>
      </c>
      <c r="N1421" s="2">
        <v>52.01</v>
      </c>
    </row>
    <row r="1422">
      <c r="A1422" s="2" t="s">
        <v>1447</v>
      </c>
      <c r="B1422" s="3" t="str">
        <f>HYPERLINK("https://www.suredividend.com/sure-analysis-research-database/","Shore Bancshares Inc.")</f>
        <v>Shore Bancshares Inc.</v>
      </c>
      <c r="C1422" s="2" t="s">
        <v>22</v>
      </c>
      <c r="D1422" s="4">
        <v>11.1</v>
      </c>
      <c r="E1422" s="5">
        <v>0.033754418040246</v>
      </c>
      <c r="F1422" s="5">
        <v>0.0</v>
      </c>
      <c r="G1422" s="5">
        <v>0.0371372893366481</v>
      </c>
      <c r="H1422" s="4">
        <v>0.466823601496613</v>
      </c>
      <c r="I1422" s="4">
        <v>458.404962</v>
      </c>
      <c r="J1422" s="6">
        <v>50.1262943521049</v>
      </c>
      <c r="K1422" s="5">
        <v>1.18393000633176</v>
      </c>
      <c r="L1422" s="7">
        <v>1.26270396137983</v>
      </c>
      <c r="M1422" s="4">
        <v>17.12</v>
      </c>
      <c r="N1422" s="2">
        <v>9.47</v>
      </c>
    </row>
    <row r="1423">
      <c r="A1423" s="2" t="s">
        <v>1448</v>
      </c>
      <c r="B1423" s="3" t="str">
        <f>HYPERLINK("https://www.suredividend.com/sure-analysis-research-database/","Sharecare Inc")</f>
        <v>Sharecare Inc</v>
      </c>
      <c r="C1423" s="2" t="s">
        <v>15</v>
      </c>
      <c r="D1423" s="4">
        <v>1.06</v>
      </c>
      <c r="E1423" s="5">
        <v>0.0</v>
      </c>
      <c r="F1423" s="5" t="s">
        <v>15</v>
      </c>
      <c r="G1423" s="5" t="s">
        <v>15</v>
      </c>
      <c r="H1423" s="4">
        <v>0.0</v>
      </c>
      <c r="I1423" s="4">
        <v>401.763205</v>
      </c>
      <c r="J1423" s="6" t="s">
        <v>15</v>
      </c>
      <c r="K1423" s="5">
        <v>0.0</v>
      </c>
      <c r="L1423" s="7">
        <v>1.61337465564152</v>
      </c>
      <c r="M1423" s="4">
        <v>2.71</v>
      </c>
      <c r="N1423" s="2">
        <v>0.7695</v>
      </c>
    </row>
    <row r="1424">
      <c r="A1424" s="2" t="s">
        <v>1449</v>
      </c>
      <c r="B1424" s="3" t="str">
        <f>HYPERLINK("https://www.suredividend.com/sure-analysis-research-database/","Shenandoah Telecommunications Co.")</f>
        <v>Shenandoah Telecommunications Co.</v>
      </c>
      <c r="C1424" s="2" t="s">
        <v>114</v>
      </c>
      <c r="D1424" s="4">
        <v>19.78</v>
      </c>
      <c r="E1424" s="5">
        <v>0.00428367461096</v>
      </c>
      <c r="F1424" s="5" t="s">
        <v>15</v>
      </c>
      <c r="G1424" s="5" t="s">
        <v>15</v>
      </c>
      <c r="H1424" s="4">
        <v>0.090000003576278</v>
      </c>
      <c r="I1424" s="4">
        <v>1056.056431</v>
      </c>
      <c r="J1424" s="6">
        <v>291.245568301158</v>
      </c>
      <c r="K1424" s="5">
        <v>1.25523017540136</v>
      </c>
      <c r="L1424" s="7">
        <v>0.859889359127614</v>
      </c>
      <c r="M1424" s="4">
        <v>25.33</v>
      </c>
      <c r="N1424" s="2">
        <v>16.89</v>
      </c>
    </row>
    <row r="1425">
      <c r="A1425" s="2" t="s">
        <v>1450</v>
      </c>
      <c r="B1425" s="3" t="str">
        <f>HYPERLINK("https://www.suredividend.com/sure-analysis-research-database/","Shoals Technologies Group Inc")</f>
        <v>Shoals Technologies Group Inc</v>
      </c>
      <c r="C1425" s="2" t="s">
        <v>15</v>
      </c>
      <c r="D1425" s="4">
        <v>14.13</v>
      </c>
      <c r="E1425" s="5">
        <v>0.0</v>
      </c>
      <c r="F1425" s="5" t="s">
        <v>15</v>
      </c>
      <c r="G1425" s="5" t="s">
        <v>15</v>
      </c>
      <c r="H1425" s="4">
        <v>0.0</v>
      </c>
      <c r="I1425" s="4">
        <v>2356.996881</v>
      </c>
      <c r="J1425" s="6">
        <v>17.3304771269751</v>
      </c>
      <c r="K1425" s="5">
        <v>0.0</v>
      </c>
      <c r="L1425" s="7">
        <v>1.99672312207232</v>
      </c>
      <c r="M1425" s="4">
        <v>28.9</v>
      </c>
      <c r="N1425" s="2">
        <v>12.11</v>
      </c>
    </row>
    <row r="1426">
      <c r="A1426" s="2" t="s">
        <v>1451</v>
      </c>
      <c r="B1426" s="3" t="str">
        <f>HYPERLINK("https://www.suredividend.com/sure-analysis-research-database/","Sunstone Hotel Investors Inc")</f>
        <v>Sunstone Hotel Investors Inc</v>
      </c>
      <c r="C1426" s="2" t="s">
        <v>20</v>
      </c>
      <c r="D1426" s="4">
        <v>10.65</v>
      </c>
      <c r="E1426" s="5">
        <v>0.021841946019802</v>
      </c>
      <c r="F1426" s="5" t="s">
        <v>15</v>
      </c>
      <c r="G1426" s="5" t="s">
        <v>15</v>
      </c>
      <c r="H1426" s="4">
        <v>0.238077211615849</v>
      </c>
      <c r="I1426" s="4">
        <v>2239.339883</v>
      </c>
      <c r="J1426" s="6">
        <v>27.0778704159613</v>
      </c>
      <c r="K1426" s="5">
        <v>0.596385800640904</v>
      </c>
      <c r="L1426" s="7">
        <v>1.13049767881059</v>
      </c>
      <c r="M1426" s="4">
        <v>11.15</v>
      </c>
      <c r="N1426" s="2">
        <v>8.4</v>
      </c>
    </row>
    <row r="1427">
      <c r="A1427" s="2" t="s">
        <v>1452</v>
      </c>
      <c r="B1427" s="3" t="str">
        <f>HYPERLINK("https://www.suredividend.com/sure-analysis-research-database/","Steven Madden Ltd.")</f>
        <v>Steven Madden Ltd.</v>
      </c>
      <c r="C1427" s="2" t="s">
        <v>25</v>
      </c>
      <c r="D1427" s="4">
        <v>41.79</v>
      </c>
      <c r="E1427" s="5">
        <v>0.01898049878177</v>
      </c>
      <c r="F1427" s="5" t="s">
        <v>15</v>
      </c>
      <c r="G1427" s="5" t="s">
        <v>15</v>
      </c>
      <c r="H1427" s="4">
        <v>0.825461892019184</v>
      </c>
      <c r="I1427" s="4">
        <v>3244.711009</v>
      </c>
      <c r="J1427" s="6">
        <v>19.3756890143494</v>
      </c>
      <c r="K1427" s="5">
        <v>0.371829681089722</v>
      </c>
      <c r="L1427" s="7">
        <v>1.15022494038612</v>
      </c>
      <c r="M1427" s="4">
        <v>44.23</v>
      </c>
      <c r="N1427" s="2">
        <v>28.85</v>
      </c>
    </row>
    <row r="1428">
      <c r="A1428" s="2" t="s">
        <v>1453</v>
      </c>
      <c r="B1428" s="3" t="str">
        <f>HYPERLINK("https://www.suredividend.com/sure-analysis-research-database/","Shyft Group Inc (The)")</f>
        <v>Shyft Group Inc (The)</v>
      </c>
      <c r="C1428" s="2" t="s">
        <v>15</v>
      </c>
      <c r="D1428" s="4">
        <v>10.85</v>
      </c>
      <c r="E1428" s="5">
        <v>0.016808153478747</v>
      </c>
      <c r="F1428" s="5" t="s">
        <v>15</v>
      </c>
      <c r="G1428" s="5" t="s">
        <v>15</v>
      </c>
      <c r="H1428" s="4">
        <v>0.198168129514433</v>
      </c>
      <c r="I1428" s="4">
        <v>404.277202</v>
      </c>
      <c r="J1428" s="6">
        <v>14.0598595607567</v>
      </c>
      <c r="K1428" s="5">
        <v>0.243330217969588</v>
      </c>
      <c r="L1428" s="7">
        <v>1.71987982991494</v>
      </c>
      <c r="M1428" s="4">
        <v>33.5</v>
      </c>
      <c r="N1428" s="2">
        <v>10.3</v>
      </c>
    </row>
    <row r="1429">
      <c r="A1429" s="2" t="s">
        <v>1454</v>
      </c>
      <c r="B1429" s="3" t="str">
        <f>HYPERLINK("https://www.suredividend.com/sure-analysis-research-database/","SI-BONE Inc")</f>
        <v>SI-BONE Inc</v>
      </c>
      <c r="C1429" s="2" t="s">
        <v>30</v>
      </c>
      <c r="D1429" s="4">
        <v>20.46</v>
      </c>
      <c r="E1429" s="5">
        <v>0.0</v>
      </c>
      <c r="F1429" s="5" t="s">
        <v>15</v>
      </c>
      <c r="G1429" s="5" t="s">
        <v>15</v>
      </c>
      <c r="H1429" s="4">
        <v>0.0</v>
      </c>
      <c r="I1429" s="4">
        <v>832.701033</v>
      </c>
      <c r="J1429" s="6" t="s">
        <v>15</v>
      </c>
      <c r="K1429" s="5">
        <v>0.0</v>
      </c>
      <c r="L1429" s="7">
        <v>0.732149567415397</v>
      </c>
      <c r="M1429" s="4">
        <v>29.51</v>
      </c>
      <c r="N1429" s="2">
        <v>15.1</v>
      </c>
    </row>
    <row r="1430">
      <c r="A1430" s="2" t="s">
        <v>1455</v>
      </c>
      <c r="B1430" s="3" t="str">
        <f>HYPERLINK("https://www.suredividend.com/sure-analysis-research-database/","Signet Jewelers Ltd")</f>
        <v>Signet Jewelers Ltd</v>
      </c>
      <c r="C1430" s="2" t="s">
        <v>25</v>
      </c>
      <c r="D1430" s="4">
        <v>98.3</v>
      </c>
      <c r="E1430" s="5">
        <v>0.008998908193626</v>
      </c>
      <c r="F1430" s="5" t="s">
        <v>15</v>
      </c>
      <c r="G1430" s="5" t="s">
        <v>15</v>
      </c>
      <c r="H1430" s="4">
        <v>0.916178843193083</v>
      </c>
      <c r="I1430" s="4">
        <v>4511.940444</v>
      </c>
      <c r="J1430" s="6">
        <v>10.5666052557845</v>
      </c>
      <c r="K1430" s="5">
        <v>0.122320272789463</v>
      </c>
      <c r="L1430" s="7">
        <v>1.53051691721598</v>
      </c>
      <c r="M1430" s="4">
        <v>108.47</v>
      </c>
      <c r="N1430" s="2">
        <v>56.61</v>
      </c>
    </row>
    <row r="1431">
      <c r="A1431" s="2" t="s">
        <v>1456</v>
      </c>
      <c r="B1431" s="3" t="str">
        <f>HYPERLINK("https://www.suredividend.com/sure-analysis-research-database/","SIGA Technologies Inc")</f>
        <v>SIGA Technologies Inc</v>
      </c>
      <c r="C1431" s="2" t="s">
        <v>30</v>
      </c>
      <c r="D1431" s="4">
        <v>4.51</v>
      </c>
      <c r="E1431" s="5">
        <v>0.0</v>
      </c>
      <c r="F1431" s="5" t="s">
        <v>15</v>
      </c>
      <c r="G1431" s="5" t="s">
        <v>15</v>
      </c>
      <c r="H1431" s="4">
        <v>0.0</v>
      </c>
      <c r="I1431" s="4">
        <v>358.301745</v>
      </c>
      <c r="J1431" s="6" t="s">
        <v>15</v>
      </c>
      <c r="K1431" s="5">
        <v>0.0</v>
      </c>
      <c r="L1431" s="7">
        <v>1.01190490196154</v>
      </c>
      <c r="M1431" s="4">
        <v>6.72</v>
      </c>
      <c r="N1431" s="2">
        <v>4.22</v>
      </c>
    </row>
    <row r="1432">
      <c r="A1432" s="2" t="s">
        <v>1457</v>
      </c>
      <c r="B1432" s="3" t="str">
        <f>HYPERLINK("https://www.suredividend.com/sure-analysis-research-database/","Selective Insurance Group Inc.")</f>
        <v>Selective Insurance Group Inc.</v>
      </c>
      <c r="C1432" s="2" t="s">
        <v>22</v>
      </c>
      <c r="D1432" s="4">
        <v>99.15</v>
      </c>
      <c r="E1432" s="5">
        <v>0.0117259270237</v>
      </c>
      <c r="F1432" s="5">
        <v>0.166666666666666</v>
      </c>
      <c r="G1432" s="5">
        <v>0.118426914720144</v>
      </c>
      <c r="H1432" s="4">
        <v>1.23943048640515</v>
      </c>
      <c r="I1432" s="4">
        <v>6404.203816</v>
      </c>
      <c r="J1432" s="6">
        <v>20.1579592629547</v>
      </c>
      <c r="K1432" s="5">
        <v>0.237894527141103</v>
      </c>
      <c r="L1432" s="7">
        <v>0.383527403447747</v>
      </c>
      <c r="M1432" s="4">
        <v>107.87</v>
      </c>
      <c r="N1432" s="2">
        <v>87.21</v>
      </c>
    </row>
    <row r="1433">
      <c r="A1433" s="2" t="s">
        <v>1458</v>
      </c>
      <c r="B1433" s="3" t="str">
        <f>HYPERLINK("https://www.suredividend.com/sure-analysis-research-database/","Silk Road Medical Inc")</f>
        <v>Silk Road Medical Inc</v>
      </c>
      <c r="C1433" s="2" t="s">
        <v>30</v>
      </c>
      <c r="D1433" s="4">
        <v>15.34</v>
      </c>
      <c r="E1433" s="5">
        <v>0.0</v>
      </c>
      <c r="F1433" s="5" t="s">
        <v>15</v>
      </c>
      <c r="G1433" s="5" t="s">
        <v>15</v>
      </c>
      <c r="H1433" s="4">
        <v>0.0</v>
      </c>
      <c r="I1433" s="4">
        <v>612.612652</v>
      </c>
      <c r="J1433" s="6" t="s">
        <v>15</v>
      </c>
      <c r="K1433" s="5">
        <v>0.0</v>
      </c>
      <c r="L1433" s="7">
        <v>1.0830760296144</v>
      </c>
      <c r="M1433" s="4">
        <v>57.96</v>
      </c>
      <c r="N1433" s="2">
        <v>6.08</v>
      </c>
    </row>
    <row r="1434">
      <c r="A1434" s="2" t="s">
        <v>1459</v>
      </c>
      <c r="B1434" s="3" t="str">
        <f>HYPERLINK("https://www.suredividend.com/sure-analysis-research-database/","SITE Centers Corp")</f>
        <v>SITE Centers Corp</v>
      </c>
      <c r="C1434" s="2" t="s">
        <v>20</v>
      </c>
      <c r="D1434" s="4">
        <v>13.38</v>
      </c>
      <c r="E1434" s="5">
        <v>0.037398003661567</v>
      </c>
      <c r="F1434" s="5" t="s">
        <v>15</v>
      </c>
      <c r="G1434" s="5" t="s">
        <v>15</v>
      </c>
      <c r="H1434" s="4">
        <v>0.506368969577623</v>
      </c>
      <c r="I1434" s="4">
        <v>2834.159668</v>
      </c>
      <c r="J1434" s="6">
        <v>32.9902532635695</v>
      </c>
      <c r="K1434" s="5">
        <v>1.24110041563142</v>
      </c>
      <c r="L1434" s="7">
        <v>1.25659483421501</v>
      </c>
      <c r="M1434" s="4">
        <v>14.54</v>
      </c>
      <c r="N1434" s="2">
        <v>10.65</v>
      </c>
    </row>
    <row r="1435">
      <c r="A1435" s="2" t="s">
        <v>1460</v>
      </c>
      <c r="B1435" s="3" t="str">
        <f>HYPERLINK("https://www.suredividend.com/sure-analysis-research-database/","SiTime Corp")</f>
        <v>SiTime Corp</v>
      </c>
      <c r="C1435" s="2" t="s">
        <v>40</v>
      </c>
      <c r="D1435" s="4">
        <v>107.67</v>
      </c>
      <c r="E1435" s="5">
        <v>0.0</v>
      </c>
      <c r="F1435" s="5" t="s">
        <v>15</v>
      </c>
      <c r="G1435" s="5" t="s">
        <v>15</v>
      </c>
      <c r="H1435" s="4">
        <v>0.0</v>
      </c>
      <c r="I1435" s="4">
        <v>2620.64</v>
      </c>
      <c r="J1435" s="6" t="s">
        <v>15</v>
      </c>
      <c r="K1435" s="5">
        <v>0.0</v>
      </c>
      <c r="L1435" s="7">
        <v>2.19882167777258</v>
      </c>
      <c r="M1435" s="4">
        <v>142.88</v>
      </c>
      <c r="N1435" s="2">
        <v>81.09</v>
      </c>
    </row>
    <row r="1436">
      <c r="A1436" s="2" t="s">
        <v>1461</v>
      </c>
      <c r="B1436" s="3" t="str">
        <f>HYPERLINK("https://www.suredividend.com/sure-analysis-SJW/","SJW Group")</f>
        <v>SJW Group</v>
      </c>
      <c r="C1436" s="2" t="s">
        <v>91</v>
      </c>
      <c r="D1436" s="4">
        <v>58.52</v>
      </c>
      <c r="E1436" s="5">
        <v>0.0273410799726589</v>
      </c>
      <c r="F1436" s="5">
        <v>0.0526315789473683</v>
      </c>
      <c r="G1436" s="5">
        <v>0.0592238410488121</v>
      </c>
      <c r="H1436" s="4">
        <v>1.50715231349346</v>
      </c>
      <c r="I1436" s="4">
        <v>1943.761893</v>
      </c>
      <c r="J1436" s="6">
        <v>19.5280337222339</v>
      </c>
      <c r="K1436" s="5">
        <v>0.473947268394172</v>
      </c>
      <c r="L1436" s="7">
        <v>0.654259715688158</v>
      </c>
      <c r="M1436" s="4">
        <v>80.52</v>
      </c>
      <c r="N1436" s="2">
        <v>56.62</v>
      </c>
    </row>
    <row r="1437">
      <c r="A1437" s="2" t="s">
        <v>1462</v>
      </c>
      <c r="B1437" s="3" t="str">
        <f>HYPERLINK("https://www.suredividend.com/sure-analysis-research-database/","Skillsoft Corp.")</f>
        <v>Skillsoft Corp.</v>
      </c>
      <c r="C1437" s="2" t="s">
        <v>15</v>
      </c>
      <c r="D1437" s="4">
        <v>12.36</v>
      </c>
      <c r="E1437" s="5">
        <v>0.0</v>
      </c>
      <c r="F1437" s="5" t="s">
        <v>15</v>
      </c>
      <c r="G1437" s="5" t="s">
        <v>15</v>
      </c>
      <c r="H1437" s="4">
        <v>0.0</v>
      </c>
      <c r="I1437" s="4">
        <v>123.452992</v>
      </c>
      <c r="J1437" s="6" t="s">
        <v>15</v>
      </c>
      <c r="K1437" s="5">
        <v>0.0</v>
      </c>
      <c r="L1437" s="7">
        <v>1.82823201019006</v>
      </c>
      <c r="M1437" s="4">
        <v>43.4</v>
      </c>
      <c r="N1437" s="2">
        <v>13.2</v>
      </c>
    </row>
    <row r="1438">
      <c r="A1438" s="2" t="s">
        <v>1463</v>
      </c>
      <c r="B1438" s="3" t="str">
        <f>HYPERLINK("https://www.suredividend.com/sure-analysis-research-database/","Beauty Health Company (The)")</f>
        <v>Beauty Health Company (The)</v>
      </c>
      <c r="C1438" s="2" t="s">
        <v>15</v>
      </c>
      <c r="D1438" s="4">
        <v>2.91</v>
      </c>
      <c r="E1438" s="5">
        <v>0.0</v>
      </c>
      <c r="F1438" s="5" t="s">
        <v>15</v>
      </c>
      <c r="G1438" s="5" t="s">
        <v>15</v>
      </c>
      <c r="H1438" s="4">
        <v>0.0</v>
      </c>
      <c r="I1438" s="4">
        <v>409.552538</v>
      </c>
      <c r="J1438" s="6">
        <v>0.0</v>
      </c>
      <c r="K1438" s="5" t="s">
        <v>15</v>
      </c>
      <c r="L1438" s="7">
        <v>0.969882484892747</v>
      </c>
      <c r="M1438" s="4">
        <v>13.9</v>
      </c>
      <c r="N1438" s="2">
        <v>1.35</v>
      </c>
    </row>
    <row r="1439">
      <c r="A1439" s="2" t="s">
        <v>1464</v>
      </c>
      <c r="B1439" s="3" t="str">
        <f>HYPERLINK("https://www.suredividend.com/sure-analysis-research-database/","Skillz Inc")</f>
        <v>Skillz Inc</v>
      </c>
      <c r="C1439" s="2" t="s">
        <v>15</v>
      </c>
      <c r="D1439" s="4">
        <v>5.35</v>
      </c>
      <c r="E1439" s="5">
        <v>0.0</v>
      </c>
      <c r="F1439" s="5" t="s">
        <v>15</v>
      </c>
      <c r="G1439" s="5" t="s">
        <v>15</v>
      </c>
      <c r="H1439" s="4">
        <v>0.0</v>
      </c>
      <c r="I1439" s="4">
        <v>102.339951</v>
      </c>
      <c r="J1439" s="6" t="s">
        <v>15</v>
      </c>
      <c r="K1439" s="5">
        <v>0.0</v>
      </c>
      <c r="L1439" s="7">
        <v>3.96896385320759</v>
      </c>
      <c r="M1439" s="4">
        <v>20.4</v>
      </c>
      <c r="N1439" s="2">
        <v>3.96</v>
      </c>
    </row>
    <row r="1440">
      <c r="A1440" s="2" t="s">
        <v>1465</v>
      </c>
      <c r="B1440" s="3" t="str">
        <f>HYPERLINK("https://www.suredividend.com/sure-analysis-SKT/","Tanger Inc.")</f>
        <v>Tanger Inc.</v>
      </c>
      <c r="C1440" s="2" t="s">
        <v>20</v>
      </c>
      <c r="D1440" s="4">
        <v>25.83</v>
      </c>
      <c r="E1440" s="5">
        <v>0.0402632597754549</v>
      </c>
      <c r="F1440" s="5" t="s">
        <v>15</v>
      </c>
      <c r="G1440" s="5" t="s">
        <v>15</v>
      </c>
      <c r="H1440" s="4">
        <v>0.734660730557672</v>
      </c>
      <c r="I1440" s="4">
        <v>2911.947495</v>
      </c>
      <c r="J1440" s="6">
        <v>31.425815550879</v>
      </c>
      <c r="K1440" s="5">
        <v>0.843371289814799</v>
      </c>
      <c r="L1440" s="7">
        <v>1.16116845611176</v>
      </c>
      <c r="M1440" s="4">
        <v>28.5</v>
      </c>
      <c r="N1440" s="2">
        <v>16.45</v>
      </c>
    </row>
    <row r="1441">
      <c r="A1441" s="2" t="s">
        <v>1466</v>
      </c>
      <c r="B1441" s="3" t="str">
        <f>HYPERLINK("https://www.suredividend.com/sure-analysis-research-database/","Skyward Specialty Insurance Group Inc")</f>
        <v>Skyward Specialty Insurance Group Inc</v>
      </c>
      <c r="C1441" s="2" t="s">
        <v>15</v>
      </c>
      <c r="D1441" s="4">
        <v>29.66</v>
      </c>
      <c r="E1441" s="5">
        <v>0.0</v>
      </c>
      <c r="F1441" s="5" t="s">
        <v>15</v>
      </c>
      <c r="G1441" s="5" t="s">
        <v>15</v>
      </c>
      <c r="H1441" s="4">
        <v>0.0</v>
      </c>
      <c r="I1441" s="4">
        <v>1188.351062</v>
      </c>
      <c r="J1441" s="6">
        <v>0.0</v>
      </c>
      <c r="K1441" s="5" t="s">
        <v>15</v>
      </c>
      <c r="L1441" s="7">
        <v>0.654392624113273</v>
      </c>
      <c r="M1441" s="4">
        <v>34.53</v>
      </c>
      <c r="N1441" s="2">
        <v>17.56</v>
      </c>
    </row>
    <row r="1442">
      <c r="A1442" s="2" t="s">
        <v>1467</v>
      </c>
      <c r="B1442" s="3" t="str">
        <f>HYPERLINK("https://www.suredividend.com/sure-analysis-research-database/","Skyline Champion Corp")</f>
        <v>Skyline Champion Corp</v>
      </c>
      <c r="C1442" s="2" t="s">
        <v>25</v>
      </c>
      <c r="D1442" s="4">
        <v>71.05</v>
      </c>
      <c r="E1442" s="5">
        <v>0.0</v>
      </c>
      <c r="F1442" s="5" t="s">
        <v>15</v>
      </c>
      <c r="G1442" s="5" t="s">
        <v>15</v>
      </c>
      <c r="H1442" s="4">
        <v>0.0</v>
      </c>
      <c r="I1442" s="4">
        <v>4108.140513</v>
      </c>
      <c r="J1442" s="6">
        <v>17.297652234344</v>
      </c>
      <c r="K1442" s="5">
        <v>0.0</v>
      </c>
      <c r="L1442" s="7">
        <v>1.70958368583908</v>
      </c>
      <c r="M1442" s="4">
        <v>77.75</v>
      </c>
      <c r="N1442" s="2">
        <v>52.12</v>
      </c>
    </row>
    <row r="1443">
      <c r="A1443" s="2" t="s">
        <v>1468</v>
      </c>
      <c r="B1443" s="3" t="str">
        <f>HYPERLINK("https://www.suredividend.com/sure-analysis-research-database/","SkyWater Technology Inc")</f>
        <v>SkyWater Technology Inc</v>
      </c>
      <c r="C1443" s="2" t="s">
        <v>15</v>
      </c>
      <c r="D1443" s="4">
        <v>9.0</v>
      </c>
      <c r="E1443" s="5">
        <v>0.0</v>
      </c>
      <c r="F1443" s="5" t="s">
        <v>15</v>
      </c>
      <c r="G1443" s="5" t="s">
        <v>15</v>
      </c>
      <c r="H1443" s="4">
        <v>0.0</v>
      </c>
      <c r="I1443" s="4">
        <v>437.799175</v>
      </c>
      <c r="J1443" s="6" t="s">
        <v>15</v>
      </c>
      <c r="K1443" s="5">
        <v>0.0</v>
      </c>
      <c r="L1443" s="7">
        <v>2.47125349518288</v>
      </c>
      <c r="M1443" s="4">
        <v>15.99</v>
      </c>
      <c r="N1443" s="2">
        <v>4.73</v>
      </c>
    </row>
    <row r="1444">
      <c r="A1444" s="2" t="s">
        <v>1469</v>
      </c>
      <c r="B1444" s="3" t="str">
        <f>HYPERLINK("https://www.suredividend.com/sure-analysis-research-database/","Skywest Inc.")</f>
        <v>Skywest Inc.</v>
      </c>
      <c r="C1444" s="2" t="s">
        <v>17</v>
      </c>
      <c r="D1444" s="4">
        <v>59.62</v>
      </c>
      <c r="E1444" s="5">
        <v>0.0</v>
      </c>
      <c r="F1444" s="5" t="s">
        <v>15</v>
      </c>
      <c r="G1444" s="5" t="s">
        <v>15</v>
      </c>
      <c r="H1444" s="4">
        <v>0.0</v>
      </c>
      <c r="I1444" s="4">
        <v>2233.477853</v>
      </c>
      <c r="J1444" s="6" t="s">
        <v>15</v>
      </c>
      <c r="K1444" s="5">
        <v>0.0</v>
      </c>
      <c r="L1444" s="7">
        <v>1.65817562663728</v>
      </c>
      <c r="M1444" s="4">
        <v>54.63</v>
      </c>
      <c r="N1444" s="2">
        <v>16.59</v>
      </c>
    </row>
    <row r="1445">
      <c r="A1445" s="2" t="s">
        <v>1470</v>
      </c>
      <c r="B1445" s="3" t="str">
        <f>HYPERLINK("https://www.suredividend.com/sure-analysis-research-database/","Silicon Laboratories Inc")</f>
        <v>Silicon Laboratories Inc</v>
      </c>
      <c r="C1445" s="2" t="s">
        <v>40</v>
      </c>
      <c r="D1445" s="4">
        <v>120.12</v>
      </c>
      <c r="E1445" s="5">
        <v>0.0</v>
      </c>
      <c r="F1445" s="5" t="s">
        <v>15</v>
      </c>
      <c r="G1445" s="5" t="s">
        <v>15</v>
      </c>
      <c r="H1445" s="4">
        <v>0.0</v>
      </c>
      <c r="I1445" s="4">
        <v>4177.711379</v>
      </c>
      <c r="J1445" s="6">
        <v>68.9027473792716</v>
      </c>
      <c r="K1445" s="5">
        <v>0.0</v>
      </c>
      <c r="L1445" s="7">
        <v>1.68023583325512</v>
      </c>
      <c r="M1445" s="4">
        <v>194.68</v>
      </c>
      <c r="N1445" s="2">
        <v>74.56</v>
      </c>
    </row>
    <row r="1446">
      <c r="A1446" s="2" t="s">
        <v>1471</v>
      </c>
      <c r="B1446" s="3" t="str">
        <f>HYPERLINK("https://www.suredividend.com/sure-analysis-research-database/","U.S. Silica Holdings Inc")</f>
        <v>U.S. Silica Holdings Inc</v>
      </c>
      <c r="C1446" s="2" t="s">
        <v>125</v>
      </c>
      <c r="D1446" s="4">
        <v>10.15</v>
      </c>
      <c r="E1446" s="5">
        <v>0.0</v>
      </c>
      <c r="F1446" s="5" t="s">
        <v>15</v>
      </c>
      <c r="G1446" s="5" t="s">
        <v>15</v>
      </c>
      <c r="H1446" s="4">
        <v>0.0</v>
      </c>
      <c r="I1446" s="4">
        <v>840.983091</v>
      </c>
      <c r="J1446" s="6">
        <v>5.62884416154639</v>
      </c>
      <c r="K1446" s="5">
        <v>0.0</v>
      </c>
      <c r="L1446" s="7">
        <v>0.882245751408341</v>
      </c>
      <c r="M1446" s="4">
        <v>14.64</v>
      </c>
      <c r="N1446" s="2">
        <v>10.18</v>
      </c>
    </row>
    <row r="1447">
      <c r="A1447" s="2" t="s">
        <v>1472</v>
      </c>
      <c r="B1447" s="3" t="str">
        <f>HYPERLINK("https://www.suredividend.com/sure-analysis-research-database/","Solid Power Inc")</f>
        <v>Solid Power Inc</v>
      </c>
      <c r="C1447" s="2" t="s">
        <v>15</v>
      </c>
      <c r="D1447" s="4">
        <v>1.54</v>
      </c>
      <c r="E1447" s="5">
        <v>0.0</v>
      </c>
      <c r="F1447" s="5" t="s">
        <v>15</v>
      </c>
      <c r="G1447" s="5" t="s">
        <v>15</v>
      </c>
      <c r="H1447" s="4">
        <v>0.0</v>
      </c>
      <c r="I1447" s="4">
        <v>308.696645</v>
      </c>
      <c r="J1447" s="6" t="s">
        <v>15</v>
      </c>
      <c r="K1447" s="5">
        <v>0.0</v>
      </c>
      <c r="L1447" s="7">
        <v>2.48747679271993</v>
      </c>
      <c r="M1447" s="4">
        <v>3.86</v>
      </c>
      <c r="N1447" s="2">
        <v>1.1</v>
      </c>
    </row>
    <row r="1448">
      <c r="A1448" s="2" t="s">
        <v>1473</v>
      </c>
      <c r="B1448" s="3" t="str">
        <f>HYPERLINK("https://www.suredividend.com/sure-analysis-research-database/","SomaLogic Inc")</f>
        <v>SomaLogic Inc</v>
      </c>
      <c r="C1448" s="2" t="s">
        <v>15</v>
      </c>
      <c r="D1448" s="4">
        <v>2.1</v>
      </c>
      <c r="E1448" s="5">
        <v>0.0</v>
      </c>
      <c r="F1448" s="5" t="s">
        <v>15</v>
      </c>
      <c r="G1448" s="5" t="s">
        <v>15</v>
      </c>
      <c r="H1448" s="4">
        <v>0.0</v>
      </c>
      <c r="I1448" s="4">
        <v>0.0</v>
      </c>
      <c r="J1448" s="6">
        <v>0.0</v>
      </c>
      <c r="K1448" s="5">
        <v>0.0</v>
      </c>
      <c r="L1448" s="7"/>
      <c r="M1448" s="4" t="s">
        <v>49</v>
      </c>
      <c r="N1448" s="2" t="s">
        <v>49</v>
      </c>
    </row>
    <row r="1449">
      <c r="A1449" s="2" t="s">
        <v>1474</v>
      </c>
      <c r="B1449" s="3" t="str">
        <f>HYPERLINK("https://www.suredividend.com/sure-analysis-research-database/","Simulations Plus Inc.")</f>
        <v>Simulations Plus Inc.</v>
      </c>
      <c r="C1449" s="2" t="s">
        <v>30</v>
      </c>
      <c r="D1449" s="4">
        <v>37.48</v>
      </c>
      <c r="E1449" s="5">
        <v>0.006012432676018</v>
      </c>
      <c r="F1449" s="5">
        <v>0.0</v>
      </c>
      <c r="G1449" s="5">
        <v>0.0</v>
      </c>
      <c r="H1449" s="4">
        <v>0.238873950218212</v>
      </c>
      <c r="I1449" s="4">
        <v>793.291969</v>
      </c>
      <c r="J1449" s="6">
        <v>74.410652772723</v>
      </c>
      <c r="K1449" s="5">
        <v>0.455518593093463</v>
      </c>
      <c r="L1449" s="7">
        <v>1.13483803867797</v>
      </c>
      <c r="M1449" s="4">
        <v>52.34</v>
      </c>
      <c r="N1449" s="2">
        <v>32.59</v>
      </c>
    </row>
    <row r="1450">
      <c r="A1450" s="2" t="s">
        <v>1475</v>
      </c>
      <c r="B1450" s="3" t="str">
        <f>HYPERLINK("https://www.suredividend.com/sure-analysis-research-database/","SelectQuote Inc")</f>
        <v>SelectQuote Inc</v>
      </c>
      <c r="C1450" s="2" t="s">
        <v>15</v>
      </c>
      <c r="D1450" s="4">
        <v>1.08</v>
      </c>
      <c r="E1450" s="5">
        <v>0.0</v>
      </c>
      <c r="F1450" s="5" t="s">
        <v>15</v>
      </c>
      <c r="G1450" s="5" t="s">
        <v>15</v>
      </c>
      <c r="H1450" s="4">
        <v>0.0</v>
      </c>
      <c r="I1450" s="4">
        <v>199.602383</v>
      </c>
      <c r="J1450" s="6" t="s">
        <v>15</v>
      </c>
      <c r="K1450" s="5">
        <v>0.0</v>
      </c>
      <c r="L1450" s="7">
        <v>3.77569523065245</v>
      </c>
      <c r="M1450" s="4">
        <v>2.94</v>
      </c>
      <c r="N1450" s="2">
        <v>0.7965</v>
      </c>
    </row>
    <row r="1451">
      <c r="A1451" s="2" t="s">
        <v>1476</v>
      </c>
      <c r="B1451" s="3" t="str">
        <f>HYPERLINK("https://www.suredividend.com/sure-analysis-research-database/","Sylvamo Corp")</f>
        <v>Sylvamo Corp</v>
      </c>
      <c r="C1451" s="2" t="s">
        <v>15</v>
      </c>
      <c r="D1451" s="4">
        <v>46.34</v>
      </c>
      <c r="E1451" s="5">
        <v>0.022761431846423</v>
      </c>
      <c r="F1451" s="5" t="s">
        <v>15</v>
      </c>
      <c r="G1451" s="5" t="s">
        <v>15</v>
      </c>
      <c r="H1451" s="4">
        <v>1.09027258544368</v>
      </c>
      <c r="I1451" s="4">
        <v>1990.421272</v>
      </c>
      <c r="J1451" s="6">
        <v>6.67926601342281</v>
      </c>
      <c r="K1451" s="5">
        <v>0.157781850281286</v>
      </c>
      <c r="L1451" s="7">
        <v>0.846576654256282</v>
      </c>
      <c r="M1451" s="4">
        <v>52.58</v>
      </c>
      <c r="N1451" s="2">
        <v>37.11</v>
      </c>
    </row>
    <row r="1452">
      <c r="A1452" s="2" t="s">
        <v>1477</v>
      </c>
      <c r="B1452" s="3" t="str">
        <f>HYPERLINK("https://www.suredividend.com/sure-analysis-research-database/","SM Energy Co")</f>
        <v>SM Energy Co</v>
      </c>
      <c r="C1452" s="2" t="s">
        <v>125</v>
      </c>
      <c r="D1452" s="4">
        <v>35.72</v>
      </c>
      <c r="E1452" s="5">
        <v>0.016698928358667</v>
      </c>
      <c r="F1452" s="5" t="s">
        <v>15</v>
      </c>
      <c r="G1452" s="5" t="s">
        <v>15</v>
      </c>
      <c r="H1452" s="4">
        <v>0.626042824166449</v>
      </c>
      <c r="I1452" s="4">
        <v>4360.607624</v>
      </c>
      <c r="J1452" s="6">
        <v>5.2586099229528</v>
      </c>
      <c r="K1452" s="5">
        <v>0.0913931130169998</v>
      </c>
      <c r="L1452" s="7">
        <v>1.18085325588562</v>
      </c>
      <c r="M1452" s="4">
        <v>43.36</v>
      </c>
      <c r="N1452" s="2">
        <v>24.22</v>
      </c>
    </row>
    <row r="1453">
      <c r="A1453" s="2" t="s">
        <v>1478</v>
      </c>
      <c r="B1453" s="3" t="str">
        <f>HYPERLINK("https://www.suredividend.com/sure-analysis-research-database/","Southern Missouri Bancorp, Inc.")</f>
        <v>Southern Missouri Bancorp, Inc.</v>
      </c>
      <c r="C1453" s="2" t="s">
        <v>22</v>
      </c>
      <c r="D1453" s="4">
        <v>41.81</v>
      </c>
      <c r="E1453" s="5">
        <v>0.016567414307833</v>
      </c>
      <c r="F1453" s="5">
        <v>0.0</v>
      </c>
      <c r="G1453" s="5">
        <v>0.100665080852096</v>
      </c>
      <c r="H1453" s="4">
        <v>0.828536389534737</v>
      </c>
      <c r="I1453" s="4">
        <v>566.936465</v>
      </c>
      <c r="J1453" s="6">
        <v>0.0</v>
      </c>
      <c r="K1453" s="5" t="s">
        <v>15</v>
      </c>
      <c r="L1453" s="7">
        <v>1.39853816706097</v>
      </c>
      <c r="M1453" s="4">
        <v>55.45</v>
      </c>
      <c r="N1453" s="2">
        <v>29.51</v>
      </c>
    </row>
    <row r="1454">
      <c r="A1454" s="2" t="s">
        <v>1479</v>
      </c>
      <c r="B1454" s="3" t="str">
        <f>HYPERLINK("https://www.suredividend.com/sure-analysis-research-database/","SmartFinancial Inc")</f>
        <v>SmartFinancial Inc</v>
      </c>
      <c r="C1454" s="2" t="s">
        <v>22</v>
      </c>
      <c r="D1454" s="4">
        <v>21.9</v>
      </c>
      <c r="E1454" s="5">
        <v>0.0</v>
      </c>
      <c r="F1454" s="5" t="s">
        <v>15</v>
      </c>
      <c r="G1454" s="5" t="s">
        <v>15</v>
      </c>
      <c r="H1454" s="4">
        <v>0.0</v>
      </c>
      <c r="I1454" s="4">
        <v>421.124776</v>
      </c>
      <c r="J1454" s="6">
        <v>0.0</v>
      </c>
      <c r="K1454" s="5" t="s">
        <v>15</v>
      </c>
      <c r="L1454" s="7">
        <v>1.17972512113345</v>
      </c>
      <c r="M1454" s="4">
        <v>27.79</v>
      </c>
      <c r="N1454" s="2">
        <v>18.52</v>
      </c>
    </row>
    <row r="1455">
      <c r="A1455" s="2" t="s">
        <v>1480</v>
      </c>
      <c r="B1455" s="3" t="str">
        <f>HYPERLINK("https://www.suredividend.com/sure-analysis-research-database/","Super Micro Computer Inc")</f>
        <v>Super Micro Computer Inc</v>
      </c>
      <c r="C1455" s="2" t="s">
        <v>40</v>
      </c>
      <c r="D1455" s="4">
        <v>663.35</v>
      </c>
      <c r="E1455" s="5">
        <v>0.0</v>
      </c>
      <c r="F1455" s="5" t="s">
        <v>15</v>
      </c>
      <c r="G1455" s="5" t="s">
        <v>15</v>
      </c>
      <c r="H1455" s="4">
        <v>0.0</v>
      </c>
      <c r="I1455" s="4">
        <v>26425.923363</v>
      </c>
      <c r="J1455" s="6">
        <v>43.1389414932979</v>
      </c>
      <c r="K1455" s="5">
        <v>0.0</v>
      </c>
      <c r="L1455" s="7">
        <v>2.41446825359616</v>
      </c>
      <c r="M1455" s="4">
        <v>496.78</v>
      </c>
      <c r="N1455" s="2">
        <v>70.11</v>
      </c>
    </row>
    <row r="1456">
      <c r="A1456" s="2" t="s">
        <v>1481</v>
      </c>
      <c r="B1456" s="3" t="str">
        <f>HYPERLINK("https://www.suredividend.com/sure-analysis-research-database/","Summit Financial Group Inc")</f>
        <v>Summit Financial Group Inc</v>
      </c>
      <c r="C1456" s="2" t="s">
        <v>22</v>
      </c>
      <c r="D1456" s="4">
        <v>27.79</v>
      </c>
      <c r="E1456" s="5">
        <v>0.027335160878258</v>
      </c>
      <c r="F1456" s="5">
        <v>0.0999999999999998</v>
      </c>
      <c r="G1456" s="5">
        <v>0.0946087842231575</v>
      </c>
      <c r="H1456" s="4">
        <v>0.819234771521413</v>
      </c>
      <c r="I1456" s="4">
        <v>439.805314</v>
      </c>
      <c r="J1456" s="6">
        <v>0.0</v>
      </c>
      <c r="K1456" s="5" t="s">
        <v>15</v>
      </c>
      <c r="L1456" s="7">
        <v>0.990862115238477</v>
      </c>
      <c r="M1456" s="4">
        <v>31.49</v>
      </c>
      <c r="N1456" s="2">
        <v>16.17</v>
      </c>
    </row>
    <row r="1457">
      <c r="A1457" s="2" t="s">
        <v>1482</v>
      </c>
      <c r="B1457" s="3" t="str">
        <f>HYPERLINK("https://www.suredividend.com/sure-analysis-research-database/","Standard Motor Products, Inc.")</f>
        <v>Standard Motor Products, Inc.</v>
      </c>
      <c r="C1457" s="2" t="s">
        <v>25</v>
      </c>
      <c r="D1457" s="4">
        <v>40.04</v>
      </c>
      <c r="E1457" s="5">
        <v>0.02812468845703</v>
      </c>
      <c r="F1457" s="5" t="s">
        <v>15</v>
      </c>
      <c r="G1457" s="5" t="s">
        <v>15</v>
      </c>
      <c r="H1457" s="4">
        <v>1.14608105462399</v>
      </c>
      <c r="I1457" s="4">
        <v>885.468649</v>
      </c>
      <c r="J1457" s="6">
        <v>24.8399205823772</v>
      </c>
      <c r="K1457" s="5">
        <v>0.711851586722977</v>
      </c>
      <c r="L1457" s="7">
        <v>0.839512158994849</v>
      </c>
      <c r="M1457" s="4">
        <v>41.57</v>
      </c>
      <c r="N1457" s="2">
        <v>29.9</v>
      </c>
    </row>
    <row r="1458">
      <c r="A1458" s="2" t="s">
        <v>1483</v>
      </c>
      <c r="B1458" s="3" t="str">
        <f>HYPERLINK("https://www.suredividend.com/sure-analysis-research-database/","Simply Good Foods Co")</f>
        <v>Simply Good Foods Co</v>
      </c>
      <c r="C1458" s="2" t="s">
        <v>89</v>
      </c>
      <c r="D1458" s="4">
        <v>37.13</v>
      </c>
      <c r="E1458" s="5">
        <v>0.0</v>
      </c>
      <c r="F1458" s="5" t="s">
        <v>15</v>
      </c>
      <c r="G1458" s="5" t="s">
        <v>15</v>
      </c>
      <c r="H1458" s="4">
        <v>0.0</v>
      </c>
      <c r="I1458" s="4">
        <v>3912.650392</v>
      </c>
      <c r="J1458" s="6">
        <v>29.3575016657162</v>
      </c>
      <c r="K1458" s="5">
        <v>0.0</v>
      </c>
      <c r="L1458" s="7">
        <v>0.610922485972373</v>
      </c>
      <c r="M1458" s="4">
        <v>43.0</v>
      </c>
      <c r="N1458" s="2">
        <v>31.06</v>
      </c>
    </row>
    <row r="1459">
      <c r="A1459" s="2" t="s">
        <v>1484</v>
      </c>
      <c r="B1459" s="3" t="str">
        <f>HYPERLINK("https://www.suredividend.com/sure-analysis-research-database/","NuScale Power Corporation")</f>
        <v>NuScale Power Corporation</v>
      </c>
      <c r="C1459" s="2" t="s">
        <v>15</v>
      </c>
      <c r="D1459" s="4">
        <v>2.95</v>
      </c>
      <c r="E1459" s="5">
        <v>0.0</v>
      </c>
      <c r="F1459" s="5" t="s">
        <v>15</v>
      </c>
      <c r="G1459" s="5" t="s">
        <v>15</v>
      </c>
      <c r="H1459" s="4">
        <v>0.0</v>
      </c>
      <c r="I1459" s="4">
        <v>228.791014</v>
      </c>
      <c r="J1459" s="6" t="s">
        <v>15</v>
      </c>
      <c r="K1459" s="5">
        <v>0.0</v>
      </c>
      <c r="L1459" s="7">
        <v>2.01936761377864</v>
      </c>
      <c r="M1459" s="4">
        <v>11.19</v>
      </c>
      <c r="N1459" s="2">
        <v>1.81</v>
      </c>
    </row>
    <row r="1460">
      <c r="A1460" s="2" t="s">
        <v>1485</v>
      </c>
      <c r="B1460" s="3" t="str">
        <f>HYPERLINK("https://www.suredividend.com/sure-analysis-research-database/","SmartRent Inc")</f>
        <v>SmartRent Inc</v>
      </c>
      <c r="C1460" s="2" t="s">
        <v>25</v>
      </c>
      <c r="D1460" s="4">
        <v>2.96</v>
      </c>
      <c r="E1460" s="5">
        <v>0.0</v>
      </c>
      <c r="F1460" s="5" t="s">
        <v>15</v>
      </c>
      <c r="G1460" s="5" t="s">
        <v>15</v>
      </c>
      <c r="H1460" s="4">
        <v>0.0</v>
      </c>
      <c r="I1460" s="4">
        <v>639.938102</v>
      </c>
      <c r="J1460" s="6" t="s">
        <v>15</v>
      </c>
      <c r="K1460" s="5">
        <v>0.0</v>
      </c>
      <c r="L1460" s="7">
        <v>1.88606998771992</v>
      </c>
      <c r="M1460" s="4">
        <v>4.12</v>
      </c>
      <c r="N1460" s="2">
        <v>2.15</v>
      </c>
    </row>
    <row r="1461">
      <c r="A1461" s="2" t="s">
        <v>1486</v>
      </c>
      <c r="B1461" s="3" t="str">
        <f>HYPERLINK("https://www.suredividend.com/sure-analysis-research-database/","Semtech Corp.")</f>
        <v>Semtech Corp.</v>
      </c>
      <c r="C1461" s="2" t="s">
        <v>40</v>
      </c>
      <c r="D1461" s="4">
        <v>19.32</v>
      </c>
      <c r="E1461" s="5">
        <v>0.0</v>
      </c>
      <c r="F1461" s="5" t="s">
        <v>15</v>
      </c>
      <c r="G1461" s="5" t="s">
        <v>15</v>
      </c>
      <c r="H1461" s="4">
        <v>0.0</v>
      </c>
      <c r="I1461" s="4">
        <v>1372.479626</v>
      </c>
      <c r="J1461" s="6" t="s">
        <v>15</v>
      </c>
      <c r="K1461" s="5">
        <v>0.0</v>
      </c>
      <c r="L1461" s="7">
        <v>1.89701908545053</v>
      </c>
      <c r="M1461" s="4">
        <v>35.18</v>
      </c>
      <c r="N1461" s="2">
        <v>13.13</v>
      </c>
    </row>
    <row r="1462">
      <c r="A1462" s="2" t="s">
        <v>1487</v>
      </c>
      <c r="B1462" s="3" t="str">
        <f>HYPERLINK("https://www.suredividend.com/sure-analysis-research-database/","Sleep Number Corp")</f>
        <v>Sleep Number Corp</v>
      </c>
      <c r="C1462" s="2" t="s">
        <v>25</v>
      </c>
      <c r="D1462" s="4">
        <v>9.44</v>
      </c>
      <c r="E1462" s="5">
        <v>0.0</v>
      </c>
      <c r="F1462" s="5" t="s">
        <v>15</v>
      </c>
      <c r="G1462" s="5" t="s">
        <v>15</v>
      </c>
      <c r="H1462" s="4">
        <v>0.0</v>
      </c>
      <c r="I1462" s="4">
        <v>258.06708</v>
      </c>
      <c r="J1462" s="6">
        <v>57.7202147170655</v>
      </c>
      <c r="K1462" s="5">
        <v>0.0</v>
      </c>
      <c r="L1462" s="7">
        <v>1.88021596521783</v>
      </c>
      <c r="M1462" s="4">
        <v>41.61</v>
      </c>
      <c r="N1462" s="2">
        <v>9.0</v>
      </c>
    </row>
    <row r="1463">
      <c r="A1463" s="2" t="s">
        <v>1488</v>
      </c>
      <c r="B1463" s="3" t="str">
        <f>HYPERLINK("https://www.suredividend.com/sure-analysis-research-database/","Science 37 Holdings Inc")</f>
        <v>Science 37 Holdings Inc</v>
      </c>
      <c r="C1463" s="2" t="s">
        <v>15</v>
      </c>
      <c r="D1463" s="4">
        <v>5.68</v>
      </c>
      <c r="E1463" s="5">
        <v>0.0</v>
      </c>
      <c r="F1463" s="5" t="s">
        <v>15</v>
      </c>
      <c r="G1463" s="5" t="s">
        <v>15</v>
      </c>
      <c r="H1463" s="4">
        <v>0.0</v>
      </c>
      <c r="I1463" s="4">
        <v>33.8499</v>
      </c>
      <c r="J1463" s="6" t="s">
        <v>15</v>
      </c>
      <c r="K1463" s="5">
        <v>0.0</v>
      </c>
      <c r="L1463" s="7">
        <v>-0.263465932909148</v>
      </c>
      <c r="M1463" s="4">
        <v>13.8</v>
      </c>
      <c r="N1463" s="2">
        <v>3.73</v>
      </c>
    </row>
    <row r="1464">
      <c r="A1464" s="2" t="s">
        <v>1489</v>
      </c>
      <c r="B1464" s="3" t="str">
        <f>HYPERLINK("https://www.suredividend.com/sure-analysis-research-database/","Sun Country Airlines Holdings Inc")</f>
        <v>Sun Country Airlines Holdings Inc</v>
      </c>
      <c r="C1464" s="2" t="s">
        <v>15</v>
      </c>
      <c r="D1464" s="4">
        <v>13.93</v>
      </c>
      <c r="E1464" s="5">
        <v>0.0</v>
      </c>
      <c r="F1464" s="5" t="s">
        <v>15</v>
      </c>
      <c r="G1464" s="5" t="s">
        <v>15</v>
      </c>
      <c r="H1464" s="4">
        <v>0.0</v>
      </c>
      <c r="I1464" s="4">
        <v>774.114069</v>
      </c>
      <c r="J1464" s="6">
        <v>10.486366607063</v>
      </c>
      <c r="K1464" s="5">
        <v>0.0</v>
      </c>
      <c r="L1464" s="7">
        <v>1.3718335177518</v>
      </c>
      <c r="M1464" s="4">
        <v>23.8</v>
      </c>
      <c r="N1464" s="2">
        <v>11.96</v>
      </c>
    </row>
    <row r="1465">
      <c r="A1465" s="2" t="s">
        <v>1490</v>
      </c>
      <c r="B1465" s="3" t="str">
        <f>HYPERLINK("https://www.suredividend.com/sure-analysis-research-database/","Syndax Pharmaceuticals Inc")</f>
        <v>Syndax Pharmaceuticals Inc</v>
      </c>
      <c r="C1465" s="2" t="s">
        <v>30</v>
      </c>
      <c r="D1465" s="4">
        <v>21.29</v>
      </c>
      <c r="E1465" s="5">
        <v>0.0</v>
      </c>
      <c r="F1465" s="5" t="s">
        <v>15</v>
      </c>
      <c r="G1465" s="5" t="s">
        <v>15</v>
      </c>
      <c r="H1465" s="4">
        <v>0.0</v>
      </c>
      <c r="I1465" s="4">
        <v>1789.48543</v>
      </c>
      <c r="J1465" s="6" t="s">
        <v>15</v>
      </c>
      <c r="K1465" s="5">
        <v>0.0</v>
      </c>
      <c r="L1465" s="7">
        <v>1.09969945134968</v>
      </c>
      <c r="M1465" s="4">
        <v>29.86</v>
      </c>
      <c r="N1465" s="2">
        <v>11.22</v>
      </c>
    </row>
    <row r="1466">
      <c r="A1466" s="2" t="s">
        <v>1491</v>
      </c>
      <c r="B1466" s="3" t="str">
        <f>HYPERLINK("https://www.suredividend.com/sure-analysis-research-database/","StoneX Group Inc")</f>
        <v>StoneX Group Inc</v>
      </c>
      <c r="C1466" s="2" t="s">
        <v>15</v>
      </c>
      <c r="D1466" s="4">
        <v>65.5</v>
      </c>
      <c r="E1466" s="5">
        <v>0.0</v>
      </c>
      <c r="F1466" s="5" t="s">
        <v>15</v>
      </c>
      <c r="G1466" s="5" t="s">
        <v>15</v>
      </c>
      <c r="H1466" s="4">
        <v>0.0</v>
      </c>
      <c r="I1466" s="4">
        <v>2099.958069</v>
      </c>
      <c r="J1466" s="6">
        <v>9.1144013407118</v>
      </c>
      <c r="K1466" s="5">
        <v>0.0</v>
      </c>
      <c r="L1466" s="7">
        <v>0.876269929886896</v>
      </c>
      <c r="M1466" s="4">
        <v>74.01</v>
      </c>
      <c r="N1466" s="2">
        <v>49.62</v>
      </c>
    </row>
    <row r="1467">
      <c r="A1467" s="2" t="s">
        <v>1492</v>
      </c>
      <c r="B1467" s="3" t="str">
        <f>HYPERLINK("https://www.suredividend.com/sure-analysis-research-database/","Snap One Holdings Corp")</f>
        <v>Snap One Holdings Corp</v>
      </c>
      <c r="C1467" s="2" t="s">
        <v>15</v>
      </c>
      <c r="D1467" s="4">
        <v>7.99</v>
      </c>
      <c r="E1467" s="5">
        <v>0.0</v>
      </c>
      <c r="F1467" s="5" t="s">
        <v>15</v>
      </c>
      <c r="G1467" s="5" t="s">
        <v>15</v>
      </c>
      <c r="H1467" s="4">
        <v>0.0</v>
      </c>
      <c r="I1467" s="4">
        <v>660.457309</v>
      </c>
      <c r="J1467" s="6" t="s">
        <v>15</v>
      </c>
      <c r="K1467" s="5">
        <v>0.0</v>
      </c>
      <c r="L1467" s="7">
        <v>1.39788580501243</v>
      </c>
      <c r="M1467" s="4">
        <v>12.38</v>
      </c>
      <c r="N1467" s="2">
        <v>6.7</v>
      </c>
    </row>
    <row r="1468">
      <c r="A1468" s="2" t="s">
        <v>1493</v>
      </c>
      <c r="B1468" s="3" t="str">
        <f>HYPERLINK("https://www.suredividend.com/sure-analysis-research-database/","Solaris Oilfield Infrastructure Inc")</f>
        <v>Solaris Oilfield Infrastructure Inc</v>
      </c>
      <c r="C1468" s="2" t="s">
        <v>125</v>
      </c>
      <c r="D1468" s="4">
        <v>7.34</v>
      </c>
      <c r="E1468" s="5">
        <v>0.056596875689302</v>
      </c>
      <c r="F1468" s="5" t="s">
        <v>15</v>
      </c>
      <c r="G1468" s="5" t="s">
        <v>15</v>
      </c>
      <c r="H1468" s="4">
        <v>0.443153536647235</v>
      </c>
      <c r="I1468" s="4">
        <v>239.451305</v>
      </c>
      <c r="J1468" s="6">
        <v>9.98337731707317</v>
      </c>
      <c r="K1468" s="5">
        <v>0.560882846028648</v>
      </c>
      <c r="L1468" s="7">
        <v>1.26466118304232</v>
      </c>
      <c r="M1468" s="4">
        <v>11.05</v>
      </c>
      <c r="N1468" s="2">
        <v>6.59</v>
      </c>
    </row>
    <row r="1469">
      <c r="A1469" s="2" t="s">
        <v>1494</v>
      </c>
      <c r="B1469" s="3" t="str">
        <f>HYPERLINK("https://www.suredividend.com/sure-analysis-research-database/","Sonder Holdings Inc")</f>
        <v>Sonder Holdings Inc</v>
      </c>
      <c r="C1469" s="2" t="s">
        <v>15</v>
      </c>
      <c r="D1469" s="4">
        <v>2.52</v>
      </c>
      <c r="E1469" s="5">
        <v>0.0</v>
      </c>
      <c r="F1469" s="5" t="s">
        <v>15</v>
      </c>
      <c r="G1469" s="5" t="s">
        <v>15</v>
      </c>
      <c r="H1469" s="4">
        <v>0.0</v>
      </c>
      <c r="I1469" s="4">
        <v>28.989614</v>
      </c>
      <c r="J1469" s="6">
        <v>0.0</v>
      </c>
      <c r="K1469" s="5" t="s">
        <v>15</v>
      </c>
      <c r="L1469" s="7">
        <v>2.99655016200637</v>
      </c>
      <c r="M1469" s="4">
        <v>35.0</v>
      </c>
      <c r="N1469" s="2">
        <v>2.33</v>
      </c>
    </row>
    <row r="1470">
      <c r="A1470" s="2" t="s">
        <v>1495</v>
      </c>
      <c r="B1470" s="3" t="str">
        <f>HYPERLINK("https://www.suredividend.com/sure-analysis-research-database/","Sonos Inc")</f>
        <v>Sonos Inc</v>
      </c>
      <c r="C1470" s="2" t="s">
        <v>40</v>
      </c>
      <c r="D1470" s="4">
        <v>15.83</v>
      </c>
      <c r="E1470" s="5">
        <v>0.0</v>
      </c>
      <c r="F1470" s="5" t="s">
        <v>15</v>
      </c>
      <c r="G1470" s="5" t="s">
        <v>15</v>
      </c>
      <c r="H1470" s="4">
        <v>0.0</v>
      </c>
      <c r="I1470" s="4">
        <v>2072.490872</v>
      </c>
      <c r="J1470" s="6" t="s">
        <v>15</v>
      </c>
      <c r="K1470" s="5">
        <v>0.0</v>
      </c>
      <c r="L1470" s="7">
        <v>1.45336372964166</v>
      </c>
      <c r="M1470" s="4">
        <v>21.98</v>
      </c>
      <c r="N1470" s="2">
        <v>9.78</v>
      </c>
    </row>
    <row r="1471">
      <c r="A1471" s="2" t="s">
        <v>1496</v>
      </c>
      <c r="B1471" s="3" t="str">
        <f>HYPERLINK("https://www.suredividend.com/sure-analysis-research-database/","Sovos Brands Inc")</f>
        <v>Sovos Brands Inc</v>
      </c>
      <c r="C1471" s="2" t="s">
        <v>15</v>
      </c>
      <c r="D1471" s="4">
        <v>22.1</v>
      </c>
      <c r="E1471" s="5">
        <v>0.0</v>
      </c>
      <c r="F1471" s="5" t="s">
        <v>15</v>
      </c>
      <c r="G1471" s="5" t="s">
        <v>15</v>
      </c>
      <c r="H1471" s="4">
        <v>0.0</v>
      </c>
      <c r="I1471" s="4">
        <v>2239.09</v>
      </c>
      <c r="J1471" s="6">
        <v>0.0</v>
      </c>
      <c r="K1471" s="5" t="s">
        <v>15</v>
      </c>
      <c r="L1471" s="7">
        <v>0.283595764989622</v>
      </c>
      <c r="M1471" s="4">
        <v>22.73</v>
      </c>
      <c r="N1471" s="2">
        <v>12.74</v>
      </c>
    </row>
    <row r="1472">
      <c r="A1472" s="2" t="s">
        <v>1497</v>
      </c>
      <c r="B1472" s="3" t="str">
        <f>HYPERLINK("https://www.suredividend.com/sure-analysis-research-database/","SP Plus Corp")</f>
        <v>SP Plus Corp</v>
      </c>
      <c r="C1472" s="2" t="s">
        <v>17</v>
      </c>
      <c r="D1472" s="4">
        <v>51.81</v>
      </c>
      <c r="E1472" s="5">
        <v>0.0</v>
      </c>
      <c r="F1472" s="5" t="s">
        <v>15</v>
      </c>
      <c r="G1472" s="5" t="s">
        <v>15</v>
      </c>
      <c r="H1472" s="4">
        <v>0.0</v>
      </c>
      <c r="I1472" s="4">
        <v>1020.600795</v>
      </c>
      <c r="J1472" s="6">
        <v>29.4121266668587</v>
      </c>
      <c r="K1472" s="5">
        <v>0.0</v>
      </c>
      <c r="L1472" s="7">
        <v>0.539040105326528</v>
      </c>
      <c r="M1472" s="4">
        <v>52.4</v>
      </c>
      <c r="N1472" s="2">
        <v>31.52</v>
      </c>
    </row>
    <row r="1473">
      <c r="A1473" s="2" t="s">
        <v>1498</v>
      </c>
      <c r="B1473" s="3" t="str">
        <f>HYPERLINK("https://www.suredividend.com/sure-analysis-research-database/","Virgin Galactic Holdings Inc")</f>
        <v>Virgin Galactic Holdings Inc</v>
      </c>
      <c r="C1473" s="2" t="s">
        <v>17</v>
      </c>
      <c r="D1473" s="4">
        <v>1.66</v>
      </c>
      <c r="E1473" s="5">
        <v>0.0</v>
      </c>
      <c r="F1473" s="5" t="s">
        <v>15</v>
      </c>
      <c r="G1473" s="5" t="s">
        <v>15</v>
      </c>
      <c r="H1473" s="4">
        <v>0.0</v>
      </c>
      <c r="I1473" s="4">
        <v>767.453355</v>
      </c>
      <c r="J1473" s="6" t="s">
        <v>15</v>
      </c>
      <c r="K1473" s="5">
        <v>0.0</v>
      </c>
      <c r="L1473" s="7">
        <v>2.73436638992958</v>
      </c>
      <c r="M1473" s="4">
        <v>6.61</v>
      </c>
      <c r="N1473" s="2">
        <v>1.38</v>
      </c>
    </row>
    <row r="1474">
      <c r="A1474" s="2" t="s">
        <v>1499</v>
      </c>
      <c r="B1474" s="3" t="str">
        <f>HYPERLINK("https://www.suredividend.com/sure-analysis-research-database/","South Plains Financial Inc")</f>
        <v>South Plains Financial Inc</v>
      </c>
      <c r="C1474" s="2" t="s">
        <v>22</v>
      </c>
      <c r="D1474" s="4">
        <v>26.62</v>
      </c>
      <c r="E1474" s="5">
        <v>0.017686020678995</v>
      </c>
      <c r="F1474" s="5" t="s">
        <v>15</v>
      </c>
      <c r="G1474" s="5" t="s">
        <v>15</v>
      </c>
      <c r="H1474" s="4">
        <v>0.512717739484066</v>
      </c>
      <c r="I1474" s="4">
        <v>477.821268</v>
      </c>
      <c r="J1474" s="6">
        <v>7.34634956197533</v>
      </c>
      <c r="K1474" s="5">
        <v>0.138198851612955</v>
      </c>
      <c r="L1474" s="7">
        <v>1.01644406588185</v>
      </c>
      <c r="M1474" s="4">
        <v>29.95</v>
      </c>
      <c r="N1474" s="2">
        <v>18.22</v>
      </c>
    </row>
    <row r="1475">
      <c r="A1475" s="2" t="s">
        <v>1500</v>
      </c>
      <c r="B1475" s="3" t="str">
        <f>HYPERLINK("https://www.suredividend.com/sure-analysis-research-database/","Sphere Entertainment Co")</f>
        <v>Sphere Entertainment Co</v>
      </c>
      <c r="C1475" s="2" t="s">
        <v>15</v>
      </c>
      <c r="D1475" s="4">
        <v>38.97</v>
      </c>
      <c r="E1475" s="5">
        <v>0.0</v>
      </c>
      <c r="F1475" s="5" t="s">
        <v>15</v>
      </c>
      <c r="G1475" s="5" t="s">
        <v>15</v>
      </c>
      <c r="H1475" s="4">
        <v>0.0</v>
      </c>
      <c r="I1475" s="4">
        <v>992.763278</v>
      </c>
      <c r="J1475" s="6">
        <v>1.6169994464569</v>
      </c>
      <c r="K1475" s="5">
        <v>0.0</v>
      </c>
      <c r="L1475" s="7">
        <v>1.35396635006772</v>
      </c>
      <c r="M1475" s="4">
        <v>62.79</v>
      </c>
      <c r="N1475" s="2">
        <v>20.69</v>
      </c>
    </row>
    <row r="1476">
      <c r="A1476" s="2" t="s">
        <v>1501</v>
      </c>
      <c r="B1476" s="3" t="str">
        <f>HYPERLINK("https://www.suredividend.com/sure-analysis-research-database/","Spire Global Inc")</f>
        <v>Spire Global Inc</v>
      </c>
      <c r="C1476" s="2" t="s">
        <v>40</v>
      </c>
      <c r="D1476" s="4">
        <v>7.25</v>
      </c>
      <c r="E1476" s="5">
        <v>0.0</v>
      </c>
      <c r="F1476" s="5" t="s">
        <v>15</v>
      </c>
      <c r="G1476" s="5" t="s">
        <v>15</v>
      </c>
      <c r="H1476" s="4">
        <v>0.0</v>
      </c>
      <c r="I1476" s="4">
        <v>157.437334</v>
      </c>
      <c r="J1476" s="6" t="s">
        <v>15</v>
      </c>
      <c r="K1476" s="5">
        <v>0.0</v>
      </c>
      <c r="L1476" s="7">
        <v>2.16009572677768</v>
      </c>
      <c r="M1476" s="4">
        <v>10.4</v>
      </c>
      <c r="N1476" s="2">
        <v>2.8</v>
      </c>
    </row>
    <row r="1477">
      <c r="A1477" s="2" t="s">
        <v>1502</v>
      </c>
      <c r="B1477" s="3" t="str">
        <f>HYPERLINK("https://www.suredividend.com/sure-analysis-research-database/","Sapiens International Corp NV")</f>
        <v>Sapiens International Corp NV</v>
      </c>
      <c r="C1477" s="2" t="s">
        <v>40</v>
      </c>
      <c r="D1477" s="4">
        <v>27.29</v>
      </c>
      <c r="E1477" s="5">
        <v>0.017732972151558</v>
      </c>
      <c r="F1477" s="5" t="s">
        <v>15</v>
      </c>
      <c r="G1477" s="5" t="s">
        <v>15</v>
      </c>
      <c r="H1477" s="4">
        <v>0.505744365762443</v>
      </c>
      <c r="I1477" s="4">
        <v>1572.598789</v>
      </c>
      <c r="J1477" s="6">
        <v>26.7280586909597</v>
      </c>
      <c r="K1477" s="5">
        <v>0.477117326190984</v>
      </c>
      <c r="L1477" s="7">
        <v>0.942579292901213</v>
      </c>
      <c r="M1477" s="4">
        <v>30.8</v>
      </c>
      <c r="N1477" s="2">
        <v>18.11</v>
      </c>
    </row>
    <row r="1478">
      <c r="A1478" s="2" t="s">
        <v>1503</v>
      </c>
      <c r="B1478" s="3" t="str">
        <f>HYPERLINK("https://www.suredividend.com/sure-analysis-research-database/","SiriusPoint Ltd")</f>
        <v>SiriusPoint Ltd</v>
      </c>
      <c r="C1478" s="2" t="s">
        <v>15</v>
      </c>
      <c r="D1478" s="4">
        <v>11.7</v>
      </c>
      <c r="E1478" s="5">
        <v>0.0</v>
      </c>
      <c r="F1478" s="5" t="s">
        <v>15</v>
      </c>
      <c r="G1478" s="5" t="s">
        <v>15</v>
      </c>
      <c r="H1478" s="4">
        <v>0.0</v>
      </c>
      <c r="I1478" s="4">
        <v>1985.825287</v>
      </c>
      <c r="J1478" s="6">
        <v>9.1724031734411</v>
      </c>
      <c r="K1478" s="5">
        <v>0.0</v>
      </c>
      <c r="L1478" s="7">
        <v>0.783981404926324</v>
      </c>
      <c r="M1478" s="4">
        <v>12.44</v>
      </c>
      <c r="N1478" s="2">
        <v>6.47</v>
      </c>
    </row>
    <row r="1479">
      <c r="A1479" s="2" t="s">
        <v>1504</v>
      </c>
      <c r="B1479" s="3" t="str">
        <f>HYPERLINK("https://www.suredividend.com/sure-analysis-research-database/","SPS Commerce Inc.")</f>
        <v>SPS Commerce Inc.</v>
      </c>
      <c r="C1479" s="2" t="s">
        <v>40</v>
      </c>
      <c r="D1479" s="4">
        <v>178.61</v>
      </c>
      <c r="E1479" s="5">
        <v>0.0</v>
      </c>
      <c r="F1479" s="5" t="s">
        <v>15</v>
      </c>
      <c r="G1479" s="5" t="s">
        <v>15</v>
      </c>
      <c r="H1479" s="4">
        <v>0.0</v>
      </c>
      <c r="I1479" s="4">
        <v>7014.013817</v>
      </c>
      <c r="J1479" s="6">
        <v>111.816315154954</v>
      </c>
      <c r="K1479" s="5">
        <v>0.0</v>
      </c>
      <c r="L1479" s="7">
        <v>1.49760989567833</v>
      </c>
      <c r="M1479" s="4">
        <v>198.35</v>
      </c>
      <c r="N1479" s="2">
        <v>132.8</v>
      </c>
    </row>
    <row r="1480">
      <c r="A1480" s="2" t="s">
        <v>1505</v>
      </c>
      <c r="B1480" s="3" t="str">
        <f>HYPERLINK("https://www.suredividend.com/sure-analysis-research-database/","Sprout Social Inc")</f>
        <v>Sprout Social Inc</v>
      </c>
      <c r="C1480" s="2" t="s">
        <v>40</v>
      </c>
      <c r="D1480" s="4">
        <v>59.3</v>
      </c>
      <c r="E1480" s="5">
        <v>0.0</v>
      </c>
      <c r="F1480" s="5" t="s">
        <v>15</v>
      </c>
      <c r="G1480" s="5" t="s">
        <v>15</v>
      </c>
      <c r="H1480" s="4">
        <v>0.0</v>
      </c>
      <c r="I1480" s="4">
        <v>3203.939197</v>
      </c>
      <c r="J1480" s="6" t="s">
        <v>15</v>
      </c>
      <c r="K1480" s="5">
        <v>0.0</v>
      </c>
      <c r="L1480" s="7">
        <v>2.33179773022561</v>
      </c>
      <c r="M1480" s="4">
        <v>74.07</v>
      </c>
      <c r="N1480" s="2">
        <v>37.0</v>
      </c>
    </row>
    <row r="1481">
      <c r="A1481" s="2" t="s">
        <v>1506</v>
      </c>
      <c r="B1481" s="3" t="str">
        <f>HYPERLINK("https://www.suredividend.com/sure-analysis-SPTN/","SpartanNash Co")</f>
        <v>SpartanNash Co</v>
      </c>
      <c r="C1481" s="2" t="s">
        <v>89</v>
      </c>
      <c r="D1481" s="4">
        <v>21.95</v>
      </c>
      <c r="E1481" s="5">
        <v>0.0391799544419134</v>
      </c>
      <c r="F1481" s="5">
        <v>0.0238095238095237</v>
      </c>
      <c r="G1481" s="5">
        <v>0.0250309335349034</v>
      </c>
      <c r="H1481" s="4">
        <v>0.835396267904397</v>
      </c>
      <c r="I1481" s="4">
        <v>772.455572</v>
      </c>
      <c r="J1481" s="6">
        <v>18.3141820965906</v>
      </c>
      <c r="K1481" s="5">
        <v>0.702013670507896</v>
      </c>
      <c r="L1481" s="7">
        <v>0.299687708536025</v>
      </c>
      <c r="M1481" s="4">
        <v>30.24</v>
      </c>
      <c r="N1481" s="2">
        <v>19.43</v>
      </c>
    </row>
    <row r="1482">
      <c r="A1482" s="2" t="s">
        <v>1507</v>
      </c>
      <c r="B1482" s="3" t="str">
        <f>HYPERLINK("https://www.suredividend.com/sure-analysis-research-database/","Sportsman`s Warehouse Holdings Inc")</f>
        <v>Sportsman`s Warehouse Holdings Inc</v>
      </c>
      <c r="C1482" s="2" t="s">
        <v>25</v>
      </c>
      <c r="D1482" s="4">
        <v>3.61</v>
      </c>
      <c r="E1482" s="5">
        <v>0.0</v>
      </c>
      <c r="F1482" s="5" t="s">
        <v>15</v>
      </c>
      <c r="G1482" s="5" t="s">
        <v>15</v>
      </c>
      <c r="H1482" s="4">
        <v>0.0</v>
      </c>
      <c r="I1482" s="4">
        <v>153.015873</v>
      </c>
      <c r="J1482" s="6" t="s">
        <v>15</v>
      </c>
      <c r="K1482" s="5">
        <v>0.0</v>
      </c>
      <c r="L1482" s="7">
        <v>0.763321681170754</v>
      </c>
      <c r="M1482" s="4">
        <v>10.16</v>
      </c>
      <c r="N1482" s="2">
        <v>2.98</v>
      </c>
    </row>
    <row r="1483">
      <c r="A1483" s="2" t="s">
        <v>1508</v>
      </c>
      <c r="B1483" s="3" t="str">
        <f>HYPERLINK("https://www.suredividend.com/sure-analysis-research-database/","Sunpower Corp")</f>
        <v>Sunpower Corp</v>
      </c>
      <c r="C1483" s="2" t="s">
        <v>40</v>
      </c>
      <c r="D1483" s="4">
        <v>3.08</v>
      </c>
      <c r="E1483" s="5">
        <v>0.0</v>
      </c>
      <c r="F1483" s="5" t="s">
        <v>15</v>
      </c>
      <c r="G1483" s="5" t="s">
        <v>15</v>
      </c>
      <c r="H1483" s="4">
        <v>0.0</v>
      </c>
      <c r="I1483" s="4">
        <v>603.242143</v>
      </c>
      <c r="J1483" s="6">
        <v>14.0783248785269</v>
      </c>
      <c r="K1483" s="5">
        <v>0.0</v>
      </c>
      <c r="L1483" s="7">
        <v>2.70471659251761</v>
      </c>
      <c r="M1483" s="4">
        <v>18.59</v>
      </c>
      <c r="N1483" s="2">
        <v>2.74</v>
      </c>
    </row>
    <row r="1484">
      <c r="A1484" s="2" t="s">
        <v>1509</v>
      </c>
      <c r="B1484" s="3" t="str">
        <f>HYPERLINK("https://www.suredividend.com/sure-analysis-research-database/","SPX Technologies Inc")</f>
        <v>SPX Technologies Inc</v>
      </c>
      <c r="C1484" s="2" t="s">
        <v>17</v>
      </c>
      <c r="D1484" s="4">
        <v>103.42</v>
      </c>
      <c r="E1484" s="5">
        <v>0.0</v>
      </c>
      <c r="F1484" s="5" t="s">
        <v>15</v>
      </c>
      <c r="G1484" s="5" t="s">
        <v>15</v>
      </c>
      <c r="H1484" s="4">
        <v>0.0</v>
      </c>
      <c r="I1484" s="4">
        <v>4731.884016</v>
      </c>
      <c r="J1484" s="6">
        <v>0.0</v>
      </c>
      <c r="K1484" s="5" t="s">
        <v>15</v>
      </c>
      <c r="L1484" s="7">
        <v>1.2813084251475</v>
      </c>
      <c r="M1484" s="4">
        <v>104.26</v>
      </c>
      <c r="N1484" s="2">
        <v>61.09</v>
      </c>
    </row>
    <row r="1485">
      <c r="A1485" s="2" t="s">
        <v>1510</v>
      </c>
      <c r="B1485" s="3" t="str">
        <f>HYPERLINK("https://www.suredividend.com/sure-analysis-research-database/","Squarespace Inc")</f>
        <v>Squarespace Inc</v>
      </c>
      <c r="C1485" s="2" t="s">
        <v>15</v>
      </c>
      <c r="D1485" s="4">
        <v>30.73</v>
      </c>
      <c r="E1485" s="5">
        <v>0.0</v>
      </c>
      <c r="F1485" s="5" t="s">
        <v>15</v>
      </c>
      <c r="G1485" s="5" t="s">
        <v>15</v>
      </c>
      <c r="H1485" s="4">
        <v>0.0</v>
      </c>
      <c r="I1485" s="4">
        <v>2863.157435</v>
      </c>
      <c r="J1485" s="6" t="s">
        <v>15</v>
      </c>
      <c r="K1485" s="5">
        <v>0.0</v>
      </c>
      <c r="L1485" s="7">
        <v>1.0440026817449</v>
      </c>
      <c r="M1485" s="4">
        <v>34.38</v>
      </c>
      <c r="N1485" s="2">
        <v>22.06</v>
      </c>
    </row>
    <row r="1486">
      <c r="A1486" s="2" t="s">
        <v>1511</v>
      </c>
      <c r="B1486" s="3" t="str">
        <f>HYPERLINK("https://www.suredividend.com/sure-analysis-SR/","Spire Inc.")</f>
        <v>Spire Inc.</v>
      </c>
      <c r="C1486" s="2" t="s">
        <v>91</v>
      </c>
      <c r="D1486" s="4">
        <v>58.03</v>
      </c>
      <c r="E1486" s="5">
        <v>0.0496295019817335</v>
      </c>
      <c r="F1486" s="5">
        <v>0.0486111111111111</v>
      </c>
      <c r="G1486" s="5">
        <v>0.0496674243133692</v>
      </c>
      <c r="H1486" s="4">
        <v>2.86470979677849</v>
      </c>
      <c r="I1486" s="4">
        <v>3115.504783</v>
      </c>
      <c r="J1486" s="6">
        <v>15.3928101944169</v>
      </c>
      <c r="K1486" s="5">
        <v>0.744080466695713</v>
      </c>
      <c r="L1486" s="7">
        <v>0.554813823783566</v>
      </c>
      <c r="M1486" s="4">
        <v>72.46</v>
      </c>
      <c r="N1486" s="2">
        <v>53.13</v>
      </c>
    </row>
    <row r="1487">
      <c r="A1487" s="2" t="s">
        <v>1512</v>
      </c>
      <c r="B1487" s="3" t="str">
        <f>HYPERLINK("https://www.suredividend.com/sure-analysis-SRCE/","1st Source Corp.")</f>
        <v>1st Source Corp.</v>
      </c>
      <c r="C1487" s="2" t="s">
        <v>22</v>
      </c>
      <c r="D1487" s="4">
        <v>49.94</v>
      </c>
      <c r="E1487" s="5">
        <v>0.027232679215058</v>
      </c>
      <c r="F1487" s="5">
        <v>0.0625</v>
      </c>
      <c r="G1487" s="5">
        <v>0.0471840786061832</v>
      </c>
      <c r="H1487" s="4">
        <v>1.27276694135147</v>
      </c>
      <c r="I1487" s="4">
        <v>1326.499207</v>
      </c>
      <c r="J1487" s="6">
        <v>10.495867378524</v>
      </c>
      <c r="K1487" s="5">
        <v>0.24858729323271</v>
      </c>
      <c r="L1487" s="7">
        <v>0.956422070670847</v>
      </c>
      <c r="M1487" s="4">
        <v>56.59</v>
      </c>
      <c r="N1487" s="2">
        <v>37.69</v>
      </c>
    </row>
    <row r="1488">
      <c r="A1488" s="2" t="s">
        <v>1513</v>
      </c>
      <c r="B1488" s="3" t="str">
        <f>HYPERLINK("https://www.suredividend.com/sure-analysis-research-database/","Surmodics, Inc.")</f>
        <v>Surmodics, Inc.</v>
      </c>
      <c r="C1488" s="2" t="s">
        <v>30</v>
      </c>
      <c r="D1488" s="4">
        <v>30.75</v>
      </c>
      <c r="E1488" s="5">
        <v>0.0</v>
      </c>
      <c r="F1488" s="5" t="s">
        <v>15</v>
      </c>
      <c r="G1488" s="5" t="s">
        <v>15</v>
      </c>
      <c r="H1488" s="4">
        <v>0.0</v>
      </c>
      <c r="I1488" s="4">
        <v>506.15279</v>
      </c>
      <c r="J1488" s="6" t="s">
        <v>15</v>
      </c>
      <c r="K1488" s="5">
        <v>0.0</v>
      </c>
      <c r="L1488" s="7">
        <v>1.20707613655667</v>
      </c>
      <c r="M1488" s="4">
        <v>39.41</v>
      </c>
      <c r="N1488" s="2">
        <v>16.0</v>
      </c>
    </row>
    <row r="1489">
      <c r="A1489" s="2" t="s">
        <v>1514</v>
      </c>
      <c r="B1489" s="3" t="str">
        <f>HYPERLINK("https://www.suredividend.com/sure-analysis-research-database/","Stoneridge Inc.")</f>
        <v>Stoneridge Inc.</v>
      </c>
      <c r="C1489" s="2" t="s">
        <v>25</v>
      </c>
      <c r="D1489" s="4">
        <v>18.01</v>
      </c>
      <c r="E1489" s="5">
        <v>0.0</v>
      </c>
      <c r="F1489" s="5" t="s">
        <v>15</v>
      </c>
      <c r="G1489" s="5" t="s">
        <v>15</v>
      </c>
      <c r="H1489" s="4">
        <v>0.0</v>
      </c>
      <c r="I1489" s="4">
        <v>504.954418</v>
      </c>
      <c r="J1489" s="6" t="s">
        <v>15</v>
      </c>
      <c r="K1489" s="5">
        <v>0.0</v>
      </c>
      <c r="L1489" s="7">
        <v>1.09482868492712</v>
      </c>
      <c r="M1489" s="4">
        <v>24.83</v>
      </c>
      <c r="N1489" s="2">
        <v>14.18</v>
      </c>
    </row>
    <row r="1490">
      <c r="A1490" s="2" t="s">
        <v>1515</v>
      </c>
      <c r="B1490" s="3" t="str">
        <f>HYPERLINK("https://www.suredividend.com/sure-analysis-research-database/","SouthState Corporation")</f>
        <v>SouthState Corporation</v>
      </c>
      <c r="C1490" s="2" t="s">
        <v>22</v>
      </c>
      <c r="D1490" s="4">
        <v>79.73</v>
      </c>
      <c r="E1490" s="5">
        <v>0.0</v>
      </c>
      <c r="F1490" s="5">
        <v>0.04</v>
      </c>
      <c r="G1490" s="5">
        <v>0.0538739520617834</v>
      </c>
      <c r="H1490" s="4">
        <v>0.0</v>
      </c>
      <c r="I1490" s="4">
        <v>6627.56593</v>
      </c>
      <c r="J1490" s="6">
        <v>12.4808451854641</v>
      </c>
      <c r="K1490" s="5">
        <v>0.0</v>
      </c>
      <c r="L1490" s="7">
        <v>1.56490999718033</v>
      </c>
      <c r="M1490" s="4">
        <v>87.77</v>
      </c>
      <c r="N1490" s="2">
        <v>57.38</v>
      </c>
    </row>
    <row r="1491">
      <c r="A1491" s="2" t="s">
        <v>1516</v>
      </c>
      <c r="B1491" s="3" t="str">
        <f>HYPERLINK("https://www.suredividend.com/sure-analysis-research-database/","Simpson Manufacturing Co., Inc.")</f>
        <v>Simpson Manufacturing Co., Inc.</v>
      </c>
      <c r="C1491" s="2" t="s">
        <v>17</v>
      </c>
      <c r="D1491" s="4">
        <v>183.75</v>
      </c>
      <c r="E1491" s="5">
        <v>0.005711642374034</v>
      </c>
      <c r="F1491" s="5">
        <v>0.0384615384615385</v>
      </c>
      <c r="G1491" s="5">
        <v>0.0418092681026442</v>
      </c>
      <c r="H1491" s="4">
        <v>1.06739172685963</v>
      </c>
      <c r="I1491" s="4">
        <v>7974.715476</v>
      </c>
      <c r="J1491" s="6">
        <v>22.3511611148232</v>
      </c>
      <c r="K1491" s="5">
        <v>0.127984619527534</v>
      </c>
      <c r="L1491" s="7">
        <v>1.27237942376453</v>
      </c>
      <c r="M1491" s="4">
        <v>201.86</v>
      </c>
      <c r="N1491" s="2">
        <v>100.07</v>
      </c>
    </row>
    <row r="1492">
      <c r="A1492" s="2" t="s">
        <v>1517</v>
      </c>
      <c r="B1492" s="3" t="str">
        <f>HYPERLINK("https://www.suredividend.com/sure-analysis-research-database/","E.W. Scripps Co.")</f>
        <v>E.W. Scripps Co.</v>
      </c>
      <c r="C1492" s="2" t="s">
        <v>114</v>
      </c>
      <c r="D1492" s="4">
        <v>7.36</v>
      </c>
      <c r="E1492" s="5">
        <v>0.0</v>
      </c>
      <c r="F1492" s="5" t="s">
        <v>15</v>
      </c>
      <c r="G1492" s="5" t="s">
        <v>15</v>
      </c>
      <c r="H1492" s="4">
        <v>0.0</v>
      </c>
      <c r="I1492" s="4">
        <v>633.836552</v>
      </c>
      <c r="J1492" s="6" t="s">
        <v>15</v>
      </c>
      <c r="K1492" s="5">
        <v>0.0</v>
      </c>
      <c r="L1492" s="7">
        <v>2.47472729327498</v>
      </c>
      <c r="M1492" s="4">
        <v>16.13</v>
      </c>
      <c r="N1492" s="2">
        <v>4.85</v>
      </c>
    </row>
    <row r="1493">
      <c r="A1493" s="2" t="s">
        <v>1518</v>
      </c>
      <c r="B1493" s="3" t="str">
        <f>HYPERLINK("https://www.suredividend.com/sure-analysis-research-database/","SoundThinking Inc")</f>
        <v>SoundThinking Inc</v>
      </c>
      <c r="C1493" s="2" t="s">
        <v>40</v>
      </c>
      <c r="D1493" s="4">
        <v>19.51</v>
      </c>
      <c r="E1493" s="5">
        <v>0.0</v>
      </c>
      <c r="F1493" s="5" t="s">
        <v>15</v>
      </c>
      <c r="G1493" s="5" t="s">
        <v>15</v>
      </c>
      <c r="H1493" s="4">
        <v>0.0</v>
      </c>
      <c r="I1493" s="4">
        <v>265.479089</v>
      </c>
      <c r="J1493" s="6" t="s">
        <v>15</v>
      </c>
      <c r="K1493" s="5">
        <v>0.0</v>
      </c>
      <c r="L1493" s="7">
        <v>1.14385652327743</v>
      </c>
      <c r="M1493" s="4">
        <v>39.46</v>
      </c>
      <c r="N1493" s="2">
        <v>14.39</v>
      </c>
    </row>
    <row r="1494">
      <c r="A1494" s="2" t="s">
        <v>1519</v>
      </c>
      <c r="B1494" s="3" t="str">
        <f>HYPERLINK("https://www.suredividend.com/sure-analysis-research-database/","Shutterstock Inc")</f>
        <v>Shutterstock Inc</v>
      </c>
      <c r="C1494" s="2" t="s">
        <v>114</v>
      </c>
      <c r="D1494" s="4">
        <v>44.45</v>
      </c>
      <c r="E1494" s="5">
        <v>0.022133889936619</v>
      </c>
      <c r="F1494" s="5" t="s">
        <v>15</v>
      </c>
      <c r="G1494" s="5" t="s">
        <v>15</v>
      </c>
      <c r="H1494" s="4">
        <v>1.07017357843556</v>
      </c>
      <c r="I1494" s="4">
        <v>1726.704548</v>
      </c>
      <c r="J1494" s="6">
        <v>14.5933904247766</v>
      </c>
      <c r="K1494" s="5">
        <v>0.32827410381459</v>
      </c>
      <c r="L1494" s="7">
        <v>1.66106904606828</v>
      </c>
      <c r="M1494" s="4">
        <v>79.48</v>
      </c>
      <c r="N1494" s="2">
        <v>33.6</v>
      </c>
    </row>
    <row r="1495">
      <c r="A1495" s="2" t="s">
        <v>1520</v>
      </c>
      <c r="B1495" s="3" t="str">
        <f>HYPERLINK("https://www.suredividend.com/sure-analysis-research-database/","Staar Surgical Co.")</f>
        <v>Staar Surgical Co.</v>
      </c>
      <c r="C1495" s="2" t="s">
        <v>30</v>
      </c>
      <c r="D1495" s="4">
        <v>27.67</v>
      </c>
      <c r="E1495" s="5">
        <v>0.0</v>
      </c>
      <c r="F1495" s="5" t="s">
        <v>15</v>
      </c>
      <c r="G1495" s="5" t="s">
        <v>15</v>
      </c>
      <c r="H1495" s="4">
        <v>0.0</v>
      </c>
      <c r="I1495" s="4">
        <v>1498.696421</v>
      </c>
      <c r="J1495" s="6">
        <v>77.0775777154906</v>
      </c>
      <c r="K1495" s="5">
        <v>0.0</v>
      </c>
      <c r="L1495" s="7">
        <v>1.92777485863846</v>
      </c>
      <c r="M1495" s="4">
        <v>81.81</v>
      </c>
      <c r="N1495" s="2">
        <v>27.0</v>
      </c>
    </row>
    <row r="1496">
      <c r="A1496" s="2" t="s">
        <v>1521</v>
      </c>
      <c r="B1496" s="3" t="str">
        <f>HYPERLINK("https://www.suredividend.com/sure-analysis-STAG/","STAG Industrial Inc")</f>
        <v>STAG Industrial Inc</v>
      </c>
      <c r="C1496" s="2" t="s">
        <v>20</v>
      </c>
      <c r="D1496" s="4">
        <v>36.93</v>
      </c>
      <c r="E1496" s="5">
        <v>0.0398050365556458</v>
      </c>
      <c r="F1496" s="5">
        <v>0.00679999999999991</v>
      </c>
      <c r="G1496" s="5">
        <v>0.00272374459584634</v>
      </c>
      <c r="H1496" s="4">
        <v>1.32023401477714</v>
      </c>
      <c r="I1496" s="4">
        <v>6908.173637</v>
      </c>
      <c r="J1496" s="6">
        <v>38.2321857165498</v>
      </c>
      <c r="K1496" s="5">
        <v>1.32023401477714</v>
      </c>
      <c r="L1496" s="7">
        <v>1.10438860421569</v>
      </c>
      <c r="M1496" s="4">
        <v>39.48</v>
      </c>
      <c r="N1496" s="2">
        <v>29.85</v>
      </c>
    </row>
    <row r="1497">
      <c r="A1497" s="2" t="s">
        <v>1522</v>
      </c>
      <c r="B1497" s="3" t="str">
        <f>HYPERLINK("https://www.suredividend.com/sure-analysis-research-database/","S &amp; T Bancorp, Inc.")</f>
        <v>S &amp; T Bancorp, Inc.</v>
      </c>
      <c r="C1497" s="2" t="s">
        <v>22</v>
      </c>
      <c r="D1497" s="4">
        <v>31.97</v>
      </c>
      <c r="E1497" s="5">
        <v>0.035118157046737</v>
      </c>
      <c r="F1497" s="5" t="s">
        <v>15</v>
      </c>
      <c r="G1497" s="5" t="s">
        <v>15</v>
      </c>
      <c r="H1497" s="4">
        <v>1.26460483525301</v>
      </c>
      <c r="I1497" s="4">
        <v>1376.83504</v>
      </c>
      <c r="J1497" s="6">
        <v>9.31590619355318</v>
      </c>
      <c r="K1497" s="5">
        <v>0.331048386191888</v>
      </c>
      <c r="L1497" s="7">
        <v>1.30860665016922</v>
      </c>
      <c r="M1497" s="4">
        <v>36.68</v>
      </c>
      <c r="N1497" s="2">
        <v>23.79</v>
      </c>
    </row>
    <row r="1498">
      <c r="A1498" s="2" t="s">
        <v>1523</v>
      </c>
      <c r="B1498" s="3" t="str">
        <f>HYPERLINK("https://www.suredividend.com/sure-analysis-research-database/","Stewart Information Services Corp.")</f>
        <v>Stewart Information Services Corp.</v>
      </c>
      <c r="C1498" s="2" t="s">
        <v>22</v>
      </c>
      <c r="D1498" s="4">
        <v>61.37</v>
      </c>
      <c r="E1498" s="5">
        <v>0.028728415415325</v>
      </c>
      <c r="F1498" s="5">
        <v>0.0555555555555555</v>
      </c>
      <c r="G1498" s="5">
        <v>0.0962622793529541</v>
      </c>
      <c r="H1498" s="4">
        <v>1.82425437887317</v>
      </c>
      <c r="I1498" s="4">
        <v>1737.502812</v>
      </c>
      <c r="J1498" s="6">
        <v>49.731032443185</v>
      </c>
      <c r="K1498" s="5">
        <v>1.42519873349467</v>
      </c>
      <c r="L1498" s="7">
        <v>0.896002587374094</v>
      </c>
      <c r="M1498" s="4">
        <v>63.51</v>
      </c>
      <c r="N1498" s="2">
        <v>34.89</v>
      </c>
    </row>
    <row r="1499">
      <c r="A1499" s="2" t="s">
        <v>1524</v>
      </c>
      <c r="B1499" s="3" t="str">
        <f>HYPERLINK("https://www.suredividend.com/sure-analysis-research-database/","Stellar Bancorp Inc")</f>
        <v>Stellar Bancorp Inc</v>
      </c>
      <c r="C1499" s="2" t="s">
        <v>15</v>
      </c>
      <c r="D1499" s="4">
        <v>24.26</v>
      </c>
      <c r="E1499" s="5">
        <v>0.014439648913871</v>
      </c>
      <c r="F1499" s="5" t="s">
        <v>15</v>
      </c>
      <c r="G1499" s="5" t="s">
        <v>15</v>
      </c>
      <c r="H1499" s="4">
        <v>0.387993366315724</v>
      </c>
      <c r="I1499" s="4">
        <v>1431.155663</v>
      </c>
      <c r="J1499" s="6">
        <v>11.9647839158459</v>
      </c>
      <c r="K1499" s="5">
        <v>0.183883111997973</v>
      </c>
      <c r="L1499" s="7">
        <v>1.31280548484983</v>
      </c>
      <c r="M1499" s="4">
        <v>29.08</v>
      </c>
      <c r="N1499" s="2">
        <v>19.82</v>
      </c>
    </row>
    <row r="1500">
      <c r="A1500" s="2" t="s">
        <v>1525</v>
      </c>
      <c r="B1500" s="3" t="str">
        <f>HYPERLINK("https://www.suredividend.com/sure-analysis-research-database/","Stem Inc")</f>
        <v>Stem Inc</v>
      </c>
      <c r="C1500" s="2" t="s">
        <v>15</v>
      </c>
      <c r="D1500" s="4">
        <v>2.8</v>
      </c>
      <c r="E1500" s="5">
        <v>0.0</v>
      </c>
      <c r="F1500" s="5" t="s">
        <v>15</v>
      </c>
      <c r="G1500" s="5" t="s">
        <v>15</v>
      </c>
      <c r="H1500" s="4">
        <v>0.0</v>
      </c>
      <c r="I1500" s="4">
        <v>523.809354</v>
      </c>
      <c r="J1500" s="6" t="s">
        <v>15</v>
      </c>
      <c r="K1500" s="5">
        <v>0.0</v>
      </c>
      <c r="L1500" s="7">
        <v>2.87154225056322</v>
      </c>
      <c r="M1500" s="4">
        <v>11.36</v>
      </c>
      <c r="N1500" s="2">
        <v>2.33</v>
      </c>
    </row>
    <row r="1501">
      <c r="A1501" s="2" t="s">
        <v>1526</v>
      </c>
      <c r="B1501" s="3" t="str">
        <f>HYPERLINK("https://www.suredividend.com/sure-analysis-research-database/","StepStone Group Inc")</f>
        <v>StepStone Group Inc</v>
      </c>
      <c r="C1501" s="2" t="s">
        <v>15</v>
      </c>
      <c r="D1501" s="4">
        <v>33.25</v>
      </c>
      <c r="E1501" s="5">
        <v>0.023329733683649</v>
      </c>
      <c r="F1501" s="5" t="s">
        <v>15</v>
      </c>
      <c r="G1501" s="5" t="s">
        <v>15</v>
      </c>
      <c r="H1501" s="4">
        <v>0.801376352033347</v>
      </c>
      <c r="I1501" s="4">
        <v>2200.768501</v>
      </c>
      <c r="J1501" s="6">
        <v>31.7310221203339</v>
      </c>
      <c r="K1501" s="5">
        <v>0.742015140771617</v>
      </c>
      <c r="L1501" s="7">
        <v>1.3447576731122</v>
      </c>
      <c r="M1501" s="4">
        <v>34.48</v>
      </c>
      <c r="N1501" s="2">
        <v>18.93</v>
      </c>
    </row>
    <row r="1502">
      <c r="A1502" s="2" t="s">
        <v>1527</v>
      </c>
      <c r="B1502" s="3" t="str">
        <f>HYPERLINK("https://www.suredividend.com/sure-analysis-research-database/","Sterling Check Corp")</f>
        <v>Sterling Check Corp</v>
      </c>
      <c r="C1502" s="2" t="s">
        <v>15</v>
      </c>
      <c r="D1502" s="4">
        <v>13.39</v>
      </c>
      <c r="E1502" s="5">
        <v>0.0</v>
      </c>
      <c r="F1502" s="5" t="s">
        <v>15</v>
      </c>
      <c r="G1502" s="5" t="s">
        <v>15</v>
      </c>
      <c r="H1502" s="4">
        <v>0.0</v>
      </c>
      <c r="I1502" s="4">
        <v>1321.877172</v>
      </c>
      <c r="J1502" s="6">
        <v>0.0</v>
      </c>
      <c r="K1502" s="5" t="s">
        <v>15</v>
      </c>
      <c r="L1502" s="7">
        <v>1.31449159460952</v>
      </c>
      <c r="M1502" s="4">
        <v>15.26</v>
      </c>
      <c r="N1502" s="2">
        <v>10.0</v>
      </c>
    </row>
    <row r="1503">
      <c r="A1503" s="2" t="s">
        <v>1528</v>
      </c>
      <c r="B1503" s="3" t="str">
        <f>HYPERLINK("https://www.suredividend.com/sure-analysis-research-database/","Stagwell Inc")</f>
        <v>Stagwell Inc</v>
      </c>
      <c r="C1503" s="2" t="s">
        <v>15</v>
      </c>
      <c r="D1503" s="4">
        <v>6.41</v>
      </c>
      <c r="E1503" s="5">
        <v>0.0</v>
      </c>
      <c r="F1503" s="5" t="s">
        <v>15</v>
      </c>
      <c r="G1503" s="5" t="s">
        <v>15</v>
      </c>
      <c r="H1503" s="4">
        <v>0.0</v>
      </c>
      <c r="I1503" s="4">
        <v>820.313424</v>
      </c>
      <c r="J1503" s="6" t="s">
        <v>15</v>
      </c>
      <c r="K1503" s="5">
        <v>0.0</v>
      </c>
      <c r="L1503" s="7">
        <v>1.90601583071511</v>
      </c>
      <c r="M1503" s="4">
        <v>9.23</v>
      </c>
      <c r="N1503" s="2">
        <v>3.83</v>
      </c>
    </row>
    <row r="1504">
      <c r="A1504" s="2" t="s">
        <v>1529</v>
      </c>
      <c r="B1504" s="3" t="str">
        <f>HYPERLINK("https://www.suredividend.com/sure-analysis-research-database/","Star Holdings")</f>
        <v>Star Holdings</v>
      </c>
      <c r="C1504" s="2" t="s">
        <v>15</v>
      </c>
      <c r="D1504" s="4">
        <v>11.86</v>
      </c>
      <c r="E1504" s="5">
        <v>0.0</v>
      </c>
      <c r="F1504" s="5" t="s">
        <v>15</v>
      </c>
      <c r="G1504" s="5" t="s">
        <v>15</v>
      </c>
      <c r="H1504" s="4">
        <v>0.0</v>
      </c>
      <c r="I1504" s="4">
        <v>167.69316</v>
      </c>
      <c r="J1504" s="6">
        <v>0.0</v>
      </c>
      <c r="K1504" s="5" t="s">
        <v>15</v>
      </c>
      <c r="L1504" s="7">
        <v>1.36466580358934</v>
      </c>
      <c r="M1504" s="4">
        <v>19.58</v>
      </c>
      <c r="N1504" s="2">
        <v>10.76</v>
      </c>
    </row>
    <row r="1505">
      <c r="A1505" s="2" t="s">
        <v>1530</v>
      </c>
      <c r="B1505" s="3" t="str">
        <f>HYPERLINK("https://www.suredividend.com/sure-analysis-research-database/","Sunopta, Inc.")</f>
        <v>Sunopta, Inc.</v>
      </c>
      <c r="C1505" s="2" t="s">
        <v>89</v>
      </c>
      <c r="D1505" s="4">
        <v>6.12</v>
      </c>
      <c r="E1505" s="5">
        <v>0.0</v>
      </c>
      <c r="F1505" s="5" t="s">
        <v>15</v>
      </c>
      <c r="G1505" s="5" t="s">
        <v>15</v>
      </c>
      <c r="H1505" s="4">
        <v>0.0</v>
      </c>
      <c r="I1505" s="4">
        <v>713.031261</v>
      </c>
      <c r="J1505" s="6" t="s">
        <v>15</v>
      </c>
      <c r="K1505" s="5">
        <v>0.0</v>
      </c>
      <c r="L1505" s="7">
        <v>1.07227458595557</v>
      </c>
      <c r="M1505" s="4">
        <v>8.76</v>
      </c>
      <c r="N1505" s="2">
        <v>2.79</v>
      </c>
    </row>
    <row r="1506">
      <c r="A1506" s="2" t="s">
        <v>1531</v>
      </c>
      <c r="B1506" s="3" t="str">
        <f>HYPERLINK("https://www.suredividend.com/sure-analysis-research-database/","ONE Group Hospitality Inc")</f>
        <v>ONE Group Hospitality Inc</v>
      </c>
      <c r="C1506" s="2" t="s">
        <v>25</v>
      </c>
      <c r="D1506" s="4">
        <v>3.94</v>
      </c>
      <c r="E1506" s="5">
        <v>0.0</v>
      </c>
      <c r="F1506" s="5" t="s">
        <v>15</v>
      </c>
      <c r="G1506" s="5" t="s">
        <v>15</v>
      </c>
      <c r="H1506" s="4">
        <v>0.0</v>
      </c>
      <c r="I1506" s="4">
        <v>144.170111</v>
      </c>
      <c r="J1506" s="6">
        <v>0.0</v>
      </c>
      <c r="K1506" s="5" t="s">
        <v>15</v>
      </c>
      <c r="L1506" s="7">
        <v>1.25289924926487</v>
      </c>
      <c r="M1506" s="4">
        <v>9.4</v>
      </c>
      <c r="N1506" s="2">
        <v>3.94</v>
      </c>
    </row>
    <row r="1507">
      <c r="A1507" s="2" t="s">
        <v>1532</v>
      </c>
      <c r="B1507" s="3" t="str">
        <f>HYPERLINK("https://www.suredividend.com/sure-analysis-research-database/","StoneCo Ltd")</f>
        <v>StoneCo Ltd</v>
      </c>
      <c r="C1507" s="2" t="s">
        <v>40</v>
      </c>
      <c r="D1507" s="4">
        <v>17.62</v>
      </c>
      <c r="E1507" s="5">
        <v>0.0</v>
      </c>
      <c r="F1507" s="5" t="s">
        <v>15</v>
      </c>
      <c r="G1507" s="5" t="s">
        <v>15</v>
      </c>
      <c r="H1507" s="4">
        <v>0.0</v>
      </c>
      <c r="I1507" s="4">
        <v>5384.084164</v>
      </c>
      <c r="J1507" s="6">
        <v>25.3341014606646</v>
      </c>
      <c r="K1507" s="5">
        <v>0.0</v>
      </c>
      <c r="L1507" s="7">
        <v>1.83141771998917</v>
      </c>
      <c r="M1507" s="4">
        <v>18.87</v>
      </c>
      <c r="N1507" s="2">
        <v>8.09</v>
      </c>
    </row>
    <row r="1508">
      <c r="A1508" s="2" t="s">
        <v>1533</v>
      </c>
      <c r="B1508" s="3" t="str">
        <f>HYPERLINK("https://www.suredividend.com/sure-analysis-research-database/","Scorpio Tankers Inc")</f>
        <v>Scorpio Tankers Inc</v>
      </c>
      <c r="C1508" s="2" t="s">
        <v>125</v>
      </c>
      <c r="D1508" s="4">
        <v>66.43</v>
      </c>
      <c r="E1508" s="5">
        <v>0.014730992436161</v>
      </c>
      <c r="F1508" s="5">
        <v>2.5</v>
      </c>
      <c r="G1508" s="5">
        <v>0.284735157123439</v>
      </c>
      <c r="H1508" s="4">
        <v>1.0422177148584</v>
      </c>
      <c r="I1508" s="4">
        <v>3925.374211</v>
      </c>
      <c r="J1508" s="6">
        <v>0.0</v>
      </c>
      <c r="K1508" s="5" t="s">
        <v>15</v>
      </c>
      <c r="L1508" s="7">
        <v>0.596141650437622</v>
      </c>
      <c r="M1508" s="4">
        <v>72.75</v>
      </c>
      <c r="N1508" s="2">
        <v>39.88</v>
      </c>
    </row>
    <row r="1509">
      <c r="A1509" s="2" t="s">
        <v>1534</v>
      </c>
      <c r="B1509" s="3" t="str">
        <f>HYPERLINK("https://www.suredividend.com/sure-analysis-research-database/","Stoke Therapeutics Inc")</f>
        <v>Stoke Therapeutics Inc</v>
      </c>
      <c r="C1509" s="2" t="s">
        <v>30</v>
      </c>
      <c r="D1509" s="4">
        <v>4.46</v>
      </c>
      <c r="E1509" s="5">
        <v>0.0</v>
      </c>
      <c r="F1509" s="5" t="s">
        <v>15</v>
      </c>
      <c r="G1509" s="5" t="s">
        <v>15</v>
      </c>
      <c r="H1509" s="4">
        <v>0.0</v>
      </c>
      <c r="I1509" s="4">
        <v>234.878893</v>
      </c>
      <c r="J1509" s="6" t="s">
        <v>15</v>
      </c>
      <c r="K1509" s="5">
        <v>0.0</v>
      </c>
      <c r="L1509" s="7">
        <v>1.56583752821578</v>
      </c>
      <c r="M1509" s="4">
        <v>14.0</v>
      </c>
      <c r="N1509" s="2">
        <v>3.35</v>
      </c>
    </row>
    <row r="1510">
      <c r="A1510" s="2" t="s">
        <v>1535</v>
      </c>
      <c r="B1510" s="3" t="str">
        <f>HYPERLINK("https://www.suredividend.com/sure-analysis-research-database/","Sitio Royalties Corp")</f>
        <v>Sitio Royalties Corp</v>
      </c>
      <c r="C1510" s="2" t="s">
        <v>15</v>
      </c>
      <c r="D1510" s="4">
        <v>20.03</v>
      </c>
      <c r="E1510" s="5">
        <v>0.087788011834227</v>
      </c>
      <c r="F1510" s="5" t="s">
        <v>15</v>
      </c>
      <c r="G1510" s="5" t="s">
        <v>15</v>
      </c>
      <c r="H1510" s="4">
        <v>1.92870261999797</v>
      </c>
      <c r="I1510" s="4">
        <v>3453.19609</v>
      </c>
      <c r="J1510" s="6">
        <v>0.0</v>
      </c>
      <c r="K1510" s="5" t="s">
        <v>15</v>
      </c>
      <c r="L1510" s="7">
        <v>1.07318246610736</v>
      </c>
      <c r="M1510" s="4">
        <v>26.57</v>
      </c>
      <c r="N1510" s="2">
        <v>18.09</v>
      </c>
    </row>
    <row r="1511">
      <c r="A1511" s="2" t="s">
        <v>1536</v>
      </c>
      <c r="B1511" s="3" t="str">
        <f>HYPERLINK("https://www.suredividend.com/sure-analysis-research-database/","Strategic Education Inc")</f>
        <v>Strategic Education Inc</v>
      </c>
      <c r="C1511" s="2" t="s">
        <v>89</v>
      </c>
      <c r="D1511" s="4">
        <v>95.02</v>
      </c>
      <c r="E1511" s="5">
        <v>0.024321305655184</v>
      </c>
      <c r="F1511" s="5">
        <v>0.0</v>
      </c>
      <c r="G1511" s="5">
        <v>0.0371372893366481</v>
      </c>
      <c r="H1511" s="4">
        <v>2.34919491323424</v>
      </c>
      <c r="I1511" s="4">
        <v>2358.326469</v>
      </c>
      <c r="J1511" s="6">
        <v>48.1379532679471</v>
      </c>
      <c r="K1511" s="5">
        <v>1.14038588021079</v>
      </c>
      <c r="L1511" s="7">
        <v>0.483075759536403</v>
      </c>
      <c r="M1511" s="4">
        <v>97.24</v>
      </c>
      <c r="N1511" s="2">
        <v>62.7</v>
      </c>
    </row>
    <row r="1512">
      <c r="A1512" s="2" t="s">
        <v>1537</v>
      </c>
      <c r="B1512" s="3" t="str">
        <f>HYPERLINK("https://www.suredividend.com/sure-analysis-research-database/","Sarcos Technology and Robotics Corporation")</f>
        <v>Sarcos Technology and Robotics Corporation</v>
      </c>
      <c r="C1512" s="2" t="s">
        <v>15</v>
      </c>
      <c r="D1512" s="4">
        <v>0.4747</v>
      </c>
      <c r="E1512" s="5">
        <v>0.0</v>
      </c>
      <c r="F1512" s="5" t="s">
        <v>15</v>
      </c>
      <c r="G1512" s="5" t="s">
        <v>15</v>
      </c>
      <c r="H1512" s="4">
        <v>0.0</v>
      </c>
      <c r="I1512" s="4">
        <v>14.504</v>
      </c>
      <c r="J1512" s="6" t="s">
        <v>15</v>
      </c>
      <c r="K1512" s="5">
        <v>0.0</v>
      </c>
      <c r="L1512" s="7">
        <v>1.0642244884202</v>
      </c>
      <c r="M1512" s="4">
        <v>4.76</v>
      </c>
      <c r="N1512" s="2">
        <v>0.3982</v>
      </c>
    </row>
    <row r="1513">
      <c r="A1513" s="2" t="s">
        <v>1538</v>
      </c>
      <c r="B1513" s="3" t="str">
        <f>HYPERLINK("https://www.suredividend.com/sure-analysis-research-database/","Sterling Infrastructure Inc")</f>
        <v>Sterling Infrastructure Inc</v>
      </c>
      <c r="C1513" s="2" t="s">
        <v>17</v>
      </c>
      <c r="D1513" s="4">
        <v>76.12</v>
      </c>
      <c r="E1513" s="5">
        <v>0.0</v>
      </c>
      <c r="F1513" s="5" t="s">
        <v>15</v>
      </c>
      <c r="G1513" s="5" t="s">
        <v>15</v>
      </c>
      <c r="H1513" s="4">
        <v>0.0</v>
      </c>
      <c r="I1513" s="4">
        <v>2375.467085</v>
      </c>
      <c r="J1513" s="6">
        <v>18.2437740306588</v>
      </c>
      <c r="K1513" s="5">
        <v>0.0</v>
      </c>
      <c r="L1513" s="7">
        <v>1.00064366033062</v>
      </c>
      <c r="M1513" s="4">
        <v>89.8</v>
      </c>
      <c r="N1513" s="2">
        <v>34.23</v>
      </c>
    </row>
    <row r="1514">
      <c r="A1514" s="2" t="s">
        <v>1539</v>
      </c>
      <c r="B1514" s="3" t="str">
        <f>HYPERLINK("https://www.suredividend.com/sure-analysis-research-database/","Sutro Biopharma Inc")</f>
        <v>Sutro Biopharma Inc</v>
      </c>
      <c r="C1514" s="2" t="s">
        <v>30</v>
      </c>
      <c r="D1514" s="4">
        <v>4.48</v>
      </c>
      <c r="E1514" s="5">
        <v>0.0</v>
      </c>
      <c r="F1514" s="5" t="s">
        <v>15</v>
      </c>
      <c r="G1514" s="5" t="s">
        <v>15</v>
      </c>
      <c r="H1514" s="4">
        <v>0.0</v>
      </c>
      <c r="I1514" s="4">
        <v>304.156488</v>
      </c>
      <c r="J1514" s="6" t="s">
        <v>15</v>
      </c>
      <c r="K1514" s="5">
        <v>0.0</v>
      </c>
      <c r="L1514" s="7">
        <v>1.23908442636569</v>
      </c>
      <c r="M1514" s="4">
        <v>7.41</v>
      </c>
      <c r="N1514" s="2">
        <v>2.01</v>
      </c>
    </row>
    <row r="1515">
      <c r="A1515" s="2" t="s">
        <v>1540</v>
      </c>
      <c r="B1515" s="3" t="str">
        <f>HYPERLINK("https://www.suredividend.com/sure-analysis-research-database/","Stratus Properties Inc.")</f>
        <v>Stratus Properties Inc.</v>
      </c>
      <c r="C1515" s="2" t="s">
        <v>20</v>
      </c>
      <c r="D1515" s="4">
        <v>22.35</v>
      </c>
      <c r="E1515" s="5">
        <v>0.0</v>
      </c>
      <c r="F1515" s="5" t="s">
        <v>15</v>
      </c>
      <c r="G1515" s="5" t="s">
        <v>15</v>
      </c>
      <c r="H1515" s="4">
        <v>0.0</v>
      </c>
      <c r="I1515" s="4">
        <v>189.276177</v>
      </c>
      <c r="J1515" s="6">
        <v>0.0</v>
      </c>
      <c r="K1515" s="5" t="s">
        <v>15</v>
      </c>
      <c r="L1515" s="7">
        <v>0.723202444621451</v>
      </c>
      <c r="M1515" s="4">
        <v>29.99</v>
      </c>
      <c r="N1515" s="2">
        <v>18.55</v>
      </c>
    </row>
    <row r="1516">
      <c r="A1516" s="2" t="s">
        <v>1541</v>
      </c>
      <c r="B1516" s="3" t="str">
        <f>HYPERLINK("https://www.suredividend.com/sure-analysis-research-database/","Summit Materials Inc")</f>
        <v>Summit Materials Inc</v>
      </c>
      <c r="C1516" s="2" t="s">
        <v>130</v>
      </c>
      <c r="D1516" s="4">
        <v>36.48</v>
      </c>
      <c r="E1516" s="5">
        <v>0.0</v>
      </c>
      <c r="F1516" s="5" t="s">
        <v>15</v>
      </c>
      <c r="G1516" s="5" t="s">
        <v>15</v>
      </c>
      <c r="H1516" s="4">
        <v>0.0</v>
      </c>
      <c r="I1516" s="4">
        <v>4465.436742</v>
      </c>
      <c r="J1516" s="6">
        <v>14.2796645552311</v>
      </c>
      <c r="K1516" s="5">
        <v>0.0</v>
      </c>
      <c r="L1516" s="7">
        <v>1.27289895906023</v>
      </c>
      <c r="M1516" s="4">
        <v>39.56</v>
      </c>
      <c r="N1516" s="2">
        <v>25.43</v>
      </c>
    </row>
    <row r="1517">
      <c r="A1517" s="2" t="s">
        <v>1542</v>
      </c>
      <c r="B1517" s="3" t="str">
        <f>HYPERLINK("https://www.suredividend.com/sure-analysis-research-database/","Sunlight Financial Holdings Inc")</f>
        <v>Sunlight Financial Holdings Inc</v>
      </c>
      <c r="C1517" s="2" t="s">
        <v>15</v>
      </c>
      <c r="D1517" s="4">
        <v>1.25</v>
      </c>
      <c r="E1517" s="5">
        <v>0.0</v>
      </c>
      <c r="F1517" s="5" t="s">
        <v>15</v>
      </c>
      <c r="G1517" s="5" t="s">
        <v>15</v>
      </c>
      <c r="H1517" s="4">
        <v>0.0</v>
      </c>
      <c r="I1517" s="4">
        <v>0.0</v>
      </c>
      <c r="J1517" s="6">
        <v>0.0</v>
      </c>
      <c r="K1517" s="5" t="s">
        <v>15</v>
      </c>
      <c r="L1517" s="7"/>
      <c r="M1517" s="4" t="s">
        <v>49</v>
      </c>
      <c r="N1517" s="2" t="s">
        <v>49</v>
      </c>
    </row>
    <row r="1518">
      <c r="A1518" s="2" t="s">
        <v>1543</v>
      </c>
      <c r="B1518" s="3" t="str">
        <f>HYPERLINK("https://www.suredividend.com/sure-analysis-research-database/","Supernus Pharmaceuticals Inc")</f>
        <v>Supernus Pharmaceuticals Inc</v>
      </c>
      <c r="C1518" s="2" t="s">
        <v>30</v>
      </c>
      <c r="D1518" s="4">
        <v>27.31</v>
      </c>
      <c r="E1518" s="5">
        <v>0.0</v>
      </c>
      <c r="F1518" s="5" t="s">
        <v>15</v>
      </c>
      <c r="G1518" s="5" t="s">
        <v>15</v>
      </c>
      <c r="H1518" s="4">
        <v>0.0</v>
      </c>
      <c r="I1518" s="4">
        <v>1588.176862</v>
      </c>
      <c r="J1518" s="6">
        <v>61.9848904180001</v>
      </c>
      <c r="K1518" s="5">
        <v>0.0</v>
      </c>
      <c r="L1518" s="7">
        <v>0.741704877146778</v>
      </c>
      <c r="M1518" s="4">
        <v>42.09</v>
      </c>
      <c r="N1518" s="2">
        <v>21.99</v>
      </c>
    </row>
    <row r="1519">
      <c r="A1519" s="2" t="s">
        <v>1544</v>
      </c>
      <c r="B1519" s="3" t="str">
        <f>HYPERLINK("https://www.suredividend.com/sure-analysis-research-database/","Service Properties Trust")</f>
        <v>Service Properties Trust</v>
      </c>
      <c r="C1519" s="2" t="s">
        <v>20</v>
      </c>
      <c r="D1519" s="4">
        <v>7.56</v>
      </c>
      <c r="E1519" s="5">
        <v>0.095481862722736</v>
      </c>
      <c r="F1519" s="5">
        <v>0.0</v>
      </c>
      <c r="G1519" s="5">
        <v>-0.180163504716878</v>
      </c>
      <c r="H1519" s="4">
        <v>0.760035627272983</v>
      </c>
      <c r="I1519" s="4">
        <v>1319.53111</v>
      </c>
      <c r="J1519" s="6" t="s">
        <v>15</v>
      </c>
      <c r="K1519" s="5" t="s">
        <v>15</v>
      </c>
      <c r="L1519" s="7">
        <v>1.22548142085811</v>
      </c>
      <c r="M1519" s="4">
        <v>9.99</v>
      </c>
      <c r="N1519" s="2">
        <v>6.56</v>
      </c>
    </row>
    <row r="1520">
      <c r="A1520" s="2" t="s">
        <v>1545</v>
      </c>
      <c r="B1520" s="3" t="str">
        <f>HYPERLINK("https://www.suredividend.com/sure-analysis-research-database/","ShockWave Medical Inc")</f>
        <v>ShockWave Medical Inc</v>
      </c>
      <c r="C1520" s="2" t="s">
        <v>30</v>
      </c>
      <c r="D1520" s="4">
        <v>231.15</v>
      </c>
      <c r="E1520" s="5">
        <v>0.0</v>
      </c>
      <c r="F1520" s="5" t="s">
        <v>15</v>
      </c>
      <c r="G1520" s="5" t="s">
        <v>15</v>
      </c>
      <c r="H1520" s="4">
        <v>0.0</v>
      </c>
      <c r="I1520" s="4">
        <v>8406.55552</v>
      </c>
      <c r="J1520" s="6">
        <v>34.4694835249544</v>
      </c>
      <c r="K1520" s="5">
        <v>0.0</v>
      </c>
      <c r="L1520" s="7">
        <v>1.320589475248</v>
      </c>
      <c r="M1520" s="4">
        <v>315.95</v>
      </c>
      <c r="N1520" s="2">
        <v>157.0</v>
      </c>
    </row>
    <row r="1521">
      <c r="A1521" s="2" t="s">
        <v>1546</v>
      </c>
      <c r="B1521" s="3" t="str">
        <f>HYPERLINK("https://www.suredividend.com/sure-analysis-research-database/","Smith &amp; Wesson Brands Inc")</f>
        <v>Smith &amp; Wesson Brands Inc</v>
      </c>
      <c r="C1521" s="2" t="s">
        <v>15</v>
      </c>
      <c r="D1521" s="4">
        <v>12.98</v>
      </c>
      <c r="E1521" s="5">
        <v>0.033509880199565</v>
      </c>
      <c r="F1521" s="5" t="s">
        <v>15</v>
      </c>
      <c r="G1521" s="5" t="s">
        <v>15</v>
      </c>
      <c r="H1521" s="4">
        <v>0.450037691080165</v>
      </c>
      <c r="I1521" s="4">
        <v>612.936484</v>
      </c>
      <c r="J1521" s="6">
        <v>20.7549940379926</v>
      </c>
      <c r="K1521" s="5">
        <v>0.706273840364351</v>
      </c>
      <c r="L1521" s="7">
        <v>0.340388848581823</v>
      </c>
      <c r="M1521" s="4">
        <v>14.6</v>
      </c>
      <c r="N1521" s="2">
        <v>9.78</v>
      </c>
    </row>
    <row r="1522">
      <c r="A1522" s="2" t="s">
        <v>1547</v>
      </c>
      <c r="B1522" s="3" t="str">
        <f>HYPERLINK("https://www.suredividend.com/sure-analysis-research-database/","SolarWinds Corp")</f>
        <v>SolarWinds Corp</v>
      </c>
      <c r="C1522" s="2" t="s">
        <v>40</v>
      </c>
      <c r="D1522" s="4">
        <v>12.11</v>
      </c>
      <c r="E1522" s="5">
        <v>0.0</v>
      </c>
      <c r="F1522" s="5" t="s">
        <v>15</v>
      </c>
      <c r="G1522" s="5" t="s">
        <v>15</v>
      </c>
      <c r="H1522" s="4">
        <v>0.0</v>
      </c>
      <c r="I1522" s="4">
        <v>2064.77772</v>
      </c>
      <c r="J1522" s="6" t="s">
        <v>15</v>
      </c>
      <c r="K1522" s="5">
        <v>0.0</v>
      </c>
      <c r="L1522" s="7">
        <v>1.43638144437302</v>
      </c>
      <c r="M1522" s="4">
        <v>12.55</v>
      </c>
      <c r="N1522" s="2">
        <v>8.07</v>
      </c>
    </row>
    <row r="1523">
      <c r="A1523" s="2" t="s">
        <v>1548</v>
      </c>
      <c r="B1523" s="3" t="str">
        <f>HYPERLINK("https://www.suredividend.com/sure-analysis-research-database/","Latham Group Inc")</f>
        <v>Latham Group Inc</v>
      </c>
      <c r="C1523" s="2" t="s">
        <v>15</v>
      </c>
      <c r="D1523" s="4">
        <v>2.32</v>
      </c>
      <c r="E1523" s="5">
        <v>0.0</v>
      </c>
      <c r="F1523" s="5" t="s">
        <v>15</v>
      </c>
      <c r="G1523" s="5" t="s">
        <v>15</v>
      </c>
      <c r="H1523" s="4">
        <v>0.0</v>
      </c>
      <c r="I1523" s="4">
        <v>315.578849</v>
      </c>
      <c r="J1523" s="6" t="s">
        <v>15</v>
      </c>
      <c r="K1523" s="5">
        <v>0.0</v>
      </c>
      <c r="L1523" s="7">
        <v>2.75247839594636</v>
      </c>
      <c r="M1523" s="4">
        <v>4.77</v>
      </c>
      <c r="N1523" s="2">
        <v>2.04</v>
      </c>
    </row>
    <row r="1524">
      <c r="A1524" s="2" t="s">
        <v>1549</v>
      </c>
      <c r="B1524" s="3" t="str">
        <f>HYPERLINK("https://www.suredividend.com/sure-analysis-research-database/","Swk Holdings Corp")</f>
        <v>Swk Holdings Corp</v>
      </c>
      <c r="C1524" s="2" t="s">
        <v>22</v>
      </c>
      <c r="D1524" s="4">
        <v>16.66</v>
      </c>
      <c r="E1524" s="5">
        <v>0.0</v>
      </c>
      <c r="F1524" s="5" t="s">
        <v>15</v>
      </c>
      <c r="G1524" s="5" t="s">
        <v>15</v>
      </c>
      <c r="H1524" s="4">
        <v>0.0</v>
      </c>
      <c r="I1524" s="4">
        <v>218.804478</v>
      </c>
      <c r="J1524" s="6">
        <v>13.7829592125984</v>
      </c>
      <c r="K1524" s="5">
        <v>0.0</v>
      </c>
      <c r="L1524" s="7">
        <v>0.394688855822603</v>
      </c>
      <c r="M1524" s="4">
        <v>19.49</v>
      </c>
      <c r="N1524" s="2">
        <v>15.26</v>
      </c>
    </row>
    <row r="1525">
      <c r="A1525" s="2" t="s">
        <v>1550</v>
      </c>
      <c r="B1525" s="3" t="str">
        <f>HYPERLINK("https://www.suredividend.com/sure-analysis-research-database/","SpringWorks Therapeutics Inc")</f>
        <v>SpringWorks Therapeutics Inc</v>
      </c>
      <c r="C1525" s="2" t="s">
        <v>30</v>
      </c>
      <c r="D1525" s="4">
        <v>48.08</v>
      </c>
      <c r="E1525" s="5">
        <v>0.0</v>
      </c>
      <c r="F1525" s="5" t="s">
        <v>15</v>
      </c>
      <c r="G1525" s="5" t="s">
        <v>15</v>
      </c>
      <c r="H1525" s="4">
        <v>0.0</v>
      </c>
      <c r="I1525" s="4">
        <v>2791.017914</v>
      </c>
      <c r="J1525" s="6">
        <v>0.0</v>
      </c>
      <c r="K1525" s="5" t="s">
        <v>15</v>
      </c>
      <c r="L1525" s="7">
        <v>1.32865788349379</v>
      </c>
      <c r="M1525" s="4">
        <v>44.71</v>
      </c>
      <c r="N1525" s="2">
        <v>18.0</v>
      </c>
    </row>
    <row r="1526">
      <c r="A1526" s="2" t="s">
        <v>1551</v>
      </c>
      <c r="B1526" s="3" t="str">
        <f>HYPERLINK("https://www.suredividend.com/sure-analysis-SWX/","Southwest Gas Holdings Inc")</f>
        <v>Southwest Gas Holdings Inc</v>
      </c>
      <c r="C1526" s="2" t="s">
        <v>91</v>
      </c>
      <c r="D1526" s="4">
        <v>58.56</v>
      </c>
      <c r="E1526" s="5">
        <v>0.0423497267759562</v>
      </c>
      <c r="F1526" s="5">
        <v>0.0</v>
      </c>
      <c r="G1526" s="5">
        <v>0.0358042035802141</v>
      </c>
      <c r="H1526" s="4">
        <v>2.44204775753116</v>
      </c>
      <c r="I1526" s="4">
        <v>4303.299734</v>
      </c>
      <c r="J1526" s="6" t="s">
        <v>15</v>
      </c>
      <c r="K1526" s="5" t="s">
        <v>15</v>
      </c>
      <c r="L1526" s="7">
        <v>0.78611971317538</v>
      </c>
      <c r="M1526" s="4">
        <v>66.67</v>
      </c>
      <c r="N1526" s="2">
        <v>52.14</v>
      </c>
    </row>
    <row r="1527">
      <c r="A1527" s="2" t="s">
        <v>1552</v>
      </c>
      <c r="B1527" s="3" t="str">
        <f>HYPERLINK("https://www.suredividend.com/sure-analysis-research-database/","SunCoke Energy Inc")</f>
        <v>SunCoke Energy Inc</v>
      </c>
      <c r="C1527" s="2" t="s">
        <v>130</v>
      </c>
      <c r="D1527" s="4">
        <v>10.97</v>
      </c>
      <c r="E1527" s="5">
        <v>0.034277654962289</v>
      </c>
      <c r="F1527" s="5" t="s">
        <v>15</v>
      </c>
      <c r="G1527" s="5" t="s">
        <v>15</v>
      </c>
      <c r="H1527" s="4">
        <v>0.354430952310078</v>
      </c>
      <c r="I1527" s="4">
        <v>866.039284</v>
      </c>
      <c r="J1527" s="6">
        <v>15.6043114194594</v>
      </c>
      <c r="K1527" s="5">
        <v>0.542524035374373</v>
      </c>
      <c r="L1527" s="7">
        <v>0.884428269810115</v>
      </c>
      <c r="M1527" s="4">
        <v>11.21</v>
      </c>
      <c r="N1527" s="2">
        <v>6.56</v>
      </c>
    </row>
    <row r="1528">
      <c r="A1528" s="2" t="s">
        <v>1553</v>
      </c>
      <c r="B1528" s="3" t="str">
        <f>HYPERLINK("https://www.suredividend.com/sure-analysis-SXI/","Standex International Corp.")</f>
        <v>Standex International Corp.</v>
      </c>
      <c r="C1528" s="2" t="s">
        <v>17</v>
      </c>
      <c r="D1528" s="4">
        <v>149.29</v>
      </c>
      <c r="E1528" s="5">
        <v>0.00803804675463862</v>
      </c>
      <c r="F1528" s="5">
        <v>0.0714285714285714</v>
      </c>
      <c r="G1528" s="5">
        <v>0.0844717711976985</v>
      </c>
      <c r="H1528" s="4">
        <v>1.13842755818644</v>
      </c>
      <c r="I1528" s="4">
        <v>1787.673753</v>
      </c>
      <c r="J1528" s="6">
        <v>12.811559405243</v>
      </c>
      <c r="K1528" s="5">
        <v>0.0979713905496081</v>
      </c>
      <c r="L1528" s="7">
        <v>1.08843098784523</v>
      </c>
      <c r="M1528" s="4">
        <v>168.81</v>
      </c>
      <c r="N1528" s="2">
        <v>109.85</v>
      </c>
    </row>
    <row r="1529">
      <c r="A1529" s="2" t="s">
        <v>1554</v>
      </c>
      <c r="B1529" s="3" t="str">
        <f>HYPERLINK("https://www.suredividend.com/sure-analysis-SXT/","Sensient Technologies Corp.")</f>
        <v>Sensient Technologies Corp.</v>
      </c>
      <c r="C1529" s="2" t="s">
        <v>130</v>
      </c>
      <c r="D1529" s="4">
        <v>60.97</v>
      </c>
      <c r="E1529" s="5">
        <v>0.0268984746596686</v>
      </c>
      <c r="F1529" s="5">
        <v>0.0</v>
      </c>
      <c r="G1529" s="5">
        <v>0.0263518540707108</v>
      </c>
      <c r="H1529" s="4">
        <v>1.62361762839308</v>
      </c>
      <c r="I1529" s="4">
        <v>2665.099028</v>
      </c>
      <c r="J1529" s="6">
        <v>20.7646323099697</v>
      </c>
      <c r="K1529" s="5">
        <v>0.534084746181934</v>
      </c>
      <c r="L1529" s="7">
        <v>0.953421396820484</v>
      </c>
      <c r="M1529" s="4">
        <v>77.68</v>
      </c>
      <c r="N1529" s="2">
        <v>52.52</v>
      </c>
    </row>
    <row r="1530">
      <c r="A1530" s="2" t="s">
        <v>1555</v>
      </c>
      <c r="B1530" s="3" t="str">
        <f>HYPERLINK("https://www.suredividend.com/sure-analysis-SYBT/","Stock Yards Bancorp Inc")</f>
        <v>Stock Yards Bancorp Inc</v>
      </c>
      <c r="C1530" s="2" t="s">
        <v>22</v>
      </c>
      <c r="D1530" s="4">
        <v>47.64</v>
      </c>
      <c r="E1530" s="5">
        <v>0.0251889168765743</v>
      </c>
      <c r="F1530" s="5">
        <v>0.0344827586206899</v>
      </c>
      <c r="G1530" s="5">
        <v>0.0371372893366481</v>
      </c>
      <c r="H1530" s="4">
        <v>1.15879919875154</v>
      </c>
      <c r="I1530" s="4">
        <v>1537.500945</v>
      </c>
      <c r="J1530" s="6">
        <v>13.5318378204733</v>
      </c>
      <c r="K1530" s="5">
        <v>0.299431317506859</v>
      </c>
      <c r="L1530" s="7">
        <v>1.27437860001838</v>
      </c>
      <c r="M1530" s="4">
        <v>60.54</v>
      </c>
      <c r="N1530" s="2">
        <v>36.5</v>
      </c>
    </row>
    <row r="1531">
      <c r="A1531" s="2" t="s">
        <v>1556</v>
      </c>
      <c r="B1531" s="3" t="str">
        <f>HYPERLINK("https://www.suredividend.com/sure-analysis-research-database/","Synaptics Inc")</f>
        <v>Synaptics Inc</v>
      </c>
      <c r="C1531" s="2" t="s">
        <v>40</v>
      </c>
      <c r="D1531" s="4">
        <v>105.48</v>
      </c>
      <c r="E1531" s="5">
        <v>0.0</v>
      </c>
      <c r="F1531" s="5" t="s">
        <v>15</v>
      </c>
      <c r="G1531" s="5" t="s">
        <v>15</v>
      </c>
      <c r="H1531" s="4">
        <v>0.0</v>
      </c>
      <c r="I1531" s="4">
        <v>4324.537932</v>
      </c>
      <c r="J1531" s="6" t="s">
        <v>15</v>
      </c>
      <c r="K1531" s="5">
        <v>0.0</v>
      </c>
      <c r="L1531" s="7">
        <v>2.09357212501985</v>
      </c>
      <c r="M1531" s="4">
        <v>142.14</v>
      </c>
      <c r="N1531" s="2">
        <v>67.73</v>
      </c>
    </row>
    <row r="1532">
      <c r="A1532" s="2" t="s">
        <v>1557</v>
      </c>
      <c r="B1532" s="3" t="str">
        <f>HYPERLINK("https://www.suredividend.com/sure-analysis-research-database/","Talos Energy Inc")</f>
        <v>Talos Energy Inc</v>
      </c>
      <c r="C1532" s="2" t="s">
        <v>125</v>
      </c>
      <c r="D1532" s="4">
        <v>11.99</v>
      </c>
      <c r="E1532" s="5">
        <v>0.0</v>
      </c>
      <c r="F1532" s="5" t="s">
        <v>15</v>
      </c>
      <c r="G1532" s="5" t="s">
        <v>15</v>
      </c>
      <c r="H1532" s="4">
        <v>0.0</v>
      </c>
      <c r="I1532" s="4">
        <v>1662.676837</v>
      </c>
      <c r="J1532" s="6">
        <v>15.9590420544421</v>
      </c>
      <c r="K1532" s="5">
        <v>0.0</v>
      </c>
      <c r="L1532" s="7">
        <v>1.47019901993669</v>
      </c>
      <c r="M1532" s="4">
        <v>19.93</v>
      </c>
      <c r="N1532" s="2">
        <v>10.69</v>
      </c>
    </row>
    <row r="1533">
      <c r="A1533" s="2" t="s">
        <v>1558</v>
      </c>
      <c r="B1533" s="3" t="str">
        <f>HYPERLINK("https://www.suredividend.com/sure-analysis-research-database/","Tarsus Pharmaceuticals Inc")</f>
        <v>Tarsus Pharmaceuticals Inc</v>
      </c>
      <c r="C1533" s="2" t="s">
        <v>15</v>
      </c>
      <c r="D1533" s="4">
        <v>28.25</v>
      </c>
      <c r="E1533" s="5">
        <v>0.0</v>
      </c>
      <c r="F1533" s="5" t="s">
        <v>15</v>
      </c>
      <c r="G1533" s="5" t="s">
        <v>15</v>
      </c>
      <c r="H1533" s="4">
        <v>0.0</v>
      </c>
      <c r="I1533" s="4">
        <v>926.267044</v>
      </c>
      <c r="J1533" s="6" t="s">
        <v>15</v>
      </c>
      <c r="K1533" s="5">
        <v>0.0</v>
      </c>
      <c r="L1533" s="7">
        <v>0.773623918100519</v>
      </c>
      <c r="M1533" s="4">
        <v>29.01</v>
      </c>
      <c r="N1533" s="2">
        <v>11.33</v>
      </c>
    </row>
    <row r="1534">
      <c r="A1534" s="2" t="s">
        <v>1559</v>
      </c>
      <c r="B1534" s="3" t="str">
        <f>HYPERLINK("https://www.suredividend.com/sure-analysis-research-database/","Bancorp Inc. (The)")</f>
        <v>Bancorp Inc. (The)</v>
      </c>
      <c r="C1534" s="2" t="s">
        <v>22</v>
      </c>
      <c r="D1534" s="4">
        <v>42.37</v>
      </c>
      <c r="E1534" s="5">
        <v>0.0</v>
      </c>
      <c r="F1534" s="5" t="s">
        <v>15</v>
      </c>
      <c r="G1534" s="5" t="s">
        <v>15</v>
      </c>
      <c r="H1534" s="4">
        <v>0.0</v>
      </c>
      <c r="I1534" s="4">
        <v>2426.848849</v>
      </c>
      <c r="J1534" s="6">
        <v>12.8739150322796</v>
      </c>
      <c r="K1534" s="5">
        <v>0.0</v>
      </c>
      <c r="L1534" s="7">
        <v>1.90191330707087</v>
      </c>
      <c r="M1534" s="4">
        <v>45.46</v>
      </c>
      <c r="N1534" s="2">
        <v>25.13</v>
      </c>
    </row>
    <row r="1535">
      <c r="A1535" s="2" t="s">
        <v>1560</v>
      </c>
      <c r="B1535" s="3" t="str">
        <f>HYPERLINK("https://www.suredividend.com/sure-analysis-research-database/","TrueBlue Inc")</f>
        <v>TrueBlue Inc</v>
      </c>
      <c r="C1535" s="2" t="s">
        <v>17</v>
      </c>
      <c r="D1535" s="4">
        <v>13.22</v>
      </c>
      <c r="E1535" s="5">
        <v>0.0</v>
      </c>
      <c r="F1535" s="5" t="s">
        <v>15</v>
      </c>
      <c r="G1535" s="5" t="s">
        <v>15</v>
      </c>
      <c r="H1535" s="4">
        <v>0.0</v>
      </c>
      <c r="I1535" s="4">
        <v>445.298368</v>
      </c>
      <c r="J1535" s="6" t="s">
        <v>15</v>
      </c>
      <c r="K1535" s="5">
        <v>0.0</v>
      </c>
      <c r="L1535" s="7">
        <v>0.724151883482765</v>
      </c>
      <c r="M1535" s="4">
        <v>20.32</v>
      </c>
      <c r="N1535" s="2">
        <v>10.15</v>
      </c>
    </row>
    <row r="1536">
      <c r="A1536" s="2" t="s">
        <v>1561</v>
      </c>
      <c r="B1536" s="3" t="str">
        <f>HYPERLINK("https://www.suredividend.com/sure-analysis-research-database/","Theravance Biopharma Inc")</f>
        <v>Theravance Biopharma Inc</v>
      </c>
      <c r="C1536" s="2" t="s">
        <v>30</v>
      </c>
      <c r="D1536" s="4">
        <v>8.85</v>
      </c>
      <c r="E1536" s="5">
        <v>0.0</v>
      </c>
      <c r="F1536" s="5" t="s">
        <v>15</v>
      </c>
      <c r="G1536" s="5" t="s">
        <v>15</v>
      </c>
      <c r="H1536" s="4">
        <v>0.0</v>
      </c>
      <c r="I1536" s="4">
        <v>499.472596</v>
      </c>
      <c r="J1536" s="6" t="s">
        <v>15</v>
      </c>
      <c r="K1536" s="5">
        <v>0.0</v>
      </c>
      <c r="L1536" s="7">
        <v>0.60680366353033</v>
      </c>
      <c r="M1536" s="4">
        <v>12.03</v>
      </c>
      <c r="N1536" s="2">
        <v>8.25</v>
      </c>
    </row>
    <row r="1537">
      <c r="A1537" s="2" t="s">
        <v>1562</v>
      </c>
      <c r="B1537" s="3" t="str">
        <f>HYPERLINK("https://www.suredividend.com/sure-analysis-research-database/","Texas Capital Bancshares, Inc.")</f>
        <v>Texas Capital Bancshares, Inc.</v>
      </c>
      <c r="C1537" s="2" t="s">
        <v>22</v>
      </c>
      <c r="D1537" s="4">
        <v>59.61</v>
      </c>
      <c r="E1537" s="5">
        <v>0.0</v>
      </c>
      <c r="F1537" s="5" t="s">
        <v>15</v>
      </c>
      <c r="G1537" s="5" t="s">
        <v>15</v>
      </c>
      <c r="H1537" s="4">
        <v>0.0</v>
      </c>
      <c r="I1537" s="4">
        <v>3067.066014</v>
      </c>
      <c r="J1537" s="6">
        <v>8.31201222183678</v>
      </c>
      <c r="K1537" s="5">
        <v>0.0</v>
      </c>
      <c r="L1537" s="7">
        <v>1.60319469308717</v>
      </c>
      <c r="M1537" s="4">
        <v>69.27</v>
      </c>
      <c r="N1537" s="2">
        <v>42.79</v>
      </c>
    </row>
    <row r="1538">
      <c r="A1538" s="2" t="s">
        <v>1563</v>
      </c>
      <c r="B1538" s="3" t="str">
        <f>HYPERLINK("https://www.suredividend.com/sure-analysis-research-database/","Trico Bancshares")</f>
        <v>Trico Bancshares</v>
      </c>
      <c r="C1538" s="2" t="s">
        <v>22</v>
      </c>
      <c r="D1538" s="4">
        <v>34.28</v>
      </c>
      <c r="E1538" s="5">
        <v>0.030183945297977</v>
      </c>
      <c r="F1538" s="5">
        <v>0.0</v>
      </c>
      <c r="G1538" s="5">
        <v>0.0956542577478538</v>
      </c>
      <c r="H1538" s="4">
        <v>1.17083523810853</v>
      </c>
      <c r="I1538" s="4">
        <v>1290.469677</v>
      </c>
      <c r="J1538" s="6">
        <v>10.1088038084569</v>
      </c>
      <c r="K1538" s="5">
        <v>0.306501371232601</v>
      </c>
      <c r="L1538" s="7">
        <v>1.43459976123818</v>
      </c>
      <c r="M1538" s="4">
        <v>49.78</v>
      </c>
      <c r="N1538" s="2">
        <v>27.28</v>
      </c>
    </row>
    <row r="1539">
      <c r="A1539" s="2" t="s">
        <v>1564</v>
      </c>
      <c r="B1539" s="3" t="str">
        <f>HYPERLINK("https://www.suredividend.com/sure-analysis-research-database/","Third Coast Bancshares Inc")</f>
        <v>Third Coast Bancshares Inc</v>
      </c>
      <c r="C1539" s="2" t="s">
        <v>15</v>
      </c>
      <c r="D1539" s="4">
        <v>19.18</v>
      </c>
      <c r="E1539" s="5">
        <v>0.0</v>
      </c>
      <c r="F1539" s="5" t="s">
        <v>15</v>
      </c>
      <c r="G1539" s="5" t="s">
        <v>15</v>
      </c>
      <c r="H1539" s="4">
        <v>0.0</v>
      </c>
      <c r="I1539" s="4">
        <v>271.953375</v>
      </c>
      <c r="J1539" s="6">
        <v>10.3483019516742</v>
      </c>
      <c r="K1539" s="5">
        <v>0.0</v>
      </c>
      <c r="L1539" s="7">
        <v>1.38571959543228</v>
      </c>
      <c r="M1539" s="4">
        <v>21.5</v>
      </c>
      <c r="N1539" s="2">
        <v>12.31</v>
      </c>
    </row>
    <row r="1540">
      <c r="A1540" s="2" t="s">
        <v>1565</v>
      </c>
      <c r="B1540" s="3" t="str">
        <f>HYPERLINK("https://www.suredividend.com/sure-analysis-research-database/","Transcontinental Realty Investors, Inc.")</f>
        <v>Transcontinental Realty Investors, Inc.</v>
      </c>
      <c r="C1540" s="2" t="s">
        <v>20</v>
      </c>
      <c r="D1540" s="4">
        <v>39.45</v>
      </c>
      <c r="E1540" s="5">
        <v>0.0</v>
      </c>
      <c r="F1540" s="5" t="s">
        <v>15</v>
      </c>
      <c r="G1540" s="5" t="s">
        <v>15</v>
      </c>
      <c r="H1540" s="4">
        <v>0.0</v>
      </c>
      <c r="I1540" s="4">
        <v>352.570486</v>
      </c>
      <c r="J1540" s="6">
        <v>5.22744841740058</v>
      </c>
      <c r="K1540" s="5">
        <v>0.0</v>
      </c>
      <c r="L1540" s="7">
        <v>0.471385177005799</v>
      </c>
      <c r="M1540" s="4">
        <v>46.42</v>
      </c>
      <c r="N1540" s="2">
        <v>27.23</v>
      </c>
    </row>
    <row r="1541">
      <c r="A1541" s="2" t="s">
        <v>1566</v>
      </c>
      <c r="B1541" s="3" t="str">
        <f>HYPERLINK("https://www.suredividend.com/sure-analysis-research-database/","Tactile Systems Technology Inc")</f>
        <v>Tactile Systems Technology Inc</v>
      </c>
      <c r="C1541" s="2" t="s">
        <v>30</v>
      </c>
      <c r="D1541" s="4">
        <v>14.7</v>
      </c>
      <c r="E1541" s="5">
        <v>0.0</v>
      </c>
      <c r="F1541" s="5" t="s">
        <v>15</v>
      </c>
      <c r="G1541" s="5" t="s">
        <v>15</v>
      </c>
      <c r="H1541" s="4">
        <v>0.0</v>
      </c>
      <c r="I1541" s="4">
        <v>355.048086</v>
      </c>
      <c r="J1541" s="6">
        <v>14.2395157724392</v>
      </c>
      <c r="K1541" s="5">
        <v>0.0</v>
      </c>
      <c r="L1541" s="7">
        <v>1.22219539703623</v>
      </c>
      <c r="M1541" s="4">
        <v>26.11</v>
      </c>
      <c r="N1541" s="2">
        <v>9.7</v>
      </c>
    </row>
    <row r="1542">
      <c r="A1542" s="2" t="s">
        <v>1567</v>
      </c>
      <c r="B1542" s="3" t="str">
        <f>HYPERLINK("https://www.suredividend.com/sure-analysis-research-database/","Container Store Group Inc")</f>
        <v>Container Store Group Inc</v>
      </c>
      <c r="C1542" s="2" t="s">
        <v>25</v>
      </c>
      <c r="D1542" s="4">
        <v>1.62</v>
      </c>
      <c r="E1542" s="5">
        <v>0.0</v>
      </c>
      <c r="F1542" s="5" t="s">
        <v>15</v>
      </c>
      <c r="G1542" s="5" t="s">
        <v>15</v>
      </c>
      <c r="H1542" s="4">
        <v>0.0</v>
      </c>
      <c r="I1542" s="4">
        <v>83.789852</v>
      </c>
      <c r="J1542" s="6" t="s">
        <v>15</v>
      </c>
      <c r="K1542" s="5">
        <v>0.0</v>
      </c>
      <c r="L1542" s="7">
        <v>1.66765514004559</v>
      </c>
      <c r="M1542" s="4">
        <v>5.8</v>
      </c>
      <c r="N1542" s="2">
        <v>1.5</v>
      </c>
    </row>
    <row r="1543">
      <c r="A1543" s="2" t="s">
        <v>1568</v>
      </c>
      <c r="B1543" s="3" t="str">
        <f>HYPERLINK("https://www.suredividend.com/sure-analysis-research-database/","Tucows, Inc.")</f>
        <v>Tucows, Inc.</v>
      </c>
      <c r="C1543" s="2" t="s">
        <v>40</v>
      </c>
      <c r="D1543" s="4">
        <v>21.23</v>
      </c>
      <c r="E1543" s="5">
        <v>0.0</v>
      </c>
      <c r="F1543" s="5" t="s">
        <v>15</v>
      </c>
      <c r="G1543" s="5" t="s">
        <v>15</v>
      </c>
      <c r="H1543" s="4">
        <v>0.0</v>
      </c>
      <c r="I1543" s="4">
        <v>267.258765</v>
      </c>
      <c r="J1543" s="6" t="s">
        <v>15</v>
      </c>
      <c r="K1543" s="5">
        <v>0.0</v>
      </c>
      <c r="L1543" s="7">
        <v>2.10505898750985</v>
      </c>
      <c r="M1543" s="4">
        <v>36.79</v>
      </c>
      <c r="N1543" s="2">
        <v>15.65</v>
      </c>
    </row>
    <row r="1544">
      <c r="A1544" s="2" t="s">
        <v>1569</v>
      </c>
      <c r="B1544" s="3" t="str">
        <f>HYPERLINK("https://www.suredividend.com/sure-analysis-TDS/","Telephone And Data Systems, Inc.")</f>
        <v>Telephone And Data Systems, Inc.</v>
      </c>
      <c r="C1544" s="2" t="s">
        <v>114</v>
      </c>
      <c r="D1544" s="4">
        <v>18.78</v>
      </c>
      <c r="E1544" s="5">
        <v>0.0394036208732694</v>
      </c>
      <c r="F1544" s="5">
        <v>0.0277777777777779</v>
      </c>
      <c r="G1544" s="5">
        <v>0.0231458730804616</v>
      </c>
      <c r="H1544" s="4">
        <v>0.726246962889614</v>
      </c>
      <c r="I1544" s="4">
        <v>2033.08</v>
      </c>
      <c r="J1544" s="6" t="s">
        <v>15</v>
      </c>
      <c r="K1544" s="5" t="s">
        <v>15</v>
      </c>
      <c r="L1544" s="7">
        <v>0.510949876879784</v>
      </c>
      <c r="M1544" s="4">
        <v>21.31</v>
      </c>
      <c r="N1544" s="2">
        <v>6.15</v>
      </c>
    </row>
    <row r="1545">
      <c r="A1545" s="2" t="s">
        <v>1570</v>
      </c>
      <c r="B1545" s="3" t="str">
        <f>HYPERLINK("https://www.suredividend.com/sure-analysis-research-database/","ThredUp Inc")</f>
        <v>ThredUp Inc</v>
      </c>
      <c r="C1545" s="2" t="s">
        <v>15</v>
      </c>
      <c r="D1545" s="4">
        <v>1.92</v>
      </c>
      <c r="E1545" s="5">
        <v>0.0</v>
      </c>
      <c r="F1545" s="5" t="s">
        <v>15</v>
      </c>
      <c r="G1545" s="5" t="s">
        <v>15</v>
      </c>
      <c r="H1545" s="4">
        <v>0.0</v>
      </c>
      <c r="I1545" s="4">
        <v>177.7693</v>
      </c>
      <c r="J1545" s="6" t="s">
        <v>15</v>
      </c>
      <c r="K1545" s="5">
        <v>0.0</v>
      </c>
      <c r="L1545" s="7">
        <v>1.6401227975639</v>
      </c>
      <c r="M1545" s="4">
        <v>4.39</v>
      </c>
      <c r="N1545" s="2">
        <v>1.32</v>
      </c>
    </row>
    <row r="1546">
      <c r="A1546" s="2" t="s">
        <v>1571</v>
      </c>
      <c r="B1546" s="3" t="str">
        <f>HYPERLINK("https://www.suredividend.com/sure-analysis-research-database/","Tidewater Inc.")</f>
        <v>Tidewater Inc.</v>
      </c>
      <c r="C1546" s="2" t="s">
        <v>125</v>
      </c>
      <c r="D1546" s="4">
        <v>65.08</v>
      </c>
      <c r="E1546" s="5">
        <v>0.0</v>
      </c>
      <c r="F1546" s="5" t="s">
        <v>15</v>
      </c>
      <c r="G1546" s="5" t="s">
        <v>15</v>
      </c>
      <c r="H1546" s="4">
        <v>0.0</v>
      </c>
      <c r="I1546" s="4">
        <v>3879.119328</v>
      </c>
      <c r="J1546" s="6">
        <v>55.3045911461199</v>
      </c>
      <c r="K1546" s="5">
        <v>0.0</v>
      </c>
      <c r="L1546" s="7">
        <v>0.882924841352416</v>
      </c>
      <c r="M1546" s="4">
        <v>77.53</v>
      </c>
      <c r="N1546" s="2">
        <v>37.76</v>
      </c>
    </row>
    <row r="1547">
      <c r="A1547" s="2" t="s">
        <v>1572</v>
      </c>
      <c r="B1547" s="3" t="str">
        <f>HYPERLINK("https://www.suredividend.com/sure-analysis-research-database/","Tellurian Inc")</f>
        <v>Tellurian Inc</v>
      </c>
      <c r="C1547" s="2" t="s">
        <v>125</v>
      </c>
      <c r="D1547" s="4">
        <v>0.3601</v>
      </c>
      <c r="E1547" s="5">
        <v>0.0</v>
      </c>
      <c r="F1547" s="5" t="s">
        <v>15</v>
      </c>
      <c r="G1547" s="5" t="s">
        <v>15</v>
      </c>
      <c r="H1547" s="4">
        <v>0.0</v>
      </c>
      <c r="I1547" s="4">
        <v>363.447253</v>
      </c>
      <c r="J1547" s="6" t="s">
        <v>15</v>
      </c>
      <c r="K1547" s="5">
        <v>0.0</v>
      </c>
      <c r="L1547" s="7">
        <v>2.18314317677156</v>
      </c>
      <c r="M1547" s="4">
        <v>2.13</v>
      </c>
      <c r="N1547" s="2">
        <v>0.4831</v>
      </c>
    </row>
    <row r="1548">
      <c r="A1548" s="2" t="s">
        <v>1573</v>
      </c>
      <c r="B1548" s="3" t="str">
        <f>HYPERLINK("https://www.suredividend.com/sure-analysis-research-database/","Tenable Holdings Inc")</f>
        <v>Tenable Holdings Inc</v>
      </c>
      <c r="C1548" s="2" t="s">
        <v>40</v>
      </c>
      <c r="D1548" s="4">
        <v>46.98</v>
      </c>
      <c r="E1548" s="5">
        <v>0.0</v>
      </c>
      <c r="F1548" s="5" t="s">
        <v>15</v>
      </c>
      <c r="G1548" s="5" t="s">
        <v>15</v>
      </c>
      <c r="H1548" s="4">
        <v>0.0</v>
      </c>
      <c r="I1548" s="4">
        <v>5621.062133</v>
      </c>
      <c r="J1548" s="6" t="s">
        <v>15</v>
      </c>
      <c r="K1548" s="5">
        <v>0.0</v>
      </c>
      <c r="L1548" s="7">
        <v>1.33105650255986</v>
      </c>
      <c r="M1548" s="4">
        <v>49.77</v>
      </c>
      <c r="N1548" s="2">
        <v>33.85</v>
      </c>
    </row>
    <row r="1549">
      <c r="A1549" s="2" t="s">
        <v>1574</v>
      </c>
      <c r="B1549" s="3" t="str">
        <f>HYPERLINK("https://www.suredividend.com/sure-analysis-research-database/","Terex Corp.")</f>
        <v>Terex Corp.</v>
      </c>
      <c r="C1549" s="2" t="s">
        <v>17</v>
      </c>
      <c r="D1549" s="4">
        <v>62.95</v>
      </c>
      <c r="E1549" s="5">
        <v>0.010107962842603</v>
      </c>
      <c r="F1549" s="5" t="s">
        <v>15</v>
      </c>
      <c r="G1549" s="5" t="s">
        <v>15</v>
      </c>
      <c r="H1549" s="4">
        <v>0.637509216483021</v>
      </c>
      <c r="I1549" s="4">
        <v>4244.611</v>
      </c>
      <c r="J1549" s="6">
        <v>8.78074265618535</v>
      </c>
      <c r="K1549" s="5">
        <v>0.0904268392174498</v>
      </c>
      <c r="L1549" s="7">
        <v>1.7326764533694</v>
      </c>
      <c r="M1549" s="4">
        <v>65.23</v>
      </c>
      <c r="N1549" s="2">
        <v>41.63</v>
      </c>
    </row>
    <row r="1550">
      <c r="A1550" s="2" t="s">
        <v>1575</v>
      </c>
      <c r="B1550" s="3" t="str">
        <f>HYPERLINK("https://www.suredividend.com/sure-analysis-research-database/","Triumph Financial Inc")</f>
        <v>Triumph Financial Inc</v>
      </c>
      <c r="C1550" s="2" t="s">
        <v>15</v>
      </c>
      <c r="D1550" s="4">
        <v>71.22</v>
      </c>
      <c r="E1550" s="5">
        <v>0.0</v>
      </c>
      <c r="F1550" s="5" t="s">
        <v>15</v>
      </c>
      <c r="G1550" s="5" t="s">
        <v>15</v>
      </c>
      <c r="H1550" s="4">
        <v>0.0</v>
      </c>
      <c r="I1550" s="4">
        <v>1706.117831</v>
      </c>
      <c r="J1550" s="6">
        <v>37.2441622988932</v>
      </c>
      <c r="K1550" s="5">
        <v>0.0</v>
      </c>
      <c r="L1550" s="7">
        <v>1.49122498194659</v>
      </c>
      <c r="M1550" s="4">
        <v>81.64</v>
      </c>
      <c r="N1550" s="2">
        <v>46.67</v>
      </c>
    </row>
    <row r="1551">
      <c r="A1551" s="2" t="s">
        <v>1576</v>
      </c>
      <c r="B1551" s="3" t="str">
        <f>HYPERLINK("https://www.suredividend.com/sure-analysis-research-database/","Fresh Market Holdings Inc (The)")</f>
        <v>Fresh Market Holdings Inc (The)</v>
      </c>
      <c r="C1551" s="2" t="s">
        <v>15</v>
      </c>
      <c r="D1551" s="4" t="s">
        <v>49</v>
      </c>
      <c r="E1551" s="5">
        <v>0.0</v>
      </c>
      <c r="F1551" s="5" t="s">
        <v>15</v>
      </c>
      <c r="G1551" s="5" t="s">
        <v>15</v>
      </c>
      <c r="H1551" s="4">
        <v>0.0</v>
      </c>
      <c r="I1551" s="4">
        <v>0.0</v>
      </c>
      <c r="J1551" s="6">
        <v>0.0</v>
      </c>
      <c r="K1551" s="5" t="s">
        <v>15</v>
      </c>
      <c r="L1551" s="7"/>
      <c r="M1551" s="4" t="s">
        <v>49</v>
      </c>
      <c r="N1551" s="2" t="s">
        <v>49</v>
      </c>
    </row>
    <row r="1552">
      <c r="A1552" s="2" t="s">
        <v>1577</v>
      </c>
      <c r="B1552" s="3" t="str">
        <f>HYPERLINK("https://www.suredividend.com/sure-analysis-research-database/","Tredegar Corp.")</f>
        <v>Tredegar Corp.</v>
      </c>
      <c r="C1552" s="2" t="s">
        <v>130</v>
      </c>
      <c r="D1552" s="4">
        <v>4.65</v>
      </c>
      <c r="E1552" s="5">
        <v>0.051992668987916</v>
      </c>
      <c r="F1552" s="5" t="s">
        <v>15</v>
      </c>
      <c r="G1552" s="5" t="s">
        <v>15</v>
      </c>
      <c r="H1552" s="4">
        <v>0.257363711490187</v>
      </c>
      <c r="I1552" s="4">
        <v>170.322758</v>
      </c>
      <c r="J1552" s="6" t="s">
        <v>15</v>
      </c>
      <c r="K1552" s="5" t="s">
        <v>15</v>
      </c>
      <c r="L1552" s="7">
        <v>1.06861731377378</v>
      </c>
      <c r="M1552" s="4">
        <v>12.08</v>
      </c>
      <c r="N1552" s="2">
        <v>4.35</v>
      </c>
    </row>
    <row r="1553">
      <c r="A1553" s="2" t="s">
        <v>1578</v>
      </c>
      <c r="B1553" s="3" t="str">
        <f>HYPERLINK("https://www.suredividend.com/sure-analysis-research-database/","Transphorm Inc")</f>
        <v>Transphorm Inc</v>
      </c>
      <c r="C1553" s="2" t="s">
        <v>15</v>
      </c>
      <c r="D1553" s="4">
        <v>4.86</v>
      </c>
      <c r="E1553" s="5">
        <v>0.0</v>
      </c>
      <c r="F1553" s="5" t="s">
        <v>15</v>
      </c>
      <c r="G1553" s="5" t="s">
        <v>15</v>
      </c>
      <c r="H1553" s="4">
        <v>0.0</v>
      </c>
      <c r="I1553" s="4">
        <v>303.604</v>
      </c>
      <c r="J1553" s="6" t="s">
        <v>15</v>
      </c>
      <c r="K1553" s="5">
        <v>0.0</v>
      </c>
      <c r="L1553" s="7">
        <v>1.85489583358705</v>
      </c>
      <c r="M1553" s="4">
        <v>5.1</v>
      </c>
      <c r="N1553" s="2">
        <v>1.94</v>
      </c>
    </row>
    <row r="1554">
      <c r="A1554" s="2" t="s">
        <v>1579</v>
      </c>
      <c r="B1554" s="3" t="str">
        <f>HYPERLINK("https://www.suredividend.com/sure-analysis-research-database/","Textainer Group Holdings Limited")</f>
        <v>Textainer Group Holdings Limited</v>
      </c>
      <c r="C1554" s="2" t="s">
        <v>17</v>
      </c>
      <c r="D1554" s="4">
        <v>49.65</v>
      </c>
      <c r="E1554" s="5">
        <v>0.023909076615631</v>
      </c>
      <c r="F1554" s="5" t="s">
        <v>15</v>
      </c>
      <c r="G1554" s="5" t="s">
        <v>15</v>
      </c>
      <c r="H1554" s="4">
        <v>1.18756383549843</v>
      </c>
      <c r="I1554" s="4">
        <v>2105.872351</v>
      </c>
      <c r="J1554" s="6">
        <v>9.95736114516594</v>
      </c>
      <c r="K1554" s="5">
        <v>0.243353244979187</v>
      </c>
      <c r="L1554" s="7">
        <v>0.50907718182853</v>
      </c>
      <c r="M1554" s="4">
        <v>49.75</v>
      </c>
      <c r="N1554" s="2">
        <v>29.56</v>
      </c>
    </row>
    <row r="1555">
      <c r="A1555" s="2" t="s">
        <v>1580</v>
      </c>
      <c r="B1555" s="3" t="str">
        <f>HYPERLINK("https://www.suredividend.com/sure-analysis-research-database/","Triumph Group Inc.")</f>
        <v>Triumph Group Inc.</v>
      </c>
      <c r="C1555" s="2" t="s">
        <v>17</v>
      </c>
      <c r="D1555" s="4">
        <v>16.41</v>
      </c>
      <c r="E1555" s="5">
        <v>0.0</v>
      </c>
      <c r="F1555" s="5" t="s">
        <v>15</v>
      </c>
      <c r="G1555" s="5" t="s">
        <v>15</v>
      </c>
      <c r="H1555" s="4">
        <v>0.0</v>
      </c>
      <c r="I1555" s="4">
        <v>1225.852259</v>
      </c>
      <c r="J1555" s="6" t="s">
        <v>15</v>
      </c>
      <c r="K1555" s="5">
        <v>0.0</v>
      </c>
      <c r="L1555" s="7">
        <v>1.71351089114622</v>
      </c>
      <c r="M1555" s="4">
        <v>17.27</v>
      </c>
      <c r="N1555" s="2">
        <v>7.0</v>
      </c>
    </row>
    <row r="1556">
      <c r="A1556" s="2" t="s">
        <v>1581</v>
      </c>
      <c r="B1556" s="3" t="str">
        <f>HYPERLINK("https://www.suredividend.com/sure-analysis-research-database/","TEGNA Inc")</f>
        <v>TEGNA Inc</v>
      </c>
      <c r="C1556" s="2" t="s">
        <v>114</v>
      </c>
      <c r="D1556" s="4">
        <v>15.16</v>
      </c>
      <c r="E1556" s="5">
        <v>0.026352932215122</v>
      </c>
      <c r="F1556" s="5">
        <v>0.197368421052631</v>
      </c>
      <c r="G1556" s="5">
        <v>0.10197228772148</v>
      </c>
      <c r="H1556" s="4">
        <v>0.415585741032476</v>
      </c>
      <c r="I1556" s="4">
        <v>3106.184366</v>
      </c>
      <c r="J1556" s="6">
        <v>5.01651243312252</v>
      </c>
      <c r="K1556" s="5">
        <v>0.145819558257009</v>
      </c>
      <c r="L1556" s="7">
        <v>0.661690588387098</v>
      </c>
      <c r="M1556" s="4">
        <v>21.88</v>
      </c>
      <c r="N1556" s="2">
        <v>13.66</v>
      </c>
    </row>
    <row r="1557">
      <c r="A1557" s="2" t="s">
        <v>1582</v>
      </c>
      <c r="B1557" s="3" t="str">
        <f>HYPERLINK("https://www.suredividend.com/sure-analysis-research-database/","TG Therapeutics Inc")</f>
        <v>TG Therapeutics Inc</v>
      </c>
      <c r="C1557" s="2" t="s">
        <v>30</v>
      </c>
      <c r="D1557" s="4">
        <v>15.31</v>
      </c>
      <c r="E1557" s="5">
        <v>0.0</v>
      </c>
      <c r="F1557" s="5" t="s">
        <v>15</v>
      </c>
      <c r="G1557" s="5" t="s">
        <v>15</v>
      </c>
      <c r="H1557" s="4">
        <v>0.0</v>
      </c>
      <c r="I1557" s="4">
        <v>2460.413686</v>
      </c>
      <c r="J1557" s="6" t="s">
        <v>15</v>
      </c>
      <c r="K1557" s="5">
        <v>0.0</v>
      </c>
      <c r="L1557" s="7">
        <v>1.82405689331469</v>
      </c>
      <c r="M1557" s="4">
        <v>35.67</v>
      </c>
      <c r="N1557" s="2">
        <v>6.46</v>
      </c>
    </row>
    <row r="1558">
      <c r="A1558" s="2" t="s">
        <v>1583</v>
      </c>
      <c r="B1558" s="3" t="str">
        <f>HYPERLINK("https://www.suredividend.com/sure-analysis-research-database/","Target Hospitality Corp")</f>
        <v>Target Hospitality Corp</v>
      </c>
      <c r="C1558" s="2" t="s">
        <v>125</v>
      </c>
      <c r="D1558" s="4">
        <v>9.4</v>
      </c>
      <c r="E1558" s="5">
        <v>0.0</v>
      </c>
      <c r="F1558" s="5" t="s">
        <v>15</v>
      </c>
      <c r="G1558" s="5" t="s">
        <v>15</v>
      </c>
      <c r="H1558" s="4">
        <v>0.0</v>
      </c>
      <c r="I1558" s="4">
        <v>985.099073</v>
      </c>
      <c r="J1558" s="6">
        <v>5.88368247191346</v>
      </c>
      <c r="K1558" s="5">
        <v>0.0</v>
      </c>
      <c r="L1558" s="7">
        <v>0.035727490435225</v>
      </c>
      <c r="M1558" s="4">
        <v>17.88</v>
      </c>
      <c r="N1558" s="2">
        <v>8.85</v>
      </c>
    </row>
    <row r="1559">
      <c r="A1559" s="2" t="s">
        <v>1584</v>
      </c>
      <c r="B1559" s="3" t="str">
        <f>HYPERLINK("https://www.suredividend.com/sure-analysis-THFF/","First Financial Corp. - Indiana")</f>
        <v>First Financial Corp. - Indiana</v>
      </c>
      <c r="C1559" s="2" t="s">
        <v>22</v>
      </c>
      <c r="D1559" s="4">
        <v>37.78</v>
      </c>
      <c r="E1559" s="5">
        <v>0.0476442562202223</v>
      </c>
      <c r="F1559" s="5" t="s">
        <v>15</v>
      </c>
      <c r="G1559" s="5" t="s">
        <v>15</v>
      </c>
      <c r="H1559" s="4">
        <v>0.979092531139145</v>
      </c>
      <c r="I1559" s="4">
        <v>498.862168</v>
      </c>
      <c r="J1559" s="6">
        <v>7.70169929322402</v>
      </c>
      <c r="K1559" s="5">
        <v>0.181313431692434</v>
      </c>
      <c r="L1559" s="7">
        <v>1.04779184051419</v>
      </c>
      <c r="M1559" s="4">
        <v>44.0</v>
      </c>
      <c r="N1559" s="2">
        <v>29.45</v>
      </c>
    </row>
    <row r="1560">
      <c r="A1560" s="2" t="s">
        <v>1585</v>
      </c>
      <c r="B1560" s="3" t="str">
        <f>HYPERLINK("https://www.suredividend.com/sure-analysis-research-database/","Thermon Group Holdings Inc")</f>
        <v>Thermon Group Holdings Inc</v>
      </c>
      <c r="C1560" s="2" t="s">
        <v>17</v>
      </c>
      <c r="D1560" s="4">
        <v>25.04</v>
      </c>
      <c r="E1560" s="5">
        <v>0.0</v>
      </c>
      <c r="F1560" s="5" t="s">
        <v>15</v>
      </c>
      <c r="G1560" s="5" t="s">
        <v>15</v>
      </c>
      <c r="H1560" s="4">
        <v>0.0</v>
      </c>
      <c r="I1560" s="4">
        <v>1144.34197</v>
      </c>
      <c r="J1560" s="6">
        <v>27.3805323634971</v>
      </c>
      <c r="K1560" s="5">
        <v>0.0</v>
      </c>
      <c r="L1560" s="7">
        <v>1.12300385568124</v>
      </c>
      <c r="M1560" s="4">
        <v>34.03</v>
      </c>
      <c r="N1560" s="2">
        <v>20.56</v>
      </c>
    </row>
    <row r="1561">
      <c r="A1561" s="2" t="s">
        <v>1586</v>
      </c>
      <c r="B1561" s="3" t="str">
        <f>HYPERLINK("https://www.suredividend.com/sure-analysis-research-database/","Third Harmonic Bio Inc")</f>
        <v>Third Harmonic Bio Inc</v>
      </c>
      <c r="C1561" s="2" t="s">
        <v>15</v>
      </c>
      <c r="D1561" s="4">
        <v>8.82</v>
      </c>
      <c r="E1561" s="5">
        <v>0.0</v>
      </c>
      <c r="F1561" s="5" t="s">
        <v>15</v>
      </c>
      <c r="G1561" s="5" t="s">
        <v>15</v>
      </c>
      <c r="H1561" s="4">
        <v>0.0</v>
      </c>
      <c r="I1561" s="4">
        <v>366.492154</v>
      </c>
      <c r="J1561" s="6">
        <v>0.0</v>
      </c>
      <c r="K1561" s="5" t="s">
        <v>15</v>
      </c>
      <c r="L1561" s="7">
        <v>0.289663633913998</v>
      </c>
      <c r="M1561" s="4">
        <v>11.6</v>
      </c>
      <c r="N1561" s="2">
        <v>3.75</v>
      </c>
    </row>
    <row r="1562">
      <c r="A1562" s="2" t="s">
        <v>1587</v>
      </c>
      <c r="B1562" s="3" t="str">
        <f>HYPERLINK("https://www.suredividend.com/sure-analysis-research-database/","Gentherm Inc")</f>
        <v>Gentherm Inc</v>
      </c>
      <c r="C1562" s="2" t="s">
        <v>25</v>
      </c>
      <c r="D1562" s="4">
        <v>48.21</v>
      </c>
      <c r="E1562" s="5">
        <v>0.0</v>
      </c>
      <c r="F1562" s="5" t="s">
        <v>15</v>
      </c>
      <c r="G1562" s="5" t="s">
        <v>15</v>
      </c>
      <c r="H1562" s="4">
        <v>0.0</v>
      </c>
      <c r="I1562" s="4">
        <v>1601.443183</v>
      </c>
      <c r="J1562" s="6">
        <v>88.7176988815024</v>
      </c>
      <c r="K1562" s="5">
        <v>0.0</v>
      </c>
      <c r="L1562" s="7">
        <v>1.49267246529194</v>
      </c>
      <c r="M1562" s="4">
        <v>76.13</v>
      </c>
      <c r="N1562" s="2">
        <v>38.21</v>
      </c>
    </row>
    <row r="1563">
      <c r="A1563" s="2" t="s">
        <v>1588</v>
      </c>
      <c r="B1563" s="3" t="str">
        <f>HYPERLINK("https://www.suredividend.com/sure-analysis-research-database/","Thorne Healthtech Inc")</f>
        <v>Thorne Healthtech Inc</v>
      </c>
      <c r="C1563" s="2" t="s">
        <v>15</v>
      </c>
      <c r="D1563" s="4">
        <v>10.19</v>
      </c>
      <c r="E1563" s="5">
        <v>0.0</v>
      </c>
      <c r="F1563" s="5" t="s">
        <v>15</v>
      </c>
      <c r="G1563" s="5" t="s">
        <v>15</v>
      </c>
      <c r="H1563" s="4">
        <v>0.0</v>
      </c>
      <c r="I1563" s="4">
        <v>0.0</v>
      </c>
      <c r="J1563" s="6">
        <v>0.0</v>
      </c>
      <c r="K1563" s="5" t="s">
        <v>15</v>
      </c>
      <c r="L1563" s="7"/>
      <c r="M1563" s="4" t="s">
        <v>49</v>
      </c>
      <c r="N1563" s="2" t="s">
        <v>49</v>
      </c>
    </row>
    <row r="1564">
      <c r="A1564" s="2" t="s">
        <v>1589</v>
      </c>
      <c r="B1564" s="3" t="str">
        <f>HYPERLINK("https://www.suredividend.com/sure-analysis-research-database/","Theseus Pharmaceuticals Inc")</f>
        <v>Theseus Pharmaceuticals Inc</v>
      </c>
      <c r="C1564" s="2" t="s">
        <v>15</v>
      </c>
      <c r="D1564" s="4">
        <v>4.07</v>
      </c>
      <c r="E1564" s="5">
        <v>0.0</v>
      </c>
      <c r="F1564" s="5" t="s">
        <v>15</v>
      </c>
      <c r="G1564" s="5" t="s">
        <v>15</v>
      </c>
      <c r="H1564" s="4">
        <v>0.0</v>
      </c>
      <c r="I1564" s="4">
        <v>178.247444</v>
      </c>
      <c r="J1564" s="6">
        <v>0.0</v>
      </c>
      <c r="K1564" s="5" t="s">
        <v>15</v>
      </c>
      <c r="L1564" s="7">
        <v>1.85151658711127</v>
      </c>
      <c r="M1564" s="4">
        <v>14.77</v>
      </c>
      <c r="N1564" s="2">
        <v>2.05</v>
      </c>
    </row>
    <row r="1565">
      <c r="A1565" s="2" t="s">
        <v>1590</v>
      </c>
      <c r="B1565" s="3" t="str">
        <f>HYPERLINK("https://www.suredividend.com/sure-analysis-research-database/","Thryv Holdings Inc")</f>
        <v>Thryv Holdings Inc</v>
      </c>
      <c r="C1565" s="2" t="s">
        <v>15</v>
      </c>
      <c r="D1565" s="4">
        <v>20.45</v>
      </c>
      <c r="E1565" s="5">
        <v>0.0</v>
      </c>
      <c r="F1565" s="5" t="s">
        <v>15</v>
      </c>
      <c r="G1565" s="5" t="s">
        <v>15</v>
      </c>
      <c r="H1565" s="4">
        <v>0.0</v>
      </c>
      <c r="I1565" s="4">
        <v>759.564367</v>
      </c>
      <c r="J1565" s="6" t="s">
        <v>15</v>
      </c>
      <c r="K1565" s="5">
        <v>0.0</v>
      </c>
      <c r="L1565" s="7">
        <v>1.12103535289973</v>
      </c>
      <c r="M1565" s="4">
        <v>26.01</v>
      </c>
      <c r="N1565" s="2">
        <v>15.99</v>
      </c>
    </row>
    <row r="1566">
      <c r="A1566" s="2" t="s">
        <v>1591</v>
      </c>
      <c r="B1566" s="3" t="str">
        <f>HYPERLINK("https://www.suredividend.com/sure-analysis-research-database/","Treehouse Foods Inc")</f>
        <v>Treehouse Foods Inc</v>
      </c>
      <c r="C1566" s="2" t="s">
        <v>89</v>
      </c>
      <c r="D1566" s="4">
        <v>42.52</v>
      </c>
      <c r="E1566" s="5">
        <v>0.0</v>
      </c>
      <c r="F1566" s="5" t="s">
        <v>15</v>
      </c>
      <c r="G1566" s="5" t="s">
        <v>15</v>
      </c>
      <c r="H1566" s="4">
        <v>0.0</v>
      </c>
      <c r="I1566" s="4">
        <v>2350.803</v>
      </c>
      <c r="J1566" s="6">
        <v>105.892027027027</v>
      </c>
      <c r="K1566" s="5">
        <v>0.0</v>
      </c>
      <c r="L1566" s="7">
        <v>0.421306786181436</v>
      </c>
      <c r="M1566" s="4">
        <v>55.3</v>
      </c>
      <c r="N1566" s="2">
        <v>36.11</v>
      </c>
    </row>
    <row r="1567">
      <c r="A1567" s="2" t="s">
        <v>1592</v>
      </c>
      <c r="B1567" s="3" t="str">
        <f>HYPERLINK("https://www.suredividend.com/sure-analysis-research-database/","Instil Bio Inc")</f>
        <v>Instil Bio Inc</v>
      </c>
      <c r="C1567" s="2" t="s">
        <v>15</v>
      </c>
      <c r="D1567" s="4">
        <v>11.77</v>
      </c>
      <c r="E1567" s="5">
        <v>0.0</v>
      </c>
      <c r="F1567" s="5" t="s">
        <v>15</v>
      </c>
      <c r="G1567" s="5" t="s">
        <v>15</v>
      </c>
      <c r="H1567" s="4">
        <v>0.0</v>
      </c>
      <c r="I1567" s="4">
        <v>1542.73809</v>
      </c>
      <c r="J1567" s="6">
        <v>0.0</v>
      </c>
      <c r="K1567" s="5" t="s">
        <v>15</v>
      </c>
      <c r="L1567" s="7">
        <v>0.894631311941161</v>
      </c>
      <c r="M1567" s="4">
        <v>18.54</v>
      </c>
      <c r="N1567" s="2">
        <v>6.07</v>
      </c>
    </row>
    <row r="1568">
      <c r="A1568" s="2" t="s">
        <v>1593</v>
      </c>
      <c r="B1568" s="3" t="str">
        <f>HYPERLINK("https://www.suredividend.com/sure-analysis-research-database/","Interface Inc.")</f>
        <v>Interface Inc.</v>
      </c>
      <c r="C1568" s="2" t="s">
        <v>25</v>
      </c>
      <c r="D1568" s="4">
        <v>12.54</v>
      </c>
      <c r="E1568" s="5">
        <v>0.003187274370967</v>
      </c>
      <c r="F1568" s="5">
        <v>0.0</v>
      </c>
      <c r="G1568" s="5">
        <v>-0.312271014707454</v>
      </c>
      <c r="H1568" s="4">
        <v>0.039872802380803</v>
      </c>
      <c r="I1568" s="4">
        <v>726.918257</v>
      </c>
      <c r="J1568" s="6">
        <v>965.362891434263</v>
      </c>
      <c r="K1568" s="5">
        <v>3.09091491324054</v>
      </c>
      <c r="L1568" s="7">
        <v>1.26882624714958</v>
      </c>
      <c r="M1568" s="4">
        <v>13.0</v>
      </c>
      <c r="N1568" s="2">
        <v>6.47</v>
      </c>
    </row>
    <row r="1569">
      <c r="A1569" s="2" t="s">
        <v>1594</v>
      </c>
      <c r="B1569" s="3" t="str">
        <f>HYPERLINK("https://www.suredividend.com/sure-analysis-research-database/","Tiptree Inc")</f>
        <v>Tiptree Inc</v>
      </c>
      <c r="C1569" s="2" t="s">
        <v>22</v>
      </c>
      <c r="D1569" s="4">
        <v>18.58</v>
      </c>
      <c r="E1569" s="5">
        <v>0.010150787815715</v>
      </c>
      <c r="F1569" s="5">
        <v>0.25</v>
      </c>
      <c r="G1569" s="5">
        <v>0.0739409237857793</v>
      </c>
      <c r="H1569" s="4">
        <v>0.198447901797244</v>
      </c>
      <c r="I1569" s="4">
        <v>718.457964</v>
      </c>
      <c r="J1569" s="6">
        <v>0.0</v>
      </c>
      <c r="K1569" s="5" t="s">
        <v>15</v>
      </c>
      <c r="L1569" s="7">
        <v>0.781975086796308</v>
      </c>
      <c r="M1569" s="4">
        <v>20.8</v>
      </c>
      <c r="N1569" s="2">
        <v>11.92</v>
      </c>
    </row>
    <row r="1570">
      <c r="A1570" s="2" t="s">
        <v>1595</v>
      </c>
      <c r="B1570" s="3" t="str">
        <f>HYPERLINK("https://www.suredividend.com/sure-analysis-research-database/","Titan Machinery Inc")</f>
        <v>Titan Machinery Inc</v>
      </c>
      <c r="C1570" s="2" t="s">
        <v>17</v>
      </c>
      <c r="D1570" s="4">
        <v>26.2</v>
      </c>
      <c r="E1570" s="5">
        <v>0.0</v>
      </c>
      <c r="F1570" s="5" t="s">
        <v>15</v>
      </c>
      <c r="G1570" s="5" t="s">
        <v>15</v>
      </c>
      <c r="H1570" s="4">
        <v>0.0</v>
      </c>
      <c r="I1570" s="4">
        <v>632.92802</v>
      </c>
      <c r="J1570" s="6">
        <v>6.0164260446768</v>
      </c>
      <c r="K1570" s="5">
        <v>0.0</v>
      </c>
      <c r="L1570" s="7">
        <v>0.805932945133985</v>
      </c>
      <c r="M1570" s="4">
        <v>47.87</v>
      </c>
      <c r="N1570" s="2">
        <v>21.44</v>
      </c>
    </row>
    <row r="1571">
      <c r="A1571" s="2" t="s">
        <v>1596</v>
      </c>
      <c r="B1571" s="3" t="str">
        <f>HYPERLINK("https://www.suredividend.com/sure-analysis-research-database/","Teekay Corp")</f>
        <v>Teekay Corp</v>
      </c>
      <c r="C1571" s="2" t="s">
        <v>125</v>
      </c>
      <c r="D1571" s="4">
        <v>8.5</v>
      </c>
      <c r="E1571" s="5">
        <v>0.0</v>
      </c>
      <c r="F1571" s="5" t="s">
        <v>15</v>
      </c>
      <c r="G1571" s="5" t="s">
        <v>15</v>
      </c>
      <c r="H1571" s="4">
        <v>0.0</v>
      </c>
      <c r="I1571" s="4">
        <v>791.259154</v>
      </c>
      <c r="J1571" s="6">
        <v>5.12596382293684</v>
      </c>
      <c r="K1571" s="5">
        <v>0.0</v>
      </c>
      <c r="L1571" s="7">
        <v>0.527714688054961</v>
      </c>
      <c r="M1571" s="4">
        <v>8.88</v>
      </c>
      <c r="N1571" s="2">
        <v>4.63</v>
      </c>
    </row>
    <row r="1572">
      <c r="A1572" s="2" t="s">
        <v>1597</v>
      </c>
      <c r="B1572" s="3" t="str">
        <f>HYPERLINK("https://www.suredividend.com/sure-analysis-research-database/","Alpha Teknova Inc")</f>
        <v>Alpha Teknova Inc</v>
      </c>
      <c r="C1572" s="2" t="s">
        <v>15</v>
      </c>
      <c r="D1572" s="4">
        <v>3.38</v>
      </c>
      <c r="E1572" s="5">
        <v>0.0</v>
      </c>
      <c r="F1572" s="5" t="s">
        <v>15</v>
      </c>
      <c r="G1572" s="5" t="s">
        <v>15</v>
      </c>
      <c r="H1572" s="4">
        <v>0.0</v>
      </c>
      <c r="I1572" s="4">
        <v>136.438063</v>
      </c>
      <c r="J1572" s="6" t="s">
        <v>15</v>
      </c>
      <c r="K1572" s="5">
        <v>0.0</v>
      </c>
      <c r="L1572" s="7">
        <v>0.553976932702413</v>
      </c>
      <c r="M1572" s="4">
        <v>6.47</v>
      </c>
      <c r="N1572" s="2">
        <v>1.62</v>
      </c>
    </row>
    <row r="1573">
      <c r="A1573" s="2" t="s">
        <v>1598</v>
      </c>
      <c r="B1573" s="3" t="str">
        <f>HYPERLINK("https://www.suredividend.com/sure-analysis-research-database/","Telos Corp")</f>
        <v>Telos Corp</v>
      </c>
      <c r="C1573" s="2" t="s">
        <v>15</v>
      </c>
      <c r="D1573" s="4">
        <v>3.81</v>
      </c>
      <c r="E1573" s="5">
        <v>0.0</v>
      </c>
      <c r="F1573" s="5" t="s">
        <v>15</v>
      </c>
      <c r="G1573" s="5" t="s">
        <v>15</v>
      </c>
      <c r="H1573" s="4">
        <v>0.0</v>
      </c>
      <c r="I1573" s="4">
        <v>290.328782</v>
      </c>
      <c r="J1573" s="6">
        <v>0.0</v>
      </c>
      <c r="K1573" s="5" t="s">
        <v>15</v>
      </c>
      <c r="L1573" s="7">
        <v>1.45585124327979</v>
      </c>
      <c r="M1573" s="4">
        <v>5.25</v>
      </c>
      <c r="N1573" s="2">
        <v>1.53</v>
      </c>
    </row>
    <row r="1574">
      <c r="A1574" s="2" t="s">
        <v>1599</v>
      </c>
      <c r="B1574" s="3" t="str">
        <f>HYPERLINK("https://www.suredividend.com/sure-analysis-research-database/","Tillys Inc")</f>
        <v>Tillys Inc</v>
      </c>
      <c r="C1574" s="2" t="s">
        <v>25</v>
      </c>
      <c r="D1574" s="4">
        <v>7.41</v>
      </c>
      <c r="E1574" s="5">
        <v>0.0</v>
      </c>
      <c r="F1574" s="5" t="s">
        <v>15</v>
      </c>
      <c r="G1574" s="5" t="s">
        <v>15</v>
      </c>
      <c r="H1574" s="4">
        <v>0.0</v>
      </c>
      <c r="I1574" s="4">
        <v>167.513675</v>
      </c>
      <c r="J1574" s="6" t="s">
        <v>15</v>
      </c>
      <c r="K1574" s="5">
        <v>0.0</v>
      </c>
      <c r="L1574" s="7">
        <v>0.899752668204259</v>
      </c>
      <c r="M1574" s="4">
        <v>9.5</v>
      </c>
      <c r="N1574" s="2">
        <v>6.05</v>
      </c>
    </row>
    <row r="1575">
      <c r="A1575" s="2" t="s">
        <v>1600</v>
      </c>
      <c r="B1575" s="3" t="str">
        <f>HYPERLINK("https://www.suredividend.com/sure-analysis-research-database/","Treace Medical Concepts Inc")</f>
        <v>Treace Medical Concepts Inc</v>
      </c>
      <c r="C1575" s="2" t="s">
        <v>15</v>
      </c>
      <c r="D1575" s="4">
        <v>13.75</v>
      </c>
      <c r="E1575" s="5">
        <v>0.0</v>
      </c>
      <c r="F1575" s="5" t="s">
        <v>15</v>
      </c>
      <c r="G1575" s="5" t="s">
        <v>15</v>
      </c>
      <c r="H1575" s="4">
        <v>0.0</v>
      </c>
      <c r="I1575" s="4">
        <v>854.210675</v>
      </c>
      <c r="J1575" s="6" t="s">
        <v>15</v>
      </c>
      <c r="K1575" s="5">
        <v>0.0</v>
      </c>
      <c r="L1575" s="7">
        <v>1.2060445620389</v>
      </c>
      <c r="M1575" s="4">
        <v>27.97</v>
      </c>
      <c r="N1575" s="2">
        <v>5.27</v>
      </c>
    </row>
    <row r="1576">
      <c r="A1576" s="2" t="s">
        <v>1601</v>
      </c>
      <c r="B1576" s="3" t="str">
        <f>HYPERLINK("https://www.suredividend.com/sure-analysis-research-database/","Transmedics Group Inc")</f>
        <v>Transmedics Group Inc</v>
      </c>
      <c r="C1576" s="2" t="s">
        <v>30</v>
      </c>
      <c r="D1576" s="4">
        <v>86.56</v>
      </c>
      <c r="E1576" s="5">
        <v>0.0</v>
      </c>
      <c r="F1576" s="5" t="s">
        <v>15</v>
      </c>
      <c r="G1576" s="5" t="s">
        <v>15</v>
      </c>
      <c r="H1576" s="4">
        <v>0.0</v>
      </c>
      <c r="I1576" s="4">
        <v>2895.197859</v>
      </c>
      <c r="J1576" s="6" t="s">
        <v>15</v>
      </c>
      <c r="K1576" s="5">
        <v>0.0</v>
      </c>
      <c r="L1576" s="7">
        <v>1.5797981955079</v>
      </c>
      <c r="M1576" s="4">
        <v>99.63</v>
      </c>
      <c r="N1576" s="2">
        <v>36.42</v>
      </c>
    </row>
    <row r="1577">
      <c r="A1577" s="2" t="s">
        <v>1602</v>
      </c>
      <c r="B1577" s="3" t="str">
        <f>HYPERLINK("https://www.suredividend.com/sure-analysis-research-database/","Taylor Morrison Home Corp.")</f>
        <v>Taylor Morrison Home Corp.</v>
      </c>
      <c r="C1577" s="2" t="s">
        <v>25</v>
      </c>
      <c r="D1577" s="4">
        <v>52.2</v>
      </c>
      <c r="E1577" s="5">
        <v>0.0</v>
      </c>
      <c r="F1577" s="5" t="s">
        <v>15</v>
      </c>
      <c r="G1577" s="5" t="s">
        <v>15</v>
      </c>
      <c r="H1577" s="4">
        <v>0.0</v>
      </c>
      <c r="I1577" s="4">
        <v>5693.697976</v>
      </c>
      <c r="J1577" s="6">
        <v>6.53190463834571</v>
      </c>
      <c r="K1577" s="5">
        <v>0.0</v>
      </c>
      <c r="L1577" s="7">
        <v>1.54306404579064</v>
      </c>
      <c r="M1577" s="4">
        <v>55.47</v>
      </c>
      <c r="N1577" s="2">
        <v>33.71</v>
      </c>
    </row>
    <row r="1578">
      <c r="A1578" s="2" t="s">
        <v>1603</v>
      </c>
      <c r="B1578" s="3" t="str">
        <f>HYPERLINK("https://www.suredividend.com/sure-analysis-TMP/","Tompkins Financial Corp")</f>
        <v>Tompkins Financial Corp</v>
      </c>
      <c r="C1578" s="2" t="s">
        <v>22</v>
      </c>
      <c r="D1578" s="4">
        <v>48.53</v>
      </c>
      <c r="E1578" s="5">
        <v>0.0494539460127756</v>
      </c>
      <c r="F1578" s="5" t="s">
        <v>15</v>
      </c>
      <c r="G1578" s="5" t="s">
        <v>15</v>
      </c>
      <c r="H1578" s="4">
        <v>2.32501387347076</v>
      </c>
      <c r="I1578" s="4">
        <v>783.95017</v>
      </c>
      <c r="J1578" s="6">
        <v>56.0966132028622</v>
      </c>
      <c r="K1578" s="5">
        <v>2.38511886896878</v>
      </c>
      <c r="L1578" s="7">
        <v>1.33957698599558</v>
      </c>
      <c r="M1578" s="4">
        <v>74.56</v>
      </c>
      <c r="N1578" s="2">
        <v>45.67</v>
      </c>
    </row>
    <row r="1579">
      <c r="A1579" s="2" t="s">
        <v>1604</v>
      </c>
      <c r="B1579" s="3" t="str">
        <f>HYPERLINK("https://www.suredividend.com/sure-analysis-research-database/","TimkenSteel Corp")</f>
        <v>TimkenSteel Corp</v>
      </c>
      <c r="C1579" s="2" t="s">
        <v>130</v>
      </c>
      <c r="D1579" s="4">
        <v>20.18</v>
      </c>
      <c r="E1579" s="5">
        <v>0.0</v>
      </c>
      <c r="F1579" s="5" t="s">
        <v>15</v>
      </c>
      <c r="G1579" s="5" t="s">
        <v>15</v>
      </c>
      <c r="H1579" s="4">
        <v>0.0</v>
      </c>
      <c r="I1579" s="4">
        <v>914.450551</v>
      </c>
      <c r="J1579" s="6">
        <v>26.2020215197707</v>
      </c>
      <c r="K1579" s="5">
        <v>0.0</v>
      </c>
      <c r="L1579" s="7">
        <v>1.53303295682077</v>
      </c>
      <c r="M1579" s="4">
        <v>24.3</v>
      </c>
      <c r="N1579" s="2">
        <v>15.59</v>
      </c>
    </row>
    <row r="1580">
      <c r="A1580" s="2" t="s">
        <v>1605</v>
      </c>
      <c r="B1580" s="3" t="str">
        <f>HYPERLINK("https://www.suredividend.com/sure-analysis-TNC/","Tennant Co.")</f>
        <v>Tennant Co.</v>
      </c>
      <c r="C1580" s="2" t="s">
        <v>17</v>
      </c>
      <c r="D1580" s="4">
        <v>96.02</v>
      </c>
      <c r="E1580" s="5">
        <v>0.0116642366173713</v>
      </c>
      <c r="F1580" s="5">
        <v>0.0566037735849056</v>
      </c>
      <c r="G1580" s="5">
        <v>0.0494145228445839</v>
      </c>
      <c r="H1580" s="4">
        <v>1.06979980945176</v>
      </c>
      <c r="I1580" s="4">
        <v>1780.971984</v>
      </c>
      <c r="J1580" s="6">
        <v>17.4093058076246</v>
      </c>
      <c r="K1580" s="5">
        <v>0.195934031035121</v>
      </c>
      <c r="L1580" s="7">
        <v>1.09944691304405</v>
      </c>
      <c r="M1580" s="4">
        <v>95.37</v>
      </c>
      <c r="N1580" s="2">
        <v>62.67</v>
      </c>
    </row>
    <row r="1581">
      <c r="A1581" s="2" t="s">
        <v>1606</v>
      </c>
      <c r="B1581" s="3" t="str">
        <f>HYPERLINK("https://www.suredividend.com/sure-analysis-research-database/","TriNet Group Inc")</f>
        <v>TriNet Group Inc</v>
      </c>
      <c r="C1581" s="2" t="s">
        <v>17</v>
      </c>
      <c r="D1581" s="4">
        <v>114.97</v>
      </c>
      <c r="E1581" s="5">
        <v>0.0</v>
      </c>
      <c r="F1581" s="5" t="s">
        <v>15</v>
      </c>
      <c r="G1581" s="5" t="s">
        <v>15</v>
      </c>
      <c r="H1581" s="4">
        <v>0.0</v>
      </c>
      <c r="I1581" s="4">
        <v>5872.092982</v>
      </c>
      <c r="J1581" s="6">
        <v>16.5411069903662</v>
      </c>
      <c r="K1581" s="5">
        <v>0.0</v>
      </c>
      <c r="L1581" s="7">
        <v>0.897797197492284</v>
      </c>
      <c r="M1581" s="4">
        <v>123.67</v>
      </c>
      <c r="N1581" s="2">
        <v>73.66</v>
      </c>
    </row>
    <row r="1582">
      <c r="A1582" s="2" t="s">
        <v>1607</v>
      </c>
      <c r="B1582" s="3" t="str">
        <f>HYPERLINK("https://www.suredividend.com/sure-analysis-research-database/","Tango Therapeutics Inc")</f>
        <v>Tango Therapeutics Inc</v>
      </c>
      <c r="C1582" s="2" t="s">
        <v>15</v>
      </c>
      <c r="D1582" s="4">
        <v>12.46</v>
      </c>
      <c r="E1582" s="5">
        <v>0.0</v>
      </c>
      <c r="F1582" s="5" t="s">
        <v>15</v>
      </c>
      <c r="G1582" s="5" t="s">
        <v>15</v>
      </c>
      <c r="H1582" s="4">
        <v>0.0</v>
      </c>
      <c r="I1582" s="4">
        <v>1263.652333</v>
      </c>
      <c r="J1582" s="6" t="s">
        <v>15</v>
      </c>
      <c r="K1582" s="5">
        <v>0.0</v>
      </c>
      <c r="L1582" s="7">
        <v>0.913995245374207</v>
      </c>
      <c r="M1582" s="4">
        <v>13.03</v>
      </c>
      <c r="N1582" s="2">
        <v>2.47</v>
      </c>
    </row>
    <row r="1583">
      <c r="A1583" s="2" t="s">
        <v>1608</v>
      </c>
      <c r="B1583" s="3" t="str">
        <f>HYPERLINK("https://www.suredividend.com/sure-analysis-research-database/","Teekay Tankers Ltd")</f>
        <v>Teekay Tankers Ltd</v>
      </c>
      <c r="C1583" s="2" t="s">
        <v>125</v>
      </c>
      <c r="D1583" s="4">
        <v>58.01</v>
      </c>
      <c r="E1583" s="5">
        <v>0.008410544084649</v>
      </c>
      <c r="F1583" s="5" t="s">
        <v>15</v>
      </c>
      <c r="G1583" s="5" t="s">
        <v>15</v>
      </c>
      <c r="H1583" s="4">
        <v>0.498829369660586</v>
      </c>
      <c r="I1583" s="4">
        <v>1743.714</v>
      </c>
      <c r="J1583" s="6">
        <v>3.17961575772605</v>
      </c>
      <c r="K1583" s="5">
        <v>0.0314520409622059</v>
      </c>
      <c r="L1583" s="7">
        <v>0.336413240302223</v>
      </c>
      <c r="M1583" s="4">
        <v>61.67</v>
      </c>
      <c r="N1583" s="2">
        <v>28.61</v>
      </c>
    </row>
    <row r="1584">
      <c r="A1584" s="2" t="s">
        <v>1609</v>
      </c>
      <c r="B1584" s="3" t="str">
        <f>HYPERLINK("https://www.suredividend.com/sure-analysis-research-database/","Tenaya Therapeutics Inc")</f>
        <v>Tenaya Therapeutics Inc</v>
      </c>
      <c r="C1584" s="2" t="s">
        <v>15</v>
      </c>
      <c r="D1584" s="4">
        <v>4.25</v>
      </c>
      <c r="E1584" s="5">
        <v>0.0</v>
      </c>
      <c r="F1584" s="5" t="s">
        <v>15</v>
      </c>
      <c r="G1584" s="5" t="s">
        <v>15</v>
      </c>
      <c r="H1584" s="4">
        <v>0.0</v>
      </c>
      <c r="I1584" s="4">
        <v>327.614001</v>
      </c>
      <c r="J1584" s="6">
        <v>0.0</v>
      </c>
      <c r="K1584" s="5" t="s">
        <v>15</v>
      </c>
      <c r="L1584" s="7">
        <v>2.25312425098088</v>
      </c>
      <c r="M1584" s="4">
        <v>8.09</v>
      </c>
      <c r="N1584" s="2">
        <v>1.66</v>
      </c>
    </row>
    <row r="1585">
      <c r="A1585" s="2" t="s">
        <v>1610</v>
      </c>
      <c r="B1585" s="3" t="str">
        <f>HYPERLINK("https://www.suredividend.com/sure-analysis-research-database/","Oncology Institute Inc (The)")</f>
        <v>Oncology Institute Inc (The)</v>
      </c>
      <c r="C1585" s="2" t="s">
        <v>15</v>
      </c>
      <c r="D1585" s="4">
        <v>2.16</v>
      </c>
      <c r="E1585" s="5">
        <v>0.0</v>
      </c>
      <c r="F1585" s="5" t="s">
        <v>15</v>
      </c>
      <c r="G1585" s="5" t="s">
        <v>15</v>
      </c>
      <c r="H1585" s="4">
        <v>0.0</v>
      </c>
      <c r="I1585" s="4">
        <v>158.41</v>
      </c>
      <c r="J1585" s="6" t="s">
        <v>15</v>
      </c>
      <c r="K1585" s="5">
        <v>0.0</v>
      </c>
      <c r="L1585" s="7">
        <v>1.20500186330571</v>
      </c>
      <c r="M1585" s="4">
        <v>2.66</v>
      </c>
      <c r="N1585" s="2">
        <v>0.33</v>
      </c>
    </row>
    <row r="1586">
      <c r="A1586" s="2" t="s">
        <v>1611</v>
      </c>
      <c r="B1586" s="3" t="str">
        <f>HYPERLINK("https://www.suredividend.com/sure-analysis-research-database/","Townebank Portsmouth VA")</f>
        <v>Townebank Portsmouth VA</v>
      </c>
      <c r="C1586" s="2" t="s">
        <v>22</v>
      </c>
      <c r="D1586" s="4">
        <v>27.43</v>
      </c>
      <c r="E1586" s="5">
        <v>0.032478102139693</v>
      </c>
      <c r="F1586" s="5">
        <v>0.0869565217391303</v>
      </c>
      <c r="G1586" s="5">
        <v>0.0933620739432781</v>
      </c>
      <c r="H1586" s="4">
        <v>0.953232297800003</v>
      </c>
      <c r="I1586" s="4">
        <v>1516.768876</v>
      </c>
      <c r="J1586" s="6">
        <v>0.0</v>
      </c>
      <c r="K1586" s="5" t="s">
        <v>15</v>
      </c>
      <c r="L1586" s="7">
        <v>1.24449787533379</v>
      </c>
      <c r="M1586" s="4">
        <v>30.62</v>
      </c>
      <c r="N1586" s="2">
        <v>19.99</v>
      </c>
    </row>
    <row r="1587">
      <c r="A1587" s="2" t="s">
        <v>1612</v>
      </c>
      <c r="B1587" s="3" t="str">
        <f>HYPERLINK("https://www.suredividend.com/sure-analysis-research-database/","Turning Point Brands Inc")</f>
        <v>Turning Point Brands Inc</v>
      </c>
      <c r="C1587" s="2" t="s">
        <v>89</v>
      </c>
      <c r="D1587" s="4">
        <v>23.52</v>
      </c>
      <c r="E1587" s="5">
        <v>0.010096142164392</v>
      </c>
      <c r="F1587" s="5">
        <v>0.0833333333333334</v>
      </c>
      <c r="G1587" s="5">
        <v>0.0763169225148108</v>
      </c>
      <c r="H1587" s="4">
        <v>0.258966046516671</v>
      </c>
      <c r="I1587" s="4">
        <v>451.556118</v>
      </c>
      <c r="J1587" s="6">
        <v>37.5171250872382</v>
      </c>
      <c r="K1587" s="5">
        <v>0.371703812999384</v>
      </c>
      <c r="L1587" s="7">
        <v>0.678327424250351</v>
      </c>
      <c r="M1587" s="4">
        <v>26.69</v>
      </c>
      <c r="N1587" s="2">
        <v>19.62</v>
      </c>
    </row>
    <row r="1588">
      <c r="A1588" s="2" t="s">
        <v>1613</v>
      </c>
      <c r="B1588" s="3" t="str">
        <f>HYPERLINK("https://www.suredividend.com/sure-analysis-research-database/","Tutor Perini Corp")</f>
        <v>Tutor Perini Corp</v>
      </c>
      <c r="C1588" s="2" t="s">
        <v>17</v>
      </c>
      <c r="D1588" s="4">
        <v>8.7</v>
      </c>
      <c r="E1588" s="5">
        <v>0.0</v>
      </c>
      <c r="F1588" s="5" t="s">
        <v>15</v>
      </c>
      <c r="G1588" s="5" t="s">
        <v>15</v>
      </c>
      <c r="H1588" s="4">
        <v>0.0</v>
      </c>
      <c r="I1588" s="4">
        <v>471.320851</v>
      </c>
      <c r="J1588" s="6" t="s">
        <v>15</v>
      </c>
      <c r="K1588" s="5">
        <v>0.0</v>
      </c>
      <c r="L1588" s="7">
        <v>1.52142878451672</v>
      </c>
      <c r="M1588" s="4">
        <v>9.6</v>
      </c>
      <c r="N1588" s="2">
        <v>4.9</v>
      </c>
    </row>
    <row r="1589">
      <c r="A1589" s="2" t="s">
        <v>1614</v>
      </c>
      <c r="B1589" s="3" t="str">
        <f>HYPERLINK("https://www.suredividend.com/sure-analysis-research-database/","Tri Pointe Homes Inc.")</f>
        <v>Tri Pointe Homes Inc.</v>
      </c>
      <c r="C1589" s="2" t="s">
        <v>25</v>
      </c>
      <c r="D1589" s="4">
        <v>34.39</v>
      </c>
      <c r="E1589" s="5">
        <v>0.0</v>
      </c>
      <c r="F1589" s="5" t="s">
        <v>15</v>
      </c>
      <c r="G1589" s="5" t="s">
        <v>15</v>
      </c>
      <c r="H1589" s="4">
        <v>0.0</v>
      </c>
      <c r="I1589" s="4">
        <v>3417.206378</v>
      </c>
      <c r="J1589" s="6">
        <v>8.25729296408524</v>
      </c>
      <c r="K1589" s="5">
        <v>0.0</v>
      </c>
      <c r="L1589" s="7">
        <v>1.45897395242381</v>
      </c>
      <c r="M1589" s="4">
        <v>36.37</v>
      </c>
      <c r="N1589" s="2">
        <v>21.29</v>
      </c>
    </row>
    <row r="1590">
      <c r="A1590" s="2" t="s">
        <v>1615</v>
      </c>
      <c r="B1590" s="3" t="str">
        <f>HYPERLINK("https://www.suredividend.com/sure-analysis-research-database/","TPI Composites Inc")</f>
        <v>TPI Composites Inc</v>
      </c>
      <c r="C1590" s="2" t="s">
        <v>17</v>
      </c>
      <c r="D1590" s="4">
        <v>2.35</v>
      </c>
      <c r="E1590" s="5">
        <v>0.0</v>
      </c>
      <c r="F1590" s="5" t="s">
        <v>15</v>
      </c>
      <c r="G1590" s="5" t="s">
        <v>15</v>
      </c>
      <c r="H1590" s="4">
        <v>0.0</v>
      </c>
      <c r="I1590" s="4">
        <v>131.119382</v>
      </c>
      <c r="J1590" s="6" t="s">
        <v>15</v>
      </c>
      <c r="K1590" s="5">
        <v>0.0</v>
      </c>
      <c r="L1590" s="7">
        <v>3.75129574628361</v>
      </c>
      <c r="M1590" s="4">
        <v>14.67</v>
      </c>
      <c r="N1590" s="2">
        <v>1.63</v>
      </c>
    </row>
    <row r="1591">
      <c r="A1591" s="2" t="s">
        <v>1616</v>
      </c>
      <c r="B1591" s="3" t="str">
        <f>HYPERLINK("https://www.suredividend.com/sure-analysis-TR/","Tootsie Roll Industries, Inc.")</f>
        <v>Tootsie Roll Industries, Inc.</v>
      </c>
      <c r="C1591" s="2" t="s">
        <v>89</v>
      </c>
      <c r="D1591" s="4">
        <v>31.98</v>
      </c>
      <c r="E1591" s="5">
        <v>0.0112570356472795</v>
      </c>
      <c r="F1591" s="5">
        <v>0.0</v>
      </c>
      <c r="G1591" s="5">
        <v>0.0</v>
      </c>
      <c r="H1591" s="4">
        <v>0.358541924752338</v>
      </c>
      <c r="I1591" s="4">
        <v>1327.290413</v>
      </c>
      <c r="J1591" s="6">
        <v>15.1080829695058</v>
      </c>
      <c r="K1591" s="5">
        <v>0.28683353980187</v>
      </c>
      <c r="L1591" s="7">
        <v>0.381589241849483</v>
      </c>
      <c r="M1591" s="4">
        <v>45.65</v>
      </c>
      <c r="N1591" s="2">
        <v>28.99</v>
      </c>
    </row>
    <row r="1592">
      <c r="A1592" s="2" t="s">
        <v>1617</v>
      </c>
      <c r="B1592" s="3" t="str">
        <f>HYPERLINK("https://www.suredividend.com/sure-analysis-research-database/","Tejon Ranch Co.")</f>
        <v>Tejon Ranch Co.</v>
      </c>
      <c r="C1592" s="2" t="s">
        <v>17</v>
      </c>
      <c r="D1592" s="4">
        <v>15.69</v>
      </c>
      <c r="E1592" s="5">
        <v>0.0</v>
      </c>
      <c r="F1592" s="5" t="s">
        <v>15</v>
      </c>
      <c r="G1592" s="5" t="s">
        <v>15</v>
      </c>
      <c r="H1592" s="4">
        <v>0.0</v>
      </c>
      <c r="I1592" s="4">
        <v>434.96532</v>
      </c>
      <c r="J1592" s="6">
        <v>118.068762244842</v>
      </c>
      <c r="K1592" s="5">
        <v>0.0</v>
      </c>
      <c r="L1592" s="7">
        <v>0.948658033324184</v>
      </c>
      <c r="M1592" s="4">
        <v>20.49</v>
      </c>
      <c r="N1592" s="2">
        <v>15.25</v>
      </c>
    </row>
    <row r="1593">
      <c r="A1593" s="2" t="s">
        <v>1618</v>
      </c>
      <c r="B1593" s="3" t="str">
        <f>HYPERLINK("https://www.suredividend.com/sure-analysis-research-database/","LendingTree Inc.")</f>
        <v>LendingTree Inc.</v>
      </c>
      <c r="C1593" s="2" t="s">
        <v>22</v>
      </c>
      <c r="D1593" s="4">
        <v>29.66</v>
      </c>
      <c r="E1593" s="5">
        <v>0.0</v>
      </c>
      <c r="F1593" s="5" t="s">
        <v>15</v>
      </c>
      <c r="G1593" s="5" t="s">
        <v>15</v>
      </c>
      <c r="H1593" s="4">
        <v>0.0</v>
      </c>
      <c r="I1593" s="4">
        <v>448.466089</v>
      </c>
      <c r="J1593" s="6" t="s">
        <v>15</v>
      </c>
      <c r="K1593" s="5">
        <v>0.0</v>
      </c>
      <c r="L1593" s="7">
        <v>3.31563297778493</v>
      </c>
      <c r="M1593" s="4">
        <v>47.82</v>
      </c>
      <c r="N1593" s="2">
        <v>10.12</v>
      </c>
    </row>
    <row r="1594">
      <c r="A1594" s="2" t="s">
        <v>1619</v>
      </c>
      <c r="B1594" s="3" t="str">
        <f>HYPERLINK("https://www.suredividend.com/sure-analysis-research-database/","Trustmark Corp.")</f>
        <v>Trustmark Corp.</v>
      </c>
      <c r="C1594" s="2" t="s">
        <v>22</v>
      </c>
      <c r="D1594" s="4">
        <v>26.95</v>
      </c>
      <c r="E1594" s="5">
        <v>0.031272389161905</v>
      </c>
      <c r="F1594" s="5">
        <v>0.0</v>
      </c>
      <c r="G1594" s="5">
        <v>0.0</v>
      </c>
      <c r="H1594" s="4">
        <v>0.892826710572388</v>
      </c>
      <c r="I1594" s="4">
        <v>1743.560976</v>
      </c>
      <c r="J1594" s="6">
        <v>18.2949222621533</v>
      </c>
      <c r="K1594" s="5">
        <v>0.572324814469479</v>
      </c>
      <c r="L1594" s="7">
        <v>1.25681617370211</v>
      </c>
      <c r="M1594" s="4">
        <v>28.86</v>
      </c>
      <c r="N1594" s="2">
        <v>18.58</v>
      </c>
    </row>
    <row r="1595">
      <c r="A1595" s="2" t="s">
        <v>1620</v>
      </c>
      <c r="B1595" s="3" t="str">
        <f>HYPERLINK("https://www.suredividend.com/sure-analysis-TRN/","Trinity Industries, Inc.")</f>
        <v>Trinity Industries, Inc.</v>
      </c>
      <c r="C1595" s="2" t="s">
        <v>17</v>
      </c>
      <c r="D1595" s="4">
        <v>25.31</v>
      </c>
      <c r="E1595" s="5">
        <v>0.0442512840774397</v>
      </c>
      <c r="F1595" s="5">
        <v>0.0769230769230771</v>
      </c>
      <c r="G1595" s="5">
        <v>0.104947953796503</v>
      </c>
      <c r="H1595" s="4">
        <v>1.04290046921107</v>
      </c>
      <c r="I1595" s="4">
        <v>2122.109099</v>
      </c>
      <c r="J1595" s="6">
        <v>28.4846858867114</v>
      </c>
      <c r="K1595" s="5">
        <v>1.16786166764958</v>
      </c>
      <c r="L1595" s="7">
        <v>1.43855097423122</v>
      </c>
      <c r="M1595" s="4">
        <v>28.54</v>
      </c>
      <c r="N1595" s="2">
        <v>19.42</v>
      </c>
    </row>
    <row r="1596">
      <c r="A1596" s="2" t="s">
        <v>1621</v>
      </c>
      <c r="B1596" s="3" t="str">
        <f>HYPERLINK("https://www.suredividend.com/sure-analysis-research-database/","Terreno Realty Corp")</f>
        <v>Terreno Realty Corp</v>
      </c>
      <c r="C1596" s="2" t="s">
        <v>20</v>
      </c>
      <c r="D1596" s="4">
        <v>60.03</v>
      </c>
      <c r="E1596" s="5">
        <v>0.027821892580219</v>
      </c>
      <c r="F1596" s="5">
        <v>0.125</v>
      </c>
      <c r="G1596" s="5">
        <v>0.133966577633027</v>
      </c>
      <c r="H1596" s="4">
        <v>1.68183340647429</v>
      </c>
      <c r="I1596" s="4">
        <v>5161.577957</v>
      </c>
      <c r="J1596" s="6">
        <v>33.9441274044626</v>
      </c>
      <c r="K1596" s="5">
        <v>0.894592237486328</v>
      </c>
      <c r="L1596" s="7">
        <v>0.924843076789918</v>
      </c>
      <c r="M1596" s="4">
        <v>65.14</v>
      </c>
      <c r="N1596" s="2">
        <v>50.05</v>
      </c>
    </row>
    <row r="1597">
      <c r="A1597" s="2" t="s">
        <v>1622</v>
      </c>
      <c r="B1597" s="3" t="str">
        <f>HYPERLINK("https://www.suredividend.com/sure-analysis-research-database/","Transcat Inc")</f>
        <v>Transcat Inc</v>
      </c>
      <c r="C1597" s="2" t="s">
        <v>17</v>
      </c>
      <c r="D1597" s="4">
        <v>108.8</v>
      </c>
      <c r="E1597" s="5">
        <v>0.0</v>
      </c>
      <c r="F1597" s="5" t="s">
        <v>15</v>
      </c>
      <c r="G1597" s="5" t="s">
        <v>15</v>
      </c>
      <c r="H1597" s="4">
        <v>0.0</v>
      </c>
      <c r="I1597" s="4">
        <v>900.020258</v>
      </c>
      <c r="J1597" s="6">
        <v>0.0</v>
      </c>
      <c r="K1597" s="5" t="s">
        <v>15</v>
      </c>
      <c r="L1597" s="7">
        <v>0.832019258893169</v>
      </c>
      <c r="M1597" s="4">
        <v>115.41</v>
      </c>
      <c r="N1597" s="2">
        <v>74.89</v>
      </c>
    </row>
    <row r="1598">
      <c r="A1598" s="2" t="s">
        <v>1623</v>
      </c>
      <c r="B1598" s="3" t="str">
        <f>HYPERLINK("https://www.suredividend.com/sure-analysis-research-database/","Tronox Holdings plc")</f>
        <v>Tronox Holdings plc</v>
      </c>
      <c r="C1598" s="2" t="s">
        <v>130</v>
      </c>
      <c r="D1598" s="4">
        <v>13.65</v>
      </c>
      <c r="E1598" s="5">
        <v>0.034077454327772</v>
      </c>
      <c r="F1598" s="5">
        <v>0.0</v>
      </c>
      <c r="G1598" s="5">
        <v>0.226703204696388</v>
      </c>
      <c r="H1598" s="4">
        <v>0.492078440493033</v>
      </c>
      <c r="I1598" s="4">
        <v>2264.101822</v>
      </c>
      <c r="J1598" s="6">
        <v>0.0</v>
      </c>
      <c r="K1598" s="5" t="s">
        <v>15</v>
      </c>
      <c r="L1598" s="7">
        <v>1.95292514674869</v>
      </c>
      <c r="M1598" s="4">
        <v>16.93</v>
      </c>
      <c r="N1598" s="2">
        <v>9.97</v>
      </c>
    </row>
    <row r="1599">
      <c r="A1599" s="2" t="s">
        <v>1624</v>
      </c>
      <c r="B1599" s="3" t="str">
        <f>HYPERLINK("https://www.suredividend.com/sure-analysis-research-database/","Trimas Corporation")</f>
        <v>Trimas Corporation</v>
      </c>
      <c r="C1599" s="2" t="s">
        <v>17</v>
      </c>
      <c r="D1599" s="4">
        <v>24.45</v>
      </c>
      <c r="E1599" s="5">
        <v>0.006296251006005</v>
      </c>
      <c r="F1599" s="5" t="s">
        <v>15</v>
      </c>
      <c r="G1599" s="5" t="s">
        <v>15</v>
      </c>
      <c r="H1599" s="4">
        <v>0.159232187941872</v>
      </c>
      <c r="I1599" s="4">
        <v>1047.370682</v>
      </c>
      <c r="J1599" s="6">
        <v>20.4325142762387</v>
      </c>
      <c r="K1599" s="5">
        <v>0.129457063367375</v>
      </c>
      <c r="L1599" s="7">
        <v>0.832063736450829</v>
      </c>
      <c r="M1599" s="4">
        <v>31.54</v>
      </c>
      <c r="N1599" s="2">
        <v>22.52</v>
      </c>
    </row>
    <row r="1600">
      <c r="A1600" s="2" t="s">
        <v>1625</v>
      </c>
      <c r="B1600" s="3" t="str">
        <f>HYPERLINK("https://www.suredividend.com/sure-analysis-TRST/","Trustco Bank Corp.")</f>
        <v>Trustco Bank Corp.</v>
      </c>
      <c r="C1600" s="2" t="s">
        <v>22</v>
      </c>
      <c r="D1600" s="4">
        <v>27.44</v>
      </c>
      <c r="E1600" s="5">
        <v>0.0524781341107871</v>
      </c>
      <c r="F1600" s="5">
        <v>0.0</v>
      </c>
      <c r="G1600" s="5">
        <v>0.395080271195325</v>
      </c>
      <c r="H1600" s="4">
        <v>1.38559367985784</v>
      </c>
      <c r="I1600" s="4">
        <v>576.820809</v>
      </c>
      <c r="J1600" s="6">
        <v>8.27481506512882</v>
      </c>
      <c r="K1600" s="5">
        <v>0.37857750815788</v>
      </c>
      <c r="L1600" s="7">
        <v>1.05974020168313</v>
      </c>
      <c r="M1600" s="4">
        <v>34.64</v>
      </c>
      <c r="N1600" s="2">
        <v>23.16</v>
      </c>
    </row>
    <row r="1601">
      <c r="A1601" s="2" t="s">
        <v>1626</v>
      </c>
      <c r="B1601" s="3" t="str">
        <f>HYPERLINK("https://www.suredividend.com/sure-analysis-research-database/","Triton International Ltd")</f>
        <v>Triton International Ltd</v>
      </c>
      <c r="C1601" s="2" t="s">
        <v>17</v>
      </c>
      <c r="D1601" s="4">
        <v>79.55</v>
      </c>
      <c r="E1601" s="5">
        <v>0.034738928593399</v>
      </c>
      <c r="F1601" s="5" t="s">
        <v>15</v>
      </c>
      <c r="G1601" s="5" t="s">
        <v>15</v>
      </c>
      <c r="H1601" s="4">
        <v>2.76348176960491</v>
      </c>
      <c r="I1601" s="4">
        <v>4380.115278</v>
      </c>
      <c r="J1601" s="6">
        <v>7.36763050791578</v>
      </c>
      <c r="K1601" s="5">
        <v>0.268038968923852</v>
      </c>
      <c r="L1601" s="7">
        <v>0.576009585777389</v>
      </c>
      <c r="M1601" s="4">
        <v>84.0</v>
      </c>
      <c r="N1601" s="2">
        <v>51.32</v>
      </c>
    </row>
    <row r="1602">
      <c r="A1602" s="2" t="s">
        <v>1627</v>
      </c>
      <c r="B1602" s="3" t="str">
        <f>HYPERLINK("https://www.suredividend.com/sure-analysis-research-database/","TPG RE Finance Trust Inc")</f>
        <v>TPG RE Finance Trust Inc</v>
      </c>
      <c r="C1602" s="2" t="s">
        <v>20</v>
      </c>
      <c r="D1602" s="4">
        <v>5.83</v>
      </c>
      <c r="E1602" s="5">
        <v>0.136971222636538</v>
      </c>
      <c r="F1602" s="5">
        <v>0.0</v>
      </c>
      <c r="G1602" s="5">
        <v>-0.110084938270369</v>
      </c>
      <c r="H1602" s="4">
        <v>0.912228342759345</v>
      </c>
      <c r="I1602" s="4">
        <v>517.713675</v>
      </c>
      <c r="J1602" s="6" t="s">
        <v>15</v>
      </c>
      <c r="K1602" s="5" t="s">
        <v>15</v>
      </c>
      <c r="L1602" s="7">
        <v>1.86278717447576</v>
      </c>
      <c r="M1602" s="4">
        <v>8.05</v>
      </c>
      <c r="N1602" s="2">
        <v>4.49</v>
      </c>
    </row>
    <row r="1603">
      <c r="A1603" s="2" t="b">
        <v>1</v>
      </c>
      <c r="B1603" s="3" t="str">
        <f>HYPERLINK("https://www.suredividend.com/sure-analysis-research-database/","Truecar Inc")</f>
        <v>Truecar Inc</v>
      </c>
      <c r="C1603" s="2" t="s">
        <v>114</v>
      </c>
      <c r="D1603" s="4">
        <v>3.71999999999999</v>
      </c>
      <c r="E1603" s="5">
        <v>0.0</v>
      </c>
      <c r="F1603" s="5" t="s">
        <v>15</v>
      </c>
      <c r="G1603" s="5" t="s">
        <v>15</v>
      </c>
      <c r="H1603" s="4">
        <v>0.0</v>
      </c>
      <c r="I1603" s="4">
        <v>332.255591</v>
      </c>
      <c r="J1603" s="6" t="s">
        <v>15</v>
      </c>
      <c r="K1603" s="5">
        <v>0.0</v>
      </c>
      <c r="L1603" s="7">
        <v>1.82457679897554</v>
      </c>
      <c r="M1603" s="4">
        <v>3.77</v>
      </c>
      <c r="N1603" s="2">
        <v>1.76</v>
      </c>
    </row>
    <row r="1604">
      <c r="A1604" s="2" t="s">
        <v>1628</v>
      </c>
      <c r="B1604" s="3" t="str">
        <f>HYPERLINK("https://www.suredividend.com/sure-analysis-research-database/","Trupanion Inc")</f>
        <v>Trupanion Inc</v>
      </c>
      <c r="C1604" s="2" t="s">
        <v>22</v>
      </c>
      <c r="D1604" s="4">
        <v>27.23</v>
      </c>
      <c r="E1604" s="5">
        <v>0.0</v>
      </c>
      <c r="F1604" s="5" t="s">
        <v>15</v>
      </c>
      <c r="G1604" s="5" t="s">
        <v>15</v>
      </c>
      <c r="H1604" s="4">
        <v>0.0</v>
      </c>
      <c r="I1604" s="4">
        <v>1194.008416</v>
      </c>
      <c r="J1604" s="6" t="s">
        <v>15</v>
      </c>
      <c r="K1604" s="5">
        <v>0.0</v>
      </c>
      <c r="L1604" s="7">
        <v>2.18214699519009</v>
      </c>
      <c r="M1604" s="4">
        <v>69.15</v>
      </c>
      <c r="N1604" s="2">
        <v>18.45</v>
      </c>
    </row>
    <row r="1605">
      <c r="A1605" s="2" t="s">
        <v>1629</v>
      </c>
      <c r="B1605" s="3" t="str">
        <f>HYPERLINK("https://www.suredividend.com/sure-analysis-research-database/","Trinseo PLC")</f>
        <v>Trinseo PLC</v>
      </c>
      <c r="C1605" s="2" t="s">
        <v>130</v>
      </c>
      <c r="D1605" s="4">
        <v>5.72</v>
      </c>
      <c r="E1605" s="5">
        <v>0.024391856920543</v>
      </c>
      <c r="F1605" s="5">
        <v>-0.96875</v>
      </c>
      <c r="G1605" s="5">
        <v>-0.521823750104981</v>
      </c>
      <c r="H1605" s="4">
        <v>0.16952340559778</v>
      </c>
      <c r="I1605" s="4">
        <v>244.606953</v>
      </c>
      <c r="J1605" s="6" t="s">
        <v>15</v>
      </c>
      <c r="K1605" s="5" t="s">
        <v>15</v>
      </c>
      <c r="L1605" s="7">
        <v>2.30594666196964</v>
      </c>
      <c r="M1605" s="4">
        <v>30.24</v>
      </c>
      <c r="N1605" s="2">
        <v>5.21</v>
      </c>
    </row>
    <row r="1606">
      <c r="A1606" s="2" t="s">
        <v>1630</v>
      </c>
      <c r="B1606" s="3" t="str">
        <f>HYPERLINK("https://www.suredividend.com/sure-analysis-research-database/","TuSimple Holdings Inc")</f>
        <v>TuSimple Holdings Inc</v>
      </c>
      <c r="C1606" s="2" t="s">
        <v>15</v>
      </c>
      <c r="D1606" s="4">
        <v>0.265</v>
      </c>
      <c r="E1606" s="5">
        <v>0.0</v>
      </c>
      <c r="F1606" s="5" t="s">
        <v>15</v>
      </c>
      <c r="G1606" s="5" t="s">
        <v>15</v>
      </c>
      <c r="H1606" s="4">
        <v>0.0</v>
      </c>
      <c r="I1606" s="4">
        <v>66.914472</v>
      </c>
      <c r="J1606" s="6" t="s">
        <v>15</v>
      </c>
      <c r="K1606" s="5">
        <v>0.0</v>
      </c>
      <c r="L1606" s="7">
        <v>3.41552882476104</v>
      </c>
      <c r="M1606" s="4">
        <v>2.89</v>
      </c>
      <c r="N1606" s="2">
        <v>0.29</v>
      </c>
    </row>
    <row r="1607">
      <c r="A1607" s="2" t="s">
        <v>1631</v>
      </c>
      <c r="B1607" s="3" t="str">
        <f>HYPERLINK("https://www.suredividend.com/sure-analysis-research-database/","2seventy bio Inc")</f>
        <v>2seventy bio Inc</v>
      </c>
      <c r="C1607" s="2" t="s">
        <v>15</v>
      </c>
      <c r="D1607" s="4">
        <v>5.65</v>
      </c>
      <c r="E1607" s="5">
        <v>0.0</v>
      </c>
      <c r="F1607" s="5" t="s">
        <v>15</v>
      </c>
      <c r="G1607" s="5" t="s">
        <v>15</v>
      </c>
      <c r="H1607" s="4">
        <v>0.0</v>
      </c>
      <c r="I1607" s="4">
        <v>176.679875</v>
      </c>
      <c r="J1607" s="6" t="s">
        <v>15</v>
      </c>
      <c r="K1607" s="5">
        <v>0.0</v>
      </c>
      <c r="L1607" s="7">
        <v>1.52601795753739</v>
      </c>
      <c r="M1607" s="4">
        <v>15.25</v>
      </c>
      <c r="N1607" s="2">
        <v>1.54</v>
      </c>
    </row>
    <row r="1608">
      <c r="A1608" s="2" t="s">
        <v>1632</v>
      </c>
      <c r="B1608" s="3" t="str">
        <f>HYPERLINK("https://www.suredividend.com/sure-analysis-research-database/","Tattooed Chef Inc")</f>
        <v>Tattooed Chef Inc</v>
      </c>
      <c r="C1608" s="2" t="s">
        <v>15</v>
      </c>
      <c r="D1608" s="4">
        <v>0.158</v>
      </c>
      <c r="E1608" s="5">
        <v>0.0</v>
      </c>
      <c r="F1608" s="5" t="s">
        <v>15</v>
      </c>
      <c r="G1608" s="5" t="s">
        <v>15</v>
      </c>
      <c r="H1608" s="4">
        <v>0.0</v>
      </c>
      <c r="I1608" s="4">
        <v>0.0</v>
      </c>
      <c r="J1608" s="6">
        <v>0.0</v>
      </c>
      <c r="K1608" s="5">
        <v>0.0</v>
      </c>
      <c r="L1608" s="7"/>
      <c r="M1608" s="4" t="s">
        <v>49</v>
      </c>
      <c r="N1608" s="2" t="s">
        <v>49</v>
      </c>
    </row>
    <row r="1609">
      <c r="A1609" s="2" t="s">
        <v>1633</v>
      </c>
      <c r="B1609" s="3" t="str">
        <f>HYPERLINK("https://www.suredividend.com/sure-analysis-research-database/","TTEC Holdings Inc")</f>
        <v>TTEC Holdings Inc</v>
      </c>
      <c r="C1609" s="2" t="s">
        <v>40</v>
      </c>
      <c r="D1609" s="4">
        <v>18.93</v>
      </c>
      <c r="E1609" s="5">
        <v>0.046324463704925</v>
      </c>
      <c r="F1609" s="5" t="s">
        <v>15</v>
      </c>
      <c r="G1609" s="5" t="s">
        <v>15</v>
      </c>
      <c r="H1609" s="4">
        <v>1.01728522296017</v>
      </c>
      <c r="I1609" s="4">
        <v>1041.439187</v>
      </c>
      <c r="J1609" s="6">
        <v>25.6001373407733</v>
      </c>
      <c r="K1609" s="5">
        <v>1.18537080279675</v>
      </c>
      <c r="L1609" s="7">
        <v>1.81344812737897</v>
      </c>
      <c r="M1609" s="4">
        <v>51.1</v>
      </c>
      <c r="N1609" s="2">
        <v>15.27</v>
      </c>
    </row>
    <row r="1610">
      <c r="A1610" s="2" t="s">
        <v>1634</v>
      </c>
      <c r="B1610" s="3" t="str">
        <f>HYPERLINK("https://www.suredividend.com/sure-analysis-research-database/","Techtarget Inc.")</f>
        <v>Techtarget Inc.</v>
      </c>
      <c r="C1610" s="2" t="s">
        <v>114</v>
      </c>
      <c r="D1610" s="4">
        <v>33.45</v>
      </c>
      <c r="E1610" s="5">
        <v>0.0</v>
      </c>
      <c r="F1610" s="5" t="s">
        <v>15</v>
      </c>
      <c r="G1610" s="5" t="s">
        <v>15</v>
      </c>
      <c r="H1610" s="4">
        <v>0.0</v>
      </c>
      <c r="I1610" s="4">
        <v>984.364021</v>
      </c>
      <c r="J1610" s="6">
        <v>74.2860177586597</v>
      </c>
      <c r="K1610" s="5">
        <v>0.0</v>
      </c>
      <c r="L1610" s="7">
        <v>1.42353544462301</v>
      </c>
      <c r="M1610" s="4">
        <v>52.95</v>
      </c>
      <c r="N1610" s="2">
        <v>23.43</v>
      </c>
    </row>
    <row r="1611">
      <c r="A1611" s="2" t="s">
        <v>1635</v>
      </c>
      <c r="B1611" s="3" t="str">
        <f>HYPERLINK("https://www.suredividend.com/sure-analysis-research-database/","Tetra Technologies, Inc.")</f>
        <v>Tetra Technologies, Inc.</v>
      </c>
      <c r="C1611" s="2" t="s">
        <v>125</v>
      </c>
      <c r="D1611" s="4">
        <v>3.89</v>
      </c>
      <c r="E1611" s="5">
        <v>0.0</v>
      </c>
      <c r="F1611" s="5" t="s">
        <v>15</v>
      </c>
      <c r="G1611" s="5" t="s">
        <v>15</v>
      </c>
      <c r="H1611" s="4">
        <v>0.0</v>
      </c>
      <c r="I1611" s="4">
        <v>591.860237</v>
      </c>
      <c r="J1611" s="6">
        <v>21.3121687065644</v>
      </c>
      <c r="K1611" s="5">
        <v>0.0</v>
      </c>
      <c r="L1611" s="7">
        <v>1.05871443773414</v>
      </c>
      <c r="M1611" s="4">
        <v>6.77</v>
      </c>
      <c r="N1611" s="2">
        <v>2.43</v>
      </c>
    </row>
    <row r="1612">
      <c r="A1612" s="2" t="s">
        <v>1636</v>
      </c>
      <c r="B1612" s="3" t="str">
        <f>HYPERLINK("https://www.suredividend.com/sure-analysis-research-database/","TTM Technologies Inc")</f>
        <v>TTM Technologies Inc</v>
      </c>
      <c r="C1612" s="2" t="s">
        <v>40</v>
      </c>
      <c r="D1612" s="4">
        <v>14.16</v>
      </c>
      <c r="E1612" s="5">
        <v>0.0</v>
      </c>
      <c r="F1612" s="5" t="s">
        <v>15</v>
      </c>
      <c r="G1612" s="5" t="s">
        <v>15</v>
      </c>
      <c r="H1612" s="4">
        <v>0.0</v>
      </c>
      <c r="I1612" s="4">
        <v>1459.030756</v>
      </c>
      <c r="J1612" s="6" t="s">
        <v>15</v>
      </c>
      <c r="K1612" s="5">
        <v>0.0</v>
      </c>
      <c r="L1612" s="7">
        <v>1.43595017855877</v>
      </c>
      <c r="M1612" s="4">
        <v>16.68</v>
      </c>
      <c r="N1612" s="2">
        <v>11.13</v>
      </c>
    </row>
    <row r="1613">
      <c r="A1613" s="2" t="s">
        <v>1637</v>
      </c>
      <c r="B1613" s="3" t="str">
        <f>HYPERLINK("https://www.suredividend.com/sure-analysis-research-database/","Tile Shop Hldgs Inc")</f>
        <v>Tile Shop Hldgs Inc</v>
      </c>
      <c r="C1613" s="2" t="s">
        <v>25</v>
      </c>
      <c r="D1613" s="4">
        <v>6.29</v>
      </c>
      <c r="E1613" s="5">
        <v>0.0</v>
      </c>
      <c r="F1613" s="5" t="s">
        <v>15</v>
      </c>
      <c r="G1613" s="5" t="s">
        <v>15</v>
      </c>
      <c r="H1613" s="4">
        <v>0.0</v>
      </c>
      <c r="I1613" s="4">
        <v>289.005463</v>
      </c>
      <c r="J1613" s="6">
        <v>26.543484856723</v>
      </c>
      <c r="K1613" s="5">
        <v>0.0</v>
      </c>
      <c r="L1613" s="7">
        <v>1.08548099451035</v>
      </c>
      <c r="M1613" s="4">
        <v>7.67</v>
      </c>
      <c r="N1613" s="2">
        <v>4.07</v>
      </c>
    </row>
    <row r="1614">
      <c r="A1614" s="2" t="s">
        <v>1638</v>
      </c>
      <c r="B1614" s="3" t="str">
        <f>HYPERLINK("https://www.suredividend.com/sure-analysis-research-database/","Tupperware Brands Corporation")</f>
        <v>Tupperware Brands Corporation</v>
      </c>
      <c r="C1614" s="2" t="s">
        <v>25</v>
      </c>
      <c r="D1614" s="4">
        <v>1.5</v>
      </c>
      <c r="E1614" s="5">
        <v>0.0</v>
      </c>
      <c r="F1614" s="5" t="s">
        <v>15</v>
      </c>
      <c r="G1614" s="5" t="s">
        <v>15</v>
      </c>
      <c r="H1614" s="4">
        <v>0.0</v>
      </c>
      <c r="I1614" s="4">
        <v>87.911708</v>
      </c>
      <c r="J1614" s="6" t="s">
        <v>15</v>
      </c>
      <c r="K1614" s="5">
        <v>0.0</v>
      </c>
      <c r="L1614" s="7">
        <v>2.58744779965347</v>
      </c>
      <c r="M1614" s="4">
        <v>5.91</v>
      </c>
      <c r="N1614" s="2">
        <v>0.61</v>
      </c>
    </row>
    <row r="1615">
      <c r="A1615" s="2" t="s">
        <v>1639</v>
      </c>
      <c r="B1615" s="3" t="str">
        <f>HYPERLINK("https://www.suredividend.com/sure-analysis-research-database/","Travere Therapeutics Inc")</f>
        <v>Travere Therapeutics Inc</v>
      </c>
      <c r="C1615" s="2" t="s">
        <v>15</v>
      </c>
      <c r="D1615" s="4">
        <v>8.26</v>
      </c>
      <c r="E1615" s="5">
        <v>0.0</v>
      </c>
      <c r="F1615" s="5" t="s">
        <v>15</v>
      </c>
      <c r="G1615" s="5" t="s">
        <v>15</v>
      </c>
      <c r="H1615" s="4">
        <v>0.0</v>
      </c>
      <c r="I1615" s="4">
        <v>700.359145</v>
      </c>
      <c r="J1615" s="6">
        <v>0.0</v>
      </c>
      <c r="K1615" s="5" t="s">
        <v>15</v>
      </c>
      <c r="L1615" s="7">
        <v>1.411881316812</v>
      </c>
      <c r="M1615" s="4">
        <v>23.18</v>
      </c>
      <c r="N1615" s="2">
        <v>5.25</v>
      </c>
    </row>
    <row r="1616">
      <c r="A1616" s="2" t="s">
        <v>1640</v>
      </c>
      <c r="B1616" s="3" t="str">
        <f>HYPERLINK("https://www.suredividend.com/sure-analysis-research-database/","Titan International, Inc.")</f>
        <v>Titan International, Inc.</v>
      </c>
      <c r="C1616" s="2" t="s">
        <v>17</v>
      </c>
      <c r="D1616" s="4">
        <v>14.41</v>
      </c>
      <c r="E1616" s="5">
        <v>0.0</v>
      </c>
      <c r="F1616" s="5" t="s">
        <v>15</v>
      </c>
      <c r="G1616" s="5" t="s">
        <v>15</v>
      </c>
      <c r="H1616" s="4">
        <v>0.0</v>
      </c>
      <c r="I1616" s="4">
        <v>935.773443</v>
      </c>
      <c r="J1616" s="6">
        <v>7.58540463956551</v>
      </c>
      <c r="K1616" s="5">
        <v>0.0</v>
      </c>
      <c r="L1616" s="7">
        <v>1.25479792986197</v>
      </c>
      <c r="M1616" s="4">
        <v>16.83</v>
      </c>
      <c r="N1616" s="2">
        <v>9.23</v>
      </c>
    </row>
    <row r="1617">
      <c r="A1617" s="2" t="s">
        <v>1641</v>
      </c>
      <c r="B1617" s="3" t="str">
        <f>HYPERLINK("https://www.suredividend.com/sure-analysis-research-database/","Hostess Brands Inc")</f>
        <v>Hostess Brands Inc</v>
      </c>
      <c r="C1617" s="2" t="s">
        <v>89</v>
      </c>
      <c r="D1617" s="4">
        <v>33.3</v>
      </c>
      <c r="E1617" s="5">
        <v>0.0</v>
      </c>
      <c r="F1617" s="5" t="s">
        <v>15</v>
      </c>
      <c r="G1617" s="5" t="s">
        <v>15</v>
      </c>
      <c r="H1617" s="4">
        <v>0.0</v>
      </c>
      <c r="I1617" s="4">
        <v>0.0</v>
      </c>
      <c r="J1617" s="6">
        <v>0.0</v>
      </c>
      <c r="K1617" s="5">
        <v>0.0</v>
      </c>
      <c r="L1617" s="7"/>
      <c r="M1617" s="4" t="s">
        <v>49</v>
      </c>
      <c r="N1617" s="2" t="s">
        <v>49</v>
      </c>
    </row>
    <row r="1618">
      <c r="A1618" s="2" t="s">
        <v>1642</v>
      </c>
      <c r="B1618" s="3" t="str">
        <f>HYPERLINK("https://www.suredividend.com/sure-analysis-TWO/","Two Harbors Investment Corp")</f>
        <v>Two Harbors Investment Corp</v>
      </c>
      <c r="C1618" s="2" t="s">
        <v>20</v>
      </c>
      <c r="D1618" s="4">
        <v>12.32</v>
      </c>
      <c r="E1618" s="5">
        <v>0.146103896103896</v>
      </c>
      <c r="F1618" s="5">
        <v>-0.25</v>
      </c>
      <c r="G1618" s="5">
        <v>-0.00865931268862374</v>
      </c>
      <c r="H1618" s="4">
        <v>1.84918943113446</v>
      </c>
      <c r="I1618" s="4">
        <v>1312.964453</v>
      </c>
      <c r="J1618" s="6">
        <v>46.0656954880359</v>
      </c>
      <c r="K1618" s="5">
        <v>6.65176054364916</v>
      </c>
      <c r="L1618" s="7">
        <v>1.49637675963686</v>
      </c>
      <c r="M1618" s="4">
        <v>16.2</v>
      </c>
      <c r="N1618" s="2">
        <v>9.51</v>
      </c>
    </row>
    <row r="1619">
      <c r="A1619" s="2" t="s">
        <v>1643</v>
      </c>
      <c r="B1619" s="3" t="str">
        <f>HYPERLINK("https://www.suredividend.com/sure-analysis-research-database/","2U Inc")</f>
        <v>2U Inc</v>
      </c>
      <c r="C1619" s="2" t="s">
        <v>89</v>
      </c>
      <c r="D1619" s="4">
        <v>0.683</v>
      </c>
      <c r="E1619" s="5">
        <v>0.0</v>
      </c>
      <c r="F1619" s="5" t="s">
        <v>15</v>
      </c>
      <c r="G1619" s="5" t="s">
        <v>15</v>
      </c>
      <c r="H1619" s="4">
        <v>0.0</v>
      </c>
      <c r="I1619" s="4">
        <v>94.379539</v>
      </c>
      <c r="J1619" s="6" t="s">
        <v>15</v>
      </c>
      <c r="K1619" s="5">
        <v>0.0</v>
      </c>
      <c r="L1619" s="7">
        <v>2.78083963627288</v>
      </c>
      <c r="M1619" s="4">
        <v>13.15</v>
      </c>
      <c r="N1619" s="2">
        <v>0.7307</v>
      </c>
    </row>
    <row r="1620">
      <c r="A1620" s="2" t="s">
        <v>1644</v>
      </c>
      <c r="B1620" s="3" t="str">
        <f>HYPERLINK("https://www.suredividend.com/sure-analysis-research-database/","Twist Bioscience Corp")</f>
        <v>Twist Bioscience Corp</v>
      </c>
      <c r="C1620" s="2" t="s">
        <v>30</v>
      </c>
      <c r="D1620" s="4">
        <v>36.41</v>
      </c>
      <c r="E1620" s="5">
        <v>0.0</v>
      </c>
      <c r="F1620" s="5" t="s">
        <v>15</v>
      </c>
      <c r="G1620" s="5" t="s">
        <v>15</v>
      </c>
      <c r="H1620" s="4">
        <v>0.0</v>
      </c>
      <c r="I1620" s="4">
        <v>2008.976977</v>
      </c>
      <c r="J1620" s="6" t="s">
        <v>15</v>
      </c>
      <c r="K1620" s="5">
        <v>0.0</v>
      </c>
      <c r="L1620" s="7">
        <v>3.07862399206445</v>
      </c>
      <c r="M1620" s="4">
        <v>39.74</v>
      </c>
      <c r="N1620" s="2">
        <v>11.46</v>
      </c>
    </row>
    <row r="1621">
      <c r="A1621" s="2" t="s">
        <v>1645</v>
      </c>
      <c r="B1621" s="3" t="str">
        <f>HYPERLINK("https://www.suredividend.com/sure-analysis-research-database/","Texas Roadhouse Inc")</f>
        <v>Texas Roadhouse Inc</v>
      </c>
      <c r="C1621" s="2" t="s">
        <v>25</v>
      </c>
      <c r="D1621" s="4">
        <v>128.55</v>
      </c>
      <c r="E1621" s="5">
        <v>0.017259055149155</v>
      </c>
      <c r="F1621" s="5" t="s">
        <v>15</v>
      </c>
      <c r="G1621" s="5" t="s">
        <v>15</v>
      </c>
      <c r="H1621" s="4">
        <v>2.17792016927196</v>
      </c>
      <c r="I1621" s="4">
        <v>8427.362165</v>
      </c>
      <c r="J1621" s="6">
        <v>28.8301232768523</v>
      </c>
      <c r="K1621" s="5">
        <v>0.500671303280911</v>
      </c>
      <c r="L1621" s="7">
        <v>0.579950184662303</v>
      </c>
      <c r="M1621" s="4">
        <v>126.42</v>
      </c>
      <c r="N1621" s="2">
        <v>90.62</v>
      </c>
    </row>
    <row r="1622">
      <c r="A1622" s="2" t="s">
        <v>1646</v>
      </c>
      <c r="B1622" s="3" t="str">
        <f>HYPERLINK("https://www.suredividend.com/sure-analysis-research-database/","Tyra Biosciences Inc")</f>
        <v>Tyra Biosciences Inc</v>
      </c>
      <c r="C1622" s="2" t="s">
        <v>15</v>
      </c>
      <c r="D1622" s="4">
        <v>17.25</v>
      </c>
      <c r="E1622" s="5">
        <v>0.0</v>
      </c>
      <c r="F1622" s="5" t="s">
        <v>15</v>
      </c>
      <c r="G1622" s="5" t="s">
        <v>15</v>
      </c>
      <c r="H1622" s="4">
        <v>0.0</v>
      </c>
      <c r="I1622" s="4">
        <v>596.363646</v>
      </c>
      <c r="J1622" s="6">
        <v>0.0</v>
      </c>
      <c r="K1622" s="5" t="s">
        <v>15</v>
      </c>
      <c r="L1622" s="7">
        <v>2.0305389412047</v>
      </c>
      <c r="M1622" s="4">
        <v>19.74</v>
      </c>
      <c r="N1622" s="2">
        <v>9.15</v>
      </c>
    </row>
    <row r="1623">
      <c r="A1623" s="2" t="s">
        <v>1647</v>
      </c>
      <c r="B1623" s="3" t="str">
        <f>HYPERLINK("https://www.suredividend.com/sure-analysis-research-database/","Urstadt Biddle Properties, Inc.")</f>
        <v>Urstadt Biddle Properties, Inc.</v>
      </c>
      <c r="C1623" s="2" t="s">
        <v>20</v>
      </c>
      <c r="D1623" s="4">
        <v>21.14</v>
      </c>
      <c r="E1623" s="5">
        <v>0.055464129916136</v>
      </c>
      <c r="F1623" s="5" t="s">
        <v>15</v>
      </c>
      <c r="G1623" s="5" t="s">
        <v>15</v>
      </c>
      <c r="H1623" s="4">
        <v>1.17251170642713</v>
      </c>
      <c r="I1623" s="4">
        <v>832.174133</v>
      </c>
      <c r="J1623" s="6">
        <v>32.5729659210114</v>
      </c>
      <c r="K1623" s="5">
        <v>1.74377112794041</v>
      </c>
      <c r="L1623" s="7">
        <v>0.811919697943923</v>
      </c>
      <c r="M1623" s="4">
        <v>23.16</v>
      </c>
      <c r="N1623" s="2">
        <v>14.51</v>
      </c>
    </row>
    <row r="1624">
      <c r="A1624" s="2" t="s">
        <v>1648</v>
      </c>
      <c r="B1624" s="3" t="str">
        <f>HYPERLINK("https://www.suredividend.com/sure-analysis-UBSI/","United Bankshares, Inc.")</f>
        <v>United Bankshares, Inc.</v>
      </c>
      <c r="C1624" s="2" t="s">
        <v>22</v>
      </c>
      <c r="D1624" s="4">
        <v>34.97</v>
      </c>
      <c r="E1624" s="5">
        <v>0.0423219902773806</v>
      </c>
      <c r="F1624" s="5">
        <v>0.0277777777777779</v>
      </c>
      <c r="G1624" s="5">
        <v>0.0170552861710353</v>
      </c>
      <c r="H1624" s="4">
        <v>1.4025073501417</v>
      </c>
      <c r="I1624" s="4">
        <v>5069.433374</v>
      </c>
      <c r="J1624" s="6">
        <v>13.1098802485466</v>
      </c>
      <c r="K1624" s="5">
        <v>0.488678519213137</v>
      </c>
      <c r="L1624" s="7">
        <v>1.44881866116676</v>
      </c>
      <c r="M1624" s="4">
        <v>39.3</v>
      </c>
      <c r="N1624" s="2">
        <v>24.81</v>
      </c>
    </row>
    <row r="1625">
      <c r="A1625" s="2" t="s">
        <v>1649</v>
      </c>
      <c r="B1625" s="3" t="str">
        <f>HYPERLINK("https://www.suredividend.com/sure-analysis-research-database/","United Community Banks Inc")</f>
        <v>United Community Banks Inc</v>
      </c>
      <c r="C1625" s="2" t="s">
        <v>22</v>
      </c>
      <c r="D1625" s="4">
        <v>26.81</v>
      </c>
      <c r="E1625" s="5">
        <v>0.030985118444334</v>
      </c>
      <c r="F1625" s="5">
        <v>0.0454545454545454</v>
      </c>
      <c r="G1625" s="5">
        <v>0.0752800064055696</v>
      </c>
      <c r="H1625" s="4">
        <v>0.899188137254583</v>
      </c>
      <c r="I1625" s="4">
        <v>3452.795276</v>
      </c>
      <c r="J1625" s="6">
        <v>13.9495043896073</v>
      </c>
      <c r="K1625" s="5">
        <v>0.416290804284529</v>
      </c>
      <c r="L1625" s="7">
        <v>1.76012976352405</v>
      </c>
      <c r="M1625" s="4">
        <v>32.69</v>
      </c>
      <c r="N1625" s="2">
        <v>19.52</v>
      </c>
    </row>
    <row r="1626">
      <c r="A1626" s="2" t="s">
        <v>1650</v>
      </c>
      <c r="B1626" s="3" t="str">
        <f>HYPERLINK("https://www.suredividend.com/sure-analysis-research-database/","Ultra Clean Hldgs Inc")</f>
        <v>Ultra Clean Hldgs Inc</v>
      </c>
      <c r="C1626" s="2" t="s">
        <v>40</v>
      </c>
      <c r="D1626" s="4">
        <v>39.74</v>
      </c>
      <c r="E1626" s="5">
        <v>0.0</v>
      </c>
      <c r="F1626" s="5" t="s">
        <v>15</v>
      </c>
      <c r="G1626" s="5" t="s">
        <v>15</v>
      </c>
      <c r="H1626" s="4">
        <v>0.0</v>
      </c>
      <c r="I1626" s="4">
        <v>1737.640994</v>
      </c>
      <c r="J1626" s="6">
        <v>2896.0683234</v>
      </c>
      <c r="K1626" s="5">
        <v>0.0</v>
      </c>
      <c r="L1626" s="7">
        <v>1.81218662441968</v>
      </c>
      <c r="M1626" s="4">
        <v>40.8</v>
      </c>
      <c r="N1626" s="2">
        <v>22.15</v>
      </c>
    </row>
    <row r="1627">
      <c r="A1627" s="2" t="s">
        <v>1651</v>
      </c>
      <c r="B1627" s="3" t="str">
        <f>HYPERLINK("https://www.suredividend.com/sure-analysis-research-database/","Udemy Inc")</f>
        <v>Udemy Inc</v>
      </c>
      <c r="C1627" s="2" t="s">
        <v>15</v>
      </c>
      <c r="D1627" s="4">
        <v>13.82</v>
      </c>
      <c r="E1627" s="5">
        <v>0.0</v>
      </c>
      <c r="F1627" s="5" t="s">
        <v>15</v>
      </c>
      <c r="G1627" s="5" t="s">
        <v>15</v>
      </c>
      <c r="H1627" s="4">
        <v>0.0</v>
      </c>
      <c r="I1627" s="4">
        <v>2214.077027</v>
      </c>
      <c r="J1627" s="6" t="s">
        <v>15</v>
      </c>
      <c r="K1627" s="5">
        <v>0.0</v>
      </c>
      <c r="L1627" s="7">
        <v>1.85706592700385</v>
      </c>
      <c r="M1627" s="4">
        <v>16.01</v>
      </c>
      <c r="N1627" s="2">
        <v>8.17</v>
      </c>
    </row>
    <row r="1628">
      <c r="A1628" s="2" t="s">
        <v>1652</v>
      </c>
      <c r="B1628" s="3" t="str">
        <f>HYPERLINK("https://www.suredividend.com/sure-analysis-UE/","Urban Edge Properties")</f>
        <v>Urban Edge Properties</v>
      </c>
      <c r="C1628" s="2" t="s">
        <v>20</v>
      </c>
      <c r="D1628" s="4">
        <v>16.95</v>
      </c>
      <c r="E1628" s="5">
        <v>0.0377581120943952</v>
      </c>
      <c r="F1628" s="5" t="s">
        <v>15</v>
      </c>
      <c r="G1628" s="5" t="s">
        <v>15</v>
      </c>
      <c r="H1628" s="4">
        <v>0.630959824952255</v>
      </c>
      <c r="I1628" s="4">
        <v>2088.154056</v>
      </c>
      <c r="J1628" s="6">
        <v>51.0476227326064</v>
      </c>
      <c r="K1628" s="5">
        <v>1.87897505941707</v>
      </c>
      <c r="L1628" s="7">
        <v>1.20722658877057</v>
      </c>
      <c r="M1628" s="4">
        <v>18.79</v>
      </c>
      <c r="N1628" s="2">
        <v>12.74</v>
      </c>
    </row>
    <row r="1629">
      <c r="A1629" s="2" t="s">
        <v>1653</v>
      </c>
      <c r="B1629" s="3" t="str">
        <f>HYPERLINK("https://www.suredividend.com/sure-analysis-research-database/","Uranium Energy Corp")</f>
        <v>Uranium Energy Corp</v>
      </c>
      <c r="C1629" s="2" t="s">
        <v>125</v>
      </c>
      <c r="D1629" s="4">
        <v>7.98</v>
      </c>
      <c r="E1629" s="5">
        <v>0.0</v>
      </c>
      <c r="F1629" s="5" t="s">
        <v>15</v>
      </c>
      <c r="G1629" s="5" t="s">
        <v>15</v>
      </c>
      <c r="H1629" s="4">
        <v>0.0</v>
      </c>
      <c r="I1629" s="4">
        <v>2919.839349</v>
      </c>
      <c r="J1629" s="6">
        <v>774.4931961061</v>
      </c>
      <c r="K1629" s="5">
        <v>0.0</v>
      </c>
      <c r="L1629" s="7">
        <v>1.10066883511993</v>
      </c>
      <c r="M1629" s="4">
        <v>8.29</v>
      </c>
      <c r="N1629" s="2">
        <v>2.3</v>
      </c>
    </row>
    <row r="1630">
      <c r="A1630" s="2" t="s">
        <v>1654</v>
      </c>
      <c r="B1630" s="3" t="str">
        <f>HYPERLINK("https://www.suredividend.com/sure-analysis-research-database/","Universal Electronics Inc.")</f>
        <v>Universal Electronics Inc.</v>
      </c>
      <c r="C1630" s="2" t="s">
        <v>40</v>
      </c>
      <c r="D1630" s="4">
        <v>8.54</v>
      </c>
      <c r="E1630" s="5">
        <v>0.0</v>
      </c>
      <c r="F1630" s="5" t="s">
        <v>15</v>
      </c>
      <c r="G1630" s="5" t="s">
        <v>15</v>
      </c>
      <c r="H1630" s="4">
        <v>0.0</v>
      </c>
      <c r="I1630" s="4">
        <v>117.475937</v>
      </c>
      <c r="J1630" s="6" t="s">
        <v>15</v>
      </c>
      <c r="K1630" s="5">
        <v>0.0</v>
      </c>
      <c r="L1630" s="7">
        <v>1.30271177237831</v>
      </c>
      <c r="M1630" s="4">
        <v>25.91</v>
      </c>
      <c r="N1630" s="2">
        <v>7.02</v>
      </c>
    </row>
    <row r="1631">
      <c r="A1631" s="2" t="s">
        <v>1655</v>
      </c>
      <c r="B1631" s="3" t="str">
        <f>HYPERLINK("https://www.suredividend.com/sure-analysis-research-database/","United Fire Group Inc")</f>
        <v>United Fire Group Inc</v>
      </c>
      <c r="C1631" s="2" t="s">
        <v>22</v>
      </c>
      <c r="D1631" s="4">
        <v>21.62</v>
      </c>
      <c r="E1631" s="5">
        <v>0.027309230306507</v>
      </c>
      <c r="F1631" s="5">
        <v>0.0</v>
      </c>
      <c r="G1631" s="5">
        <v>-0.123904080110199</v>
      </c>
      <c r="H1631" s="4">
        <v>0.625381374019018</v>
      </c>
      <c r="I1631" s="4">
        <v>578.576538</v>
      </c>
      <c r="J1631" s="6" t="s">
        <v>15</v>
      </c>
      <c r="K1631" s="5" t="s">
        <v>15</v>
      </c>
      <c r="L1631" s="7">
        <v>0.622951347098292</v>
      </c>
      <c r="M1631" s="4">
        <v>30.89</v>
      </c>
      <c r="N1631" s="2">
        <v>18.13</v>
      </c>
    </row>
    <row r="1632">
      <c r="A1632" s="2" t="s">
        <v>1656</v>
      </c>
      <c r="B1632" s="3" t="str">
        <f>HYPERLINK("https://www.suredividend.com/sure-analysis-research-database/","UNIFI, Inc.")</f>
        <v>UNIFI, Inc.</v>
      </c>
      <c r="C1632" s="2" t="s">
        <v>25</v>
      </c>
      <c r="D1632" s="4">
        <v>6.09</v>
      </c>
      <c r="E1632" s="5">
        <v>0.0</v>
      </c>
      <c r="F1632" s="5" t="s">
        <v>15</v>
      </c>
      <c r="G1632" s="5" t="s">
        <v>15</v>
      </c>
      <c r="H1632" s="4">
        <v>0.0</v>
      </c>
      <c r="I1632" s="4">
        <v>118.844929</v>
      </c>
      <c r="J1632" s="6" t="s">
        <v>15</v>
      </c>
      <c r="K1632" s="5">
        <v>0.0</v>
      </c>
      <c r="L1632" s="7">
        <v>1.42071584236057</v>
      </c>
      <c r="M1632" s="4">
        <v>10.54</v>
      </c>
      <c r="N1632" s="2">
        <v>5.85</v>
      </c>
    </row>
    <row r="1633">
      <c r="A1633" s="2" t="s">
        <v>1657</v>
      </c>
      <c r="B1633" s="3" t="str">
        <f>HYPERLINK("https://www.suredividend.com/sure-analysis-research-database/","UFP Industries Inc")</f>
        <v>UFP Industries Inc</v>
      </c>
      <c r="C1633" s="2" t="s">
        <v>130</v>
      </c>
      <c r="D1633" s="4">
        <v>112.63</v>
      </c>
      <c r="E1633" s="5">
        <v>0.009394038522781</v>
      </c>
      <c r="F1633" s="5" t="s">
        <v>15</v>
      </c>
      <c r="G1633" s="5" t="s">
        <v>15</v>
      </c>
      <c r="H1633" s="4">
        <v>1.09205697827338</v>
      </c>
      <c r="I1633" s="4">
        <v>7171.11375</v>
      </c>
      <c r="J1633" s="6">
        <v>13.8444903817937</v>
      </c>
      <c r="K1633" s="5">
        <v>0.12802543707777</v>
      </c>
      <c r="L1633" s="7">
        <v>1.47024315144299</v>
      </c>
      <c r="M1633" s="4">
        <v>128.65</v>
      </c>
      <c r="N1633" s="2">
        <v>73.95</v>
      </c>
    </row>
    <row r="1634">
      <c r="A1634" s="2" t="s">
        <v>1658</v>
      </c>
      <c r="B1634" s="3" t="str">
        <f>HYPERLINK("https://www.suredividend.com/sure-analysis-research-database/","UFP Technologies Inc.")</f>
        <v>UFP Technologies Inc.</v>
      </c>
      <c r="C1634" s="2" t="s">
        <v>25</v>
      </c>
      <c r="D1634" s="4">
        <v>178.69</v>
      </c>
      <c r="E1634" s="5">
        <v>0.0</v>
      </c>
      <c r="F1634" s="5" t="s">
        <v>15</v>
      </c>
      <c r="G1634" s="5" t="s">
        <v>15</v>
      </c>
      <c r="H1634" s="4">
        <v>0.0</v>
      </c>
      <c r="I1634" s="4">
        <v>1315.861755</v>
      </c>
      <c r="J1634" s="6">
        <v>31.4965234123222</v>
      </c>
      <c r="K1634" s="5">
        <v>0.0</v>
      </c>
      <c r="L1634" s="7">
        <v>1.00485038190364</v>
      </c>
      <c r="M1634" s="4">
        <v>205.08</v>
      </c>
      <c r="N1634" s="2">
        <v>103.64</v>
      </c>
    </row>
    <row r="1635">
      <c r="A1635" s="2" t="s">
        <v>1659</v>
      </c>
      <c r="B1635" s="3" t="str">
        <f>HYPERLINK("https://www.suredividend.com/sure-analysis-UHT/","Universal Health Realty Income Trust")</f>
        <v>Universal Health Realty Income Trust</v>
      </c>
      <c r="C1635" s="2" t="s">
        <v>20</v>
      </c>
      <c r="D1635" s="4">
        <v>39.01</v>
      </c>
      <c r="E1635" s="5">
        <v>0.0743399128428608</v>
      </c>
      <c r="F1635" s="5">
        <v>0.0139860139860139</v>
      </c>
      <c r="G1635" s="5">
        <v>0.0143944087395904</v>
      </c>
      <c r="H1635" s="4">
        <v>2.81256523031414</v>
      </c>
      <c r="I1635" s="4">
        <v>582.226992</v>
      </c>
      <c r="J1635" s="6">
        <v>33.3884041954352</v>
      </c>
      <c r="K1635" s="5">
        <v>2.23219462723345</v>
      </c>
      <c r="L1635" s="7">
        <v>0.857645078780494</v>
      </c>
      <c r="M1635" s="4">
        <v>54.08</v>
      </c>
      <c r="N1635" s="2">
        <v>36.4</v>
      </c>
    </row>
    <row r="1636">
      <c r="A1636" s="2" t="s">
        <v>1660</v>
      </c>
      <c r="B1636" s="3" t="str">
        <f>HYPERLINK("https://www.suredividend.com/sure-analysis-research-database/","Unisys Corp.")</f>
        <v>Unisys Corp.</v>
      </c>
      <c r="C1636" s="2" t="s">
        <v>40</v>
      </c>
      <c r="D1636" s="4">
        <v>6.5</v>
      </c>
      <c r="E1636" s="5">
        <v>0.0</v>
      </c>
      <c r="F1636" s="5" t="s">
        <v>15</v>
      </c>
      <c r="G1636" s="5" t="s">
        <v>15</v>
      </c>
      <c r="H1636" s="4">
        <v>0.0</v>
      </c>
      <c r="I1636" s="4">
        <v>506.800718</v>
      </c>
      <c r="J1636" s="6" t="s">
        <v>15</v>
      </c>
      <c r="K1636" s="5">
        <v>0.0</v>
      </c>
      <c r="L1636" s="7">
        <v>2.26142503810305</v>
      </c>
      <c r="M1636" s="4">
        <v>7.77</v>
      </c>
      <c r="N1636" s="2">
        <v>2.6</v>
      </c>
    </row>
    <row r="1637">
      <c r="A1637" s="2" t="s">
        <v>1661</v>
      </c>
      <c r="B1637" s="3" t="str">
        <f>HYPERLINK("https://www.suredividend.com/sure-analysis-research-database/","Frontier Group Holdings Inc")</f>
        <v>Frontier Group Holdings Inc</v>
      </c>
      <c r="C1637" s="2" t="s">
        <v>15</v>
      </c>
      <c r="D1637" s="4">
        <v>5.15</v>
      </c>
      <c r="E1637" s="5">
        <v>0.0</v>
      </c>
      <c r="F1637" s="5" t="s">
        <v>15</v>
      </c>
      <c r="G1637" s="5" t="s">
        <v>15</v>
      </c>
      <c r="H1637" s="4">
        <v>0.0</v>
      </c>
      <c r="I1637" s="4">
        <v>1213.639828</v>
      </c>
      <c r="J1637" s="6">
        <v>18.3884822468181</v>
      </c>
      <c r="K1637" s="5">
        <v>0.0</v>
      </c>
      <c r="L1637" s="7">
        <v>2.06483488753079</v>
      </c>
      <c r="M1637" s="4">
        <v>14.1</v>
      </c>
      <c r="N1637" s="2">
        <v>3.19</v>
      </c>
    </row>
    <row r="1638">
      <c r="A1638" s="2" t="s">
        <v>1662</v>
      </c>
      <c r="B1638" s="3" t="str">
        <f>HYPERLINK("https://www.suredividend.com/sure-analysis-research-database/","Universal Logistics Holdings Inc")</f>
        <v>Universal Logistics Holdings Inc</v>
      </c>
      <c r="C1638" s="2" t="s">
        <v>17</v>
      </c>
      <c r="D1638" s="4">
        <v>29.94</v>
      </c>
      <c r="E1638" s="5">
        <v>0.013942182737704</v>
      </c>
      <c r="F1638" s="5">
        <v>0.0</v>
      </c>
      <c r="G1638" s="5">
        <v>0.0</v>
      </c>
      <c r="H1638" s="4">
        <v>0.414919358274099</v>
      </c>
      <c r="I1638" s="4">
        <v>782.218476</v>
      </c>
      <c r="J1638" s="6">
        <v>7.45438538967351</v>
      </c>
      <c r="K1638" s="5">
        <v>0.103989814103784</v>
      </c>
      <c r="L1638" s="7">
        <v>1.14328935909584</v>
      </c>
      <c r="M1638" s="4">
        <v>43.78</v>
      </c>
      <c r="N1638" s="2">
        <v>20.67</v>
      </c>
    </row>
    <row r="1639">
      <c r="A1639" s="2" t="s">
        <v>1663</v>
      </c>
      <c r="B1639" s="3" t="str">
        <f>HYPERLINK("https://www.suredividend.com/sure-analysis-UMBF/","UMB Financial Corp.")</f>
        <v>UMB Financial Corp.</v>
      </c>
      <c r="C1639" s="2" t="s">
        <v>22</v>
      </c>
      <c r="D1639" s="4">
        <v>80.35</v>
      </c>
      <c r="E1639" s="5">
        <v>0.0194150591163659</v>
      </c>
      <c r="F1639" s="5">
        <v>0.0263157894736842</v>
      </c>
      <c r="G1639" s="5">
        <v>0.0538739520617834</v>
      </c>
      <c r="H1639" s="4">
        <v>1.50479917563551</v>
      </c>
      <c r="I1639" s="4">
        <v>4051.293743</v>
      </c>
      <c r="J1639" s="6">
        <v>10.6817070065968</v>
      </c>
      <c r="K1639" s="5">
        <v>0.193418917176801</v>
      </c>
      <c r="L1639" s="7">
        <v>1.57884797362459</v>
      </c>
      <c r="M1639" s="4">
        <v>89.17</v>
      </c>
      <c r="N1639" s="2">
        <v>48.98</v>
      </c>
    </row>
    <row r="1640">
      <c r="A1640" s="2" t="s">
        <v>1664</v>
      </c>
      <c r="B1640" s="3" t="str">
        <f>HYPERLINK("https://www.suredividend.com/sure-analysis-UMH/","UMH Properties Inc")</f>
        <v>UMH Properties Inc</v>
      </c>
      <c r="C1640" s="2" t="s">
        <v>20</v>
      </c>
      <c r="D1640" s="4">
        <v>14.53</v>
      </c>
      <c r="E1640" s="5">
        <v>0.0564349621472814</v>
      </c>
      <c r="F1640" s="5">
        <v>0.0249999999999999</v>
      </c>
      <c r="G1640" s="5">
        <v>0.0263518540707108</v>
      </c>
      <c r="H1640" s="4">
        <v>0.803308701330704</v>
      </c>
      <c r="I1640" s="4">
        <v>1035.147034</v>
      </c>
      <c r="J1640" s="6" t="s">
        <v>15</v>
      </c>
      <c r="K1640" s="5" t="s">
        <v>15</v>
      </c>
      <c r="L1640" s="7">
        <v>1.12459566790206</v>
      </c>
      <c r="M1640" s="4">
        <v>17.92</v>
      </c>
      <c r="N1640" s="2">
        <v>13.07</v>
      </c>
    </row>
    <row r="1641">
      <c r="A1641" s="2" t="s">
        <v>1665</v>
      </c>
      <c r="B1641" s="3" t="str">
        <f>HYPERLINK("https://www.suredividend.com/sure-analysis-UNF/","Unifirst Corp.")</f>
        <v>Unifirst Corp.</v>
      </c>
      <c r="C1641" s="2" t="s">
        <v>17</v>
      </c>
      <c r="D1641" s="4">
        <v>170.2</v>
      </c>
      <c r="E1641" s="5">
        <v>0.00728554641598119</v>
      </c>
      <c r="F1641" s="5">
        <v>0.0645161290322582</v>
      </c>
      <c r="G1641" s="5">
        <v>0.240144477029493</v>
      </c>
      <c r="H1641" s="4">
        <v>1.25664415512572</v>
      </c>
      <c r="I1641" s="4">
        <v>2623.274461</v>
      </c>
      <c r="J1641" s="6">
        <v>23.4133134074722</v>
      </c>
      <c r="K1641" s="5">
        <v>0.210493158312516</v>
      </c>
      <c r="L1641" s="7">
        <v>0.736265648469862</v>
      </c>
      <c r="M1641" s="4">
        <v>204.16</v>
      </c>
      <c r="N1641" s="2">
        <v>149.96</v>
      </c>
    </row>
    <row r="1642">
      <c r="A1642" s="2" t="s">
        <v>1666</v>
      </c>
      <c r="B1642" s="3" t="str">
        <f>HYPERLINK("https://www.suredividend.com/sure-analysis-research-database/","United Natural Foods Inc.")</f>
        <v>United Natural Foods Inc.</v>
      </c>
      <c r="C1642" s="2" t="s">
        <v>89</v>
      </c>
      <c r="D1642" s="4">
        <v>16.23</v>
      </c>
      <c r="E1642" s="5">
        <v>0.0</v>
      </c>
      <c r="F1642" s="5" t="s">
        <v>15</v>
      </c>
      <c r="G1642" s="5" t="s">
        <v>15</v>
      </c>
      <c r="H1642" s="4">
        <v>0.0</v>
      </c>
      <c r="I1642" s="4">
        <v>897.654412</v>
      </c>
      <c r="J1642" s="6" t="s">
        <v>15</v>
      </c>
      <c r="K1642" s="5">
        <v>0.0</v>
      </c>
      <c r="L1642" s="7">
        <v>1.35709884664748</v>
      </c>
      <c r="M1642" s="4">
        <v>43.95</v>
      </c>
      <c r="N1642" s="2">
        <v>12.88</v>
      </c>
    </row>
    <row r="1643">
      <c r="A1643" s="2" t="s">
        <v>1667</v>
      </c>
      <c r="B1643" s="3" t="str">
        <f>HYPERLINK("https://www.suredividend.com/sure-analysis-UNIT/","Uniti Group Inc")</f>
        <v>Uniti Group Inc</v>
      </c>
      <c r="C1643" s="2" t="s">
        <v>20</v>
      </c>
      <c r="D1643" s="4">
        <v>5.11</v>
      </c>
      <c r="E1643" s="5">
        <v>0.117416829745596</v>
      </c>
      <c r="F1643" s="5">
        <v>0.0</v>
      </c>
      <c r="G1643" s="5">
        <v>0.245730939615517</v>
      </c>
      <c r="H1643" s="4">
        <v>0.570966497985184</v>
      </c>
      <c r="I1643" s="4">
        <v>1305.536398</v>
      </c>
      <c r="J1643" s="6" t="s">
        <v>15</v>
      </c>
      <c r="K1643" s="5" t="s">
        <v>15</v>
      </c>
      <c r="L1643" s="7">
        <v>2.2320789870221</v>
      </c>
      <c r="M1643" s="4">
        <v>6.0</v>
      </c>
      <c r="N1643" s="2">
        <v>2.6</v>
      </c>
    </row>
    <row r="1644">
      <c r="A1644" s="2" t="s">
        <v>1668</v>
      </c>
      <c r="B1644" s="3" t="str">
        <f>HYPERLINK("https://www.suredividend.com/sure-analysis-research-database/","Unity Bancorp, Inc.")</f>
        <v>Unity Bancorp, Inc.</v>
      </c>
      <c r="C1644" s="2" t="s">
        <v>22</v>
      </c>
      <c r="D1644" s="4">
        <v>26.89</v>
      </c>
      <c r="E1644" s="5">
        <v>0.01578091055496</v>
      </c>
      <c r="F1644" s="5">
        <v>0.0909090909090908</v>
      </c>
      <c r="G1644" s="5">
        <v>0.113824178602878</v>
      </c>
      <c r="H1644" s="4">
        <v>0.473269507543255</v>
      </c>
      <c r="I1644" s="4">
        <v>301.630783</v>
      </c>
      <c r="J1644" s="6">
        <v>0.0</v>
      </c>
      <c r="K1644" s="5" t="s">
        <v>15</v>
      </c>
      <c r="L1644" s="7">
        <v>0.886369872751618</v>
      </c>
      <c r="M1644" s="4">
        <v>30.7</v>
      </c>
      <c r="N1644" s="2">
        <v>19.44</v>
      </c>
    </row>
    <row r="1645">
      <c r="A1645" s="2" t="s">
        <v>1669</v>
      </c>
      <c r="B1645" s="3" t="str">
        <f t="shared" ref="B1645:B1646" si="4">HYPERLINK("https://www.suredividend.com/sure-analysis-research-database/","Urban One Inc")</f>
        <v>Urban One Inc</v>
      </c>
      <c r="C1645" s="2" t="s">
        <v>114</v>
      </c>
      <c r="D1645" s="4">
        <v>3.76</v>
      </c>
      <c r="E1645" s="5">
        <v>0.0</v>
      </c>
      <c r="F1645" s="5" t="s">
        <v>15</v>
      </c>
      <c r="G1645" s="5" t="s">
        <v>15</v>
      </c>
      <c r="H1645" s="4">
        <v>0.0</v>
      </c>
      <c r="I1645" s="4">
        <v>171.486311</v>
      </c>
      <c r="J1645" s="6">
        <v>11.6293442764139</v>
      </c>
      <c r="K1645" s="5">
        <v>0.0</v>
      </c>
      <c r="L1645" s="7">
        <v>0.982384760188532</v>
      </c>
      <c r="M1645" s="4">
        <v>8.04</v>
      </c>
      <c r="N1645" s="2">
        <v>3.47</v>
      </c>
    </row>
    <row r="1646">
      <c r="A1646" s="2" t="s">
        <v>1670</v>
      </c>
      <c r="B1646" s="3" t="str">
        <f t="shared" si="4"/>
        <v>Urban One Inc</v>
      </c>
      <c r="C1646" s="2" t="s">
        <v>114</v>
      </c>
      <c r="D1646" s="4">
        <v>3.52</v>
      </c>
      <c r="E1646" s="5">
        <v>0.0</v>
      </c>
      <c r="F1646" s="5" t="s">
        <v>15</v>
      </c>
      <c r="G1646" s="5" t="s">
        <v>15</v>
      </c>
      <c r="H1646" s="4">
        <v>0.0</v>
      </c>
      <c r="I1646" s="4">
        <v>171.486311</v>
      </c>
      <c r="J1646" s="6">
        <v>11.6293442764139</v>
      </c>
      <c r="K1646" s="5">
        <v>0.0</v>
      </c>
      <c r="L1646" s="7">
        <v>0.839303485179457</v>
      </c>
      <c r="M1646" s="4">
        <v>6.34</v>
      </c>
      <c r="N1646" s="2">
        <v>3.33</v>
      </c>
    </row>
    <row r="1647">
      <c r="A1647" s="2" t="s">
        <v>1671</v>
      </c>
      <c r="B1647" s="3" t="str">
        <f>HYPERLINK("https://www.suredividend.com/sure-analysis-research-database/","Wheels Up Experience Inc")</f>
        <v>Wheels Up Experience Inc</v>
      </c>
      <c r="C1647" s="2" t="s">
        <v>15</v>
      </c>
      <c r="D1647" s="4">
        <v>3.35</v>
      </c>
      <c r="E1647" s="5">
        <v>0.0</v>
      </c>
      <c r="F1647" s="5" t="s">
        <v>15</v>
      </c>
      <c r="G1647" s="5" t="s">
        <v>15</v>
      </c>
      <c r="H1647" s="4">
        <v>0.0</v>
      </c>
      <c r="I1647" s="4">
        <v>563.826267</v>
      </c>
      <c r="J1647" s="6" t="s">
        <v>15</v>
      </c>
      <c r="K1647" s="5">
        <v>0.0</v>
      </c>
      <c r="L1647" s="7">
        <v>2.84976287207435</v>
      </c>
      <c r="M1647" s="4">
        <v>14.6</v>
      </c>
      <c r="N1647" s="2">
        <v>0.98</v>
      </c>
    </row>
    <row r="1648">
      <c r="A1648" s="2" t="s">
        <v>1672</v>
      </c>
      <c r="B1648" s="3" t="str">
        <f>HYPERLINK("https://www.suredividend.com/sure-analysis-research-database/","Upbound Group Inc")</f>
        <v>Upbound Group Inc</v>
      </c>
      <c r="C1648" s="2" t="s">
        <v>15</v>
      </c>
      <c r="D1648" s="4">
        <v>32.6</v>
      </c>
      <c r="E1648" s="5">
        <v>0.038587904432193</v>
      </c>
      <c r="F1648" s="5" t="s">
        <v>15</v>
      </c>
      <c r="G1648" s="5" t="s">
        <v>15</v>
      </c>
      <c r="H1648" s="4">
        <v>1.34556022755058</v>
      </c>
      <c r="I1648" s="4">
        <v>1893.261489</v>
      </c>
      <c r="J1648" s="6">
        <v>0.0</v>
      </c>
      <c r="K1648" s="5" t="s">
        <v>15</v>
      </c>
      <c r="L1648" s="7">
        <v>1.35394919731194</v>
      </c>
      <c r="M1648" s="4">
        <v>35.72</v>
      </c>
      <c r="N1648" s="2">
        <v>20.69</v>
      </c>
    </row>
    <row r="1649">
      <c r="A1649" s="2" t="s">
        <v>1673</v>
      </c>
      <c r="B1649" s="3" t="str">
        <f>HYPERLINK("https://www.suredividend.com/sure-analysis-research-database/","Upland Software Inc")</f>
        <v>Upland Software Inc</v>
      </c>
      <c r="C1649" s="2" t="s">
        <v>40</v>
      </c>
      <c r="D1649" s="4">
        <v>4.45</v>
      </c>
      <c r="E1649" s="5">
        <v>0.0</v>
      </c>
      <c r="F1649" s="5" t="s">
        <v>15</v>
      </c>
      <c r="G1649" s="5" t="s">
        <v>15</v>
      </c>
      <c r="H1649" s="4">
        <v>0.0</v>
      </c>
      <c r="I1649" s="4">
        <v>134.706</v>
      </c>
      <c r="J1649" s="6" t="s">
        <v>15</v>
      </c>
      <c r="K1649" s="5">
        <v>0.0</v>
      </c>
      <c r="L1649" s="7">
        <v>2.54995327746865</v>
      </c>
      <c r="M1649" s="4">
        <v>9.71</v>
      </c>
      <c r="N1649" s="2">
        <v>2.42</v>
      </c>
    </row>
    <row r="1650">
      <c r="A1650" s="2" t="s">
        <v>1674</v>
      </c>
      <c r="B1650" s="3" t="str">
        <f>HYPERLINK("https://www.suredividend.com/sure-analysis-research-database/","Upwork Inc")</f>
        <v>Upwork Inc</v>
      </c>
      <c r="C1650" s="2" t="s">
        <v>17</v>
      </c>
      <c r="D1650" s="4">
        <v>13.51</v>
      </c>
      <c r="E1650" s="5">
        <v>0.0</v>
      </c>
      <c r="F1650" s="5" t="s">
        <v>15</v>
      </c>
      <c r="G1650" s="5" t="s">
        <v>15</v>
      </c>
      <c r="H1650" s="4">
        <v>0.0</v>
      </c>
      <c r="I1650" s="4">
        <v>1985.837561</v>
      </c>
      <c r="J1650" s="6">
        <v>152.604131347882</v>
      </c>
      <c r="K1650" s="5">
        <v>0.0</v>
      </c>
      <c r="L1650" s="7">
        <v>2.08358044425153</v>
      </c>
      <c r="M1650" s="4">
        <v>16.36</v>
      </c>
      <c r="N1650" s="2">
        <v>6.56</v>
      </c>
    </row>
    <row r="1651">
      <c r="A1651" s="2" t="s">
        <v>1675</v>
      </c>
      <c r="B1651" s="3" t="str">
        <f>HYPERLINK("https://www.suredividend.com/sure-analysis-research-database/","Urban Outfitters, Inc.")</f>
        <v>Urban Outfitters, Inc.</v>
      </c>
      <c r="C1651" s="2" t="s">
        <v>25</v>
      </c>
      <c r="D1651" s="4">
        <v>40.45</v>
      </c>
      <c r="E1651" s="5">
        <v>0.0</v>
      </c>
      <c r="F1651" s="5" t="s">
        <v>15</v>
      </c>
      <c r="G1651" s="5" t="s">
        <v>15</v>
      </c>
      <c r="H1651" s="4">
        <v>0.0</v>
      </c>
      <c r="I1651" s="4">
        <v>3627.86785</v>
      </c>
      <c r="J1651" s="6">
        <v>13.367974834276</v>
      </c>
      <c r="K1651" s="5">
        <v>0.0</v>
      </c>
      <c r="L1651" s="7">
        <v>0.940537713731503</v>
      </c>
      <c r="M1651" s="4">
        <v>40.95</v>
      </c>
      <c r="N1651" s="2">
        <v>24.73</v>
      </c>
    </row>
    <row r="1652">
      <c r="A1652" s="2" t="s">
        <v>1676</v>
      </c>
      <c r="B1652" s="3" t="str">
        <f>HYPERLINK("https://www.suredividend.com/sure-analysis-research-database/","Ur-Energy Inc.")</f>
        <v>Ur-Energy Inc.</v>
      </c>
      <c r="C1652" s="2" t="s">
        <v>125</v>
      </c>
      <c r="D1652" s="4">
        <v>1.98</v>
      </c>
      <c r="E1652" s="5">
        <v>0.0</v>
      </c>
      <c r="F1652" s="5" t="s">
        <v>15</v>
      </c>
      <c r="G1652" s="5" t="s">
        <v>15</v>
      </c>
      <c r="H1652" s="4">
        <v>0.0</v>
      </c>
      <c r="I1652" s="4">
        <v>476.782064</v>
      </c>
      <c r="J1652" s="6">
        <v>0.0</v>
      </c>
      <c r="K1652" s="5" t="s">
        <v>15</v>
      </c>
      <c r="L1652" s="7">
        <v>1.27709858791015</v>
      </c>
      <c r="M1652" s="4">
        <v>1.85</v>
      </c>
      <c r="N1652" s="2">
        <v>0.8201</v>
      </c>
    </row>
    <row r="1653">
      <c r="A1653" s="2" t="s">
        <v>1677</v>
      </c>
      <c r="B1653" s="3" t="str">
        <f>HYPERLINK("https://www.suredividend.com/sure-analysis-research-database/","USCB Financial Holdings Inc")</f>
        <v>USCB Financial Holdings Inc</v>
      </c>
      <c r="C1653" s="2" t="s">
        <v>15</v>
      </c>
      <c r="D1653" s="4">
        <v>12.15</v>
      </c>
      <c r="E1653" s="5">
        <v>0.0</v>
      </c>
      <c r="F1653" s="5" t="s">
        <v>15</v>
      </c>
      <c r="G1653" s="5" t="s">
        <v>15</v>
      </c>
      <c r="H1653" s="4">
        <v>0.0</v>
      </c>
      <c r="I1653" s="4">
        <v>237.438824</v>
      </c>
      <c r="J1653" s="6">
        <v>0.0</v>
      </c>
      <c r="K1653" s="5" t="s">
        <v>15</v>
      </c>
      <c r="L1653" s="7">
        <v>0.702466579369587</v>
      </c>
      <c r="M1653" s="4">
        <v>13.1</v>
      </c>
      <c r="N1653" s="2">
        <v>8.56</v>
      </c>
    </row>
    <row r="1654">
      <c r="A1654" s="2" t="s">
        <v>1678</v>
      </c>
      <c r="B1654" s="3" t="str">
        <f>HYPERLINK("https://www.suredividend.com/sure-analysis-research-database/","United States Lime &amp; Minerals Inc.")</f>
        <v>United States Lime &amp; Minerals Inc.</v>
      </c>
      <c r="C1654" s="2" t="s">
        <v>130</v>
      </c>
      <c r="D1654" s="4">
        <v>252.8</v>
      </c>
      <c r="E1654" s="5">
        <v>0.003208159344416</v>
      </c>
      <c r="F1654" s="5">
        <v>0.0</v>
      </c>
      <c r="G1654" s="5">
        <v>0.0817807410664028</v>
      </c>
      <c r="H1654" s="4">
        <v>0.797660698598967</v>
      </c>
      <c r="I1654" s="4">
        <v>1417.213035</v>
      </c>
      <c r="J1654" s="6">
        <v>20.7358592381412</v>
      </c>
      <c r="K1654" s="5">
        <v>0.0665271641867362</v>
      </c>
      <c r="L1654" s="7">
        <v>0.874361662192908</v>
      </c>
      <c r="M1654" s="4">
        <v>264.99</v>
      </c>
      <c r="N1654" s="2">
        <v>140.73</v>
      </c>
    </row>
    <row r="1655">
      <c r="A1655" s="2" t="s">
        <v>1679</v>
      </c>
      <c r="B1655" s="3" t="str">
        <f>HYPERLINK("https://www.suredividend.com/sure-analysis-research-database/","United States Cellular Corporation")</f>
        <v>United States Cellular Corporation</v>
      </c>
      <c r="C1655" s="2" t="s">
        <v>114</v>
      </c>
      <c r="D1655" s="4">
        <v>43.17</v>
      </c>
      <c r="E1655" s="5">
        <v>0.0</v>
      </c>
      <c r="F1655" s="5" t="s">
        <v>15</v>
      </c>
      <c r="G1655" s="5" t="s">
        <v>15</v>
      </c>
      <c r="H1655" s="4">
        <v>0.0</v>
      </c>
      <c r="I1655" s="4">
        <v>2320.6326</v>
      </c>
      <c r="J1655" s="6">
        <v>178.5102</v>
      </c>
      <c r="K1655" s="5">
        <v>0.0</v>
      </c>
      <c r="L1655" s="7">
        <v>0.43931801228335</v>
      </c>
      <c r="M1655" s="4">
        <v>48.47</v>
      </c>
      <c r="N1655" s="2">
        <v>13.79</v>
      </c>
    </row>
    <row r="1656">
      <c r="A1656" s="2" t="s">
        <v>1680</v>
      </c>
      <c r="B1656" s="3" t="str">
        <f>HYPERLINK("https://www.suredividend.com/sure-analysis-research-database/","Usana Health Sciences Inc")</f>
        <v>Usana Health Sciences Inc</v>
      </c>
      <c r="C1656" s="2" t="s">
        <v>89</v>
      </c>
      <c r="D1656" s="4">
        <v>46.43</v>
      </c>
      <c r="E1656" s="5">
        <v>0.0</v>
      </c>
      <c r="F1656" s="5" t="s">
        <v>15</v>
      </c>
      <c r="G1656" s="5" t="s">
        <v>15</v>
      </c>
      <c r="H1656" s="4">
        <v>0.0</v>
      </c>
      <c r="I1656" s="4">
        <v>920.334967</v>
      </c>
      <c r="J1656" s="6">
        <v>15.3858429319424</v>
      </c>
      <c r="K1656" s="5">
        <v>0.0</v>
      </c>
      <c r="L1656" s="7">
        <v>0.824756770330309</v>
      </c>
      <c r="M1656" s="4">
        <v>69.6</v>
      </c>
      <c r="N1656" s="2">
        <v>44.01</v>
      </c>
    </row>
    <row r="1657">
      <c r="A1657" s="2" t="s">
        <v>1681</v>
      </c>
      <c r="B1657" s="3" t="str">
        <f>HYPERLINK("https://www.suredividend.com/sure-analysis-research-database/","U.S. Physical Therapy, Inc.")</f>
        <v>U.S. Physical Therapy, Inc.</v>
      </c>
      <c r="C1657" s="2" t="s">
        <v>30</v>
      </c>
      <c r="D1657" s="4">
        <v>93.08</v>
      </c>
      <c r="E1657" s="5">
        <v>0.017834385365866</v>
      </c>
      <c r="F1657" s="5" t="s">
        <v>15</v>
      </c>
      <c r="G1657" s="5" t="s">
        <v>15</v>
      </c>
      <c r="H1657" s="4">
        <v>1.70835577419637</v>
      </c>
      <c r="I1657" s="4">
        <v>1435.608753</v>
      </c>
      <c r="J1657" s="6">
        <v>60.6125713818872</v>
      </c>
      <c r="K1657" s="5">
        <v>0.987488886818712</v>
      </c>
      <c r="L1657" s="7">
        <v>1.01800660711706</v>
      </c>
      <c r="M1657" s="4">
        <v>122.97</v>
      </c>
      <c r="N1657" s="2">
        <v>77.7</v>
      </c>
    </row>
    <row r="1658">
      <c r="A1658" s="2" t="s">
        <v>1682</v>
      </c>
      <c r="B1658" s="3" t="str">
        <f>HYPERLINK("https://www.suredividend.com/sure-analysis-research-database/","Universal Technical Institute Inc")</f>
        <v>Universal Technical Institute Inc</v>
      </c>
      <c r="C1658" s="2" t="s">
        <v>89</v>
      </c>
      <c r="D1658" s="4">
        <v>14.85</v>
      </c>
      <c r="E1658" s="5">
        <v>0.0</v>
      </c>
      <c r="F1658" s="5" t="s">
        <v>15</v>
      </c>
      <c r="G1658" s="5" t="s">
        <v>15</v>
      </c>
      <c r="H1658" s="4">
        <v>0.0</v>
      </c>
      <c r="I1658" s="4">
        <v>785.024768</v>
      </c>
      <c r="J1658" s="6">
        <v>172.874866410482</v>
      </c>
      <c r="K1658" s="5">
        <v>0.0</v>
      </c>
      <c r="L1658" s="7">
        <v>0.765632200411954</v>
      </c>
      <c r="M1658" s="4">
        <v>15.4</v>
      </c>
      <c r="N1658" s="2">
        <v>5.63</v>
      </c>
    </row>
    <row r="1659">
      <c r="A1659" s="2" t="s">
        <v>1683</v>
      </c>
      <c r="B1659" s="3" t="str">
        <f>HYPERLINK("https://www.suredividend.com/sure-analysis-research-database/","Unitil Corp.")</f>
        <v>Unitil Corp.</v>
      </c>
      <c r="C1659" s="2" t="s">
        <v>91</v>
      </c>
      <c r="D1659" s="4">
        <v>48.04</v>
      </c>
      <c r="E1659" s="5">
        <v>0.032497297963655</v>
      </c>
      <c r="F1659" s="5">
        <v>0.0384615384615385</v>
      </c>
      <c r="G1659" s="5">
        <v>0.0182411868270466</v>
      </c>
      <c r="H1659" s="4">
        <v>1.60049192471004</v>
      </c>
      <c r="I1659" s="4">
        <v>792.838517</v>
      </c>
      <c r="J1659" s="6">
        <v>17.9375230090497</v>
      </c>
      <c r="K1659" s="5">
        <v>0.579888378518133</v>
      </c>
      <c r="L1659" s="7">
        <v>0.53179698512261</v>
      </c>
      <c r="M1659" s="4">
        <v>59.18</v>
      </c>
      <c r="N1659" s="2">
        <v>41.08</v>
      </c>
    </row>
    <row r="1660">
      <c r="A1660" s="2" t="s">
        <v>1684</v>
      </c>
      <c r="B1660" s="3" t="str">
        <f>HYPERLINK("https://www.suredividend.com/sure-analysis-research-database/","Utah Medical Products, Inc.")</f>
        <v>Utah Medical Products, Inc.</v>
      </c>
      <c r="C1660" s="2" t="s">
        <v>30</v>
      </c>
      <c r="D1660" s="4">
        <v>74.16</v>
      </c>
      <c r="E1660" s="5">
        <v>0.014174901281581</v>
      </c>
      <c r="F1660" s="5">
        <v>0.016949152542373</v>
      </c>
      <c r="G1660" s="5">
        <v>0.0175545771755876</v>
      </c>
      <c r="H1660" s="4">
        <v>1.17297308105083</v>
      </c>
      <c r="I1660" s="4">
        <v>300.343194</v>
      </c>
      <c r="J1660" s="6">
        <v>0.0</v>
      </c>
      <c r="K1660" s="5" t="s">
        <v>15</v>
      </c>
      <c r="L1660" s="7">
        <v>0.899363736510963</v>
      </c>
      <c r="M1660" s="4">
        <v>98.58</v>
      </c>
      <c r="N1660" s="2">
        <v>74.46</v>
      </c>
    </row>
    <row r="1661">
      <c r="A1661" s="2" t="s">
        <v>1685</v>
      </c>
      <c r="B1661" s="3" t="str">
        <f>HYPERLINK("https://www.suredividend.com/sure-analysis-research-database/","Utz Brands Inc")</f>
        <v>Utz Brands Inc</v>
      </c>
      <c r="C1661" s="2" t="s">
        <v>15</v>
      </c>
      <c r="D1661" s="4">
        <v>18.55</v>
      </c>
      <c r="E1661" s="5">
        <v>0.013035397021124</v>
      </c>
      <c r="F1661" s="5" t="s">
        <v>15</v>
      </c>
      <c r="G1661" s="5" t="s">
        <v>15</v>
      </c>
      <c r="H1661" s="4">
        <v>0.226685554197354</v>
      </c>
      <c r="I1661" s="4">
        <v>1411.049242</v>
      </c>
      <c r="J1661" s="6">
        <v>0.0</v>
      </c>
      <c r="K1661" s="5" t="s">
        <v>15</v>
      </c>
      <c r="L1661" s="7">
        <v>0.530882221169986</v>
      </c>
      <c r="M1661" s="4">
        <v>18.89</v>
      </c>
      <c r="N1661" s="2">
        <v>11.13</v>
      </c>
    </row>
    <row r="1662">
      <c r="A1662" s="2" t="s">
        <v>1686</v>
      </c>
      <c r="B1662" s="3" t="str">
        <f>HYPERLINK("https://www.suredividend.com/sure-analysis-research-database/","Energy Fuels Inc")</f>
        <v>Energy Fuels Inc</v>
      </c>
      <c r="C1662" s="2" t="s">
        <v>125</v>
      </c>
      <c r="D1662" s="4">
        <v>7.45</v>
      </c>
      <c r="E1662" s="5">
        <v>0.0</v>
      </c>
      <c r="F1662" s="5" t="s">
        <v>15</v>
      </c>
      <c r="G1662" s="5" t="s">
        <v>15</v>
      </c>
      <c r="H1662" s="4">
        <v>0.0</v>
      </c>
      <c r="I1662" s="4">
        <v>1188.577345</v>
      </c>
      <c r="J1662" s="6">
        <v>0.0</v>
      </c>
      <c r="K1662" s="5" t="s">
        <v>15</v>
      </c>
      <c r="L1662" s="7">
        <v>1.25462092289956</v>
      </c>
      <c r="M1662" s="4">
        <v>9.03</v>
      </c>
      <c r="N1662" s="2">
        <v>4.85</v>
      </c>
    </row>
    <row r="1663">
      <c r="A1663" s="2" t="s">
        <v>1687</v>
      </c>
      <c r="B1663" s="3" t="str">
        <f>HYPERLINK("https://www.suredividend.com/sure-analysis-research-database/","Universal Insurance Holdings Inc")</f>
        <v>Universal Insurance Holdings Inc</v>
      </c>
      <c r="C1663" s="2" t="s">
        <v>22</v>
      </c>
      <c r="D1663" s="4">
        <v>16.31</v>
      </c>
      <c r="E1663" s="5">
        <v>0.037242636776184</v>
      </c>
      <c r="F1663" s="5">
        <v>0.0</v>
      </c>
      <c r="G1663" s="5">
        <v>0.0</v>
      </c>
      <c r="H1663" s="4">
        <v>0.631262693356329</v>
      </c>
      <c r="I1663" s="4">
        <v>494.699446</v>
      </c>
      <c r="J1663" s="6">
        <v>6.87799020646506</v>
      </c>
      <c r="K1663" s="5">
        <v>0.266355566817016</v>
      </c>
      <c r="L1663" s="7">
        <v>0.624272708883812</v>
      </c>
      <c r="M1663" s="4">
        <v>19.58</v>
      </c>
      <c r="N1663" s="2">
        <v>11.07</v>
      </c>
    </row>
    <row r="1664">
      <c r="A1664" s="2" t="s">
        <v>1688</v>
      </c>
      <c r="B1664" s="3" t="str">
        <f>HYPERLINK("https://www.suredividend.com/sure-analysis-research-database/","Univest Financial Corp")</f>
        <v>Univest Financial Corp</v>
      </c>
      <c r="C1664" s="2" t="s">
        <v>22</v>
      </c>
      <c r="D1664" s="4">
        <v>19.97</v>
      </c>
      <c r="E1664" s="5">
        <v>0.037155116234947</v>
      </c>
      <c r="F1664" s="5">
        <v>0.0</v>
      </c>
      <c r="G1664" s="5">
        <v>0.00980579767348532</v>
      </c>
      <c r="H1664" s="4">
        <v>0.812210840895957</v>
      </c>
      <c r="I1664" s="4">
        <v>645.047678</v>
      </c>
      <c r="J1664" s="6">
        <v>8.19774391988409</v>
      </c>
      <c r="K1664" s="5">
        <v>0.304198816814965</v>
      </c>
      <c r="L1664" s="7">
        <v>1.353779498933</v>
      </c>
      <c r="M1664" s="4">
        <v>27.13</v>
      </c>
      <c r="N1664" s="2">
        <v>15.41</v>
      </c>
    </row>
    <row r="1665">
      <c r="A1665" s="2" t="s">
        <v>1689</v>
      </c>
      <c r="B1665" s="3" t="str">
        <f>HYPERLINK("https://www.suredividend.com/sure-analysis-UVV/","Universal Corp.")</f>
        <v>Universal Corp.</v>
      </c>
      <c r="C1665" s="2" t="s">
        <v>89</v>
      </c>
      <c r="D1665" s="4">
        <v>58.05</v>
      </c>
      <c r="E1665" s="5">
        <v>0.0551248923341946</v>
      </c>
      <c r="F1665" s="5">
        <v>0.0126582278481013</v>
      </c>
      <c r="G1665" s="5">
        <v>0.010311459317936</v>
      </c>
      <c r="H1665" s="4">
        <v>3.12181441238651</v>
      </c>
      <c r="I1665" s="4">
        <v>1427.870783</v>
      </c>
      <c r="J1665" s="6">
        <v>11.7587006887862</v>
      </c>
      <c r="K1665" s="5">
        <v>0.641029653467456</v>
      </c>
      <c r="L1665" s="7">
        <v>0.532051132372223</v>
      </c>
      <c r="M1665" s="4">
        <v>66.97</v>
      </c>
      <c r="N1665" s="2">
        <v>43.86</v>
      </c>
    </row>
    <row r="1666">
      <c r="A1666" s="2" t="s">
        <v>1690</v>
      </c>
      <c r="B1666" s="3" t="str">
        <f>HYPERLINK("https://www.suredividend.com/sure-analysis-research-database/","Valaris Ltd")</f>
        <v>Valaris Ltd</v>
      </c>
      <c r="C1666" s="2" t="s">
        <v>125</v>
      </c>
      <c r="D1666" s="4">
        <v>60.76</v>
      </c>
      <c r="E1666" s="5">
        <v>0.0</v>
      </c>
      <c r="F1666" s="5" t="s">
        <v>15</v>
      </c>
      <c r="G1666" s="5" t="s">
        <v>15</v>
      </c>
      <c r="H1666" s="4">
        <v>0.0</v>
      </c>
      <c r="I1666" s="4">
        <v>4994.776637</v>
      </c>
      <c r="J1666" s="6">
        <v>84.0871487757575</v>
      </c>
      <c r="K1666" s="5">
        <v>0.0</v>
      </c>
      <c r="L1666" s="7">
        <v>1.12705447787408</v>
      </c>
      <c r="M1666" s="4">
        <v>80.0</v>
      </c>
      <c r="N1666" s="2">
        <v>54.13</v>
      </c>
    </row>
    <row r="1667">
      <c r="A1667" s="2" t="s">
        <v>1691</v>
      </c>
      <c r="B1667" s="3" t="str">
        <f>HYPERLINK("https://www.suredividend.com/sure-analysis-research-database/","Value Line, Inc.")</f>
        <v>Value Line, Inc.</v>
      </c>
      <c r="C1667" s="2" t="s">
        <v>22</v>
      </c>
      <c r="D1667" s="4">
        <v>44.51</v>
      </c>
      <c r="E1667" s="5">
        <v>0.021965624130099</v>
      </c>
      <c r="F1667" s="5">
        <v>0.12</v>
      </c>
      <c r="G1667" s="5">
        <v>0.0696103757250687</v>
      </c>
      <c r="H1667" s="4">
        <v>1.09828120650496</v>
      </c>
      <c r="I1667" s="4">
        <v>471.34915</v>
      </c>
      <c r="J1667" s="6">
        <v>26.7386629226231</v>
      </c>
      <c r="K1667" s="5">
        <v>0.587316153211211</v>
      </c>
      <c r="L1667" s="7"/>
      <c r="M1667" s="4">
        <v>60.39</v>
      </c>
      <c r="N1667" s="2">
        <v>31.19</v>
      </c>
    </row>
    <row r="1668">
      <c r="A1668" s="2" t="s">
        <v>1692</v>
      </c>
      <c r="B1668" s="3" t="str">
        <f>HYPERLINK("https://www.suredividend.com/sure-analysis-research-database/","VBI Vaccines Inc.")</f>
        <v>VBI Vaccines Inc.</v>
      </c>
      <c r="C1668" s="2" t="s">
        <v>30</v>
      </c>
      <c r="D1668" s="4">
        <v>0.6649</v>
      </c>
      <c r="E1668" s="5">
        <v>0.0</v>
      </c>
      <c r="F1668" s="5" t="s">
        <v>15</v>
      </c>
      <c r="G1668" s="5" t="s">
        <v>15</v>
      </c>
      <c r="H1668" s="4">
        <v>0.0</v>
      </c>
      <c r="I1668" s="4">
        <v>15.951294</v>
      </c>
      <c r="J1668" s="6" t="s">
        <v>15</v>
      </c>
      <c r="K1668" s="5">
        <v>0.0</v>
      </c>
      <c r="L1668" s="7">
        <v>2.27223395534759</v>
      </c>
      <c r="M1668" s="4">
        <v>20.7</v>
      </c>
      <c r="N1668" s="2">
        <v>0.45</v>
      </c>
    </row>
    <row r="1669">
      <c r="A1669" s="2" t="s">
        <v>1693</v>
      </c>
      <c r="B1669" s="3" t="str">
        <f>HYPERLINK("https://www.suredividend.com/sure-analysis-research-database/","Veritex Holdings Inc")</f>
        <v>Veritex Holdings Inc</v>
      </c>
      <c r="C1669" s="2" t="s">
        <v>22</v>
      </c>
      <c r="D1669" s="4">
        <v>19.93</v>
      </c>
      <c r="E1669" s="5">
        <v>0.034852700383292</v>
      </c>
      <c r="F1669" s="5">
        <v>0.0</v>
      </c>
      <c r="G1669" s="5">
        <v>0.0985605433061178</v>
      </c>
      <c r="H1669" s="4">
        <v>0.778609326562755</v>
      </c>
      <c r="I1669" s="4">
        <v>1213.563042</v>
      </c>
      <c r="J1669" s="6">
        <v>8.38912920399007</v>
      </c>
      <c r="K1669" s="5">
        <v>0.29381484021236</v>
      </c>
      <c r="L1669" s="7">
        <v>1.91781545036299</v>
      </c>
      <c r="M1669" s="4">
        <v>27.93</v>
      </c>
      <c r="N1669" s="2">
        <v>14.3</v>
      </c>
    </row>
    <row r="1670">
      <c r="A1670" s="2" t="s">
        <v>1694</v>
      </c>
      <c r="B1670" s="3" t="str">
        <f>HYPERLINK("https://www.suredividend.com/sure-analysis-research-database/","Visteon Corp.")</f>
        <v>Visteon Corp.</v>
      </c>
      <c r="C1670" s="2" t="s">
        <v>25</v>
      </c>
      <c r="D1670" s="4">
        <v>117.35</v>
      </c>
      <c r="E1670" s="5">
        <v>0.0</v>
      </c>
      <c r="F1670" s="5" t="s">
        <v>15</v>
      </c>
      <c r="G1670" s="5" t="s">
        <v>15</v>
      </c>
      <c r="H1670" s="4">
        <v>0.0</v>
      </c>
      <c r="I1670" s="4">
        <v>3342.350377</v>
      </c>
      <c r="J1670" s="6">
        <v>21.7035738736363</v>
      </c>
      <c r="K1670" s="5">
        <v>0.0</v>
      </c>
      <c r="L1670" s="7">
        <v>1.07574076058829</v>
      </c>
      <c r="M1670" s="4">
        <v>171.66</v>
      </c>
      <c r="N1670" s="2">
        <v>108.66</v>
      </c>
    </row>
    <row r="1671">
      <c r="A1671" s="2" t="s">
        <v>1695</v>
      </c>
      <c r="B1671" s="3" t="str">
        <f>HYPERLINK("https://www.suredividend.com/sure-analysis-research-database/","Vericel Corp")</f>
        <v>Vericel Corp</v>
      </c>
      <c r="C1671" s="2" t="s">
        <v>30</v>
      </c>
      <c r="D1671" s="4">
        <v>43.22</v>
      </c>
      <c r="E1671" s="5">
        <v>0.0</v>
      </c>
      <c r="F1671" s="5" t="s">
        <v>15</v>
      </c>
      <c r="G1671" s="5" t="s">
        <v>15</v>
      </c>
      <c r="H1671" s="4">
        <v>0.0</v>
      </c>
      <c r="I1671" s="4">
        <v>2126.605636</v>
      </c>
      <c r="J1671" s="6" t="s">
        <v>15</v>
      </c>
      <c r="K1671" s="5">
        <v>0.0</v>
      </c>
      <c r="L1671" s="7">
        <v>1.54503776393301</v>
      </c>
      <c r="M1671" s="4">
        <v>44.59</v>
      </c>
      <c r="N1671" s="2">
        <v>27.03</v>
      </c>
    </row>
    <row r="1672">
      <c r="A1672" s="2" t="s">
        <v>1696</v>
      </c>
      <c r="B1672" s="3" t="str">
        <f>HYPERLINK("https://www.suredividend.com/sure-analysis-research-database/","Vacasa Inc")</f>
        <v>Vacasa Inc</v>
      </c>
      <c r="C1672" s="2" t="s">
        <v>15</v>
      </c>
      <c r="D1672" s="4">
        <v>8.97</v>
      </c>
      <c r="E1672" s="5">
        <v>0.0</v>
      </c>
      <c r="F1672" s="5" t="s">
        <v>15</v>
      </c>
      <c r="G1672" s="5" t="s">
        <v>15</v>
      </c>
      <c r="H1672" s="4">
        <v>0.0</v>
      </c>
      <c r="I1672" s="4">
        <v>104.23464</v>
      </c>
      <c r="J1672" s="6" t="s">
        <v>15</v>
      </c>
      <c r="K1672" s="5">
        <v>0.0</v>
      </c>
      <c r="L1672" s="7">
        <v>2.38956259451448</v>
      </c>
      <c r="M1672" s="4">
        <v>39.8</v>
      </c>
      <c r="N1672" s="2">
        <v>6.75</v>
      </c>
    </row>
    <row r="1673">
      <c r="A1673" s="2" t="s">
        <v>1697</v>
      </c>
      <c r="B1673" s="3" t="str">
        <f>HYPERLINK("https://www.suredividend.com/sure-analysis-research-database/","Victory Capital Holdings Inc")</f>
        <v>Victory Capital Holdings Inc</v>
      </c>
      <c r="C1673" s="2" t="s">
        <v>22</v>
      </c>
      <c r="D1673" s="4">
        <v>34.5</v>
      </c>
      <c r="E1673" s="5">
        <v>0.036053483913389</v>
      </c>
      <c r="F1673" s="5" t="s">
        <v>15</v>
      </c>
      <c r="G1673" s="5" t="s">
        <v>15</v>
      </c>
      <c r="H1673" s="4">
        <v>1.2434846601728</v>
      </c>
      <c r="I1673" s="4">
        <v>2275.975406</v>
      </c>
      <c r="J1673" s="6">
        <v>10.8266359347826</v>
      </c>
      <c r="K1673" s="5">
        <v>0.409041006635792</v>
      </c>
      <c r="L1673" s="7">
        <v>1.03933880984693</v>
      </c>
      <c r="M1673" s="4">
        <v>35.49</v>
      </c>
      <c r="N1673" s="2">
        <v>26.16</v>
      </c>
    </row>
    <row r="1674">
      <c r="A1674" s="2" t="s">
        <v>1698</v>
      </c>
      <c r="B1674" s="3" t="str">
        <f>HYPERLINK("https://www.suredividend.com/sure-analysis-research-database/","Veracyte Inc")</f>
        <v>Veracyte Inc</v>
      </c>
      <c r="C1674" s="2" t="s">
        <v>30</v>
      </c>
      <c r="D1674" s="4">
        <v>24.52</v>
      </c>
      <c r="E1674" s="5">
        <v>0.0</v>
      </c>
      <c r="F1674" s="5" t="s">
        <v>15</v>
      </c>
      <c r="G1674" s="5" t="s">
        <v>15</v>
      </c>
      <c r="H1674" s="4">
        <v>0.0</v>
      </c>
      <c r="I1674" s="4">
        <v>1978.644687</v>
      </c>
      <c r="J1674" s="6" t="s">
        <v>15</v>
      </c>
      <c r="K1674" s="5">
        <v>0.0</v>
      </c>
      <c r="L1674" s="7">
        <v>2.42474372267219</v>
      </c>
      <c r="M1674" s="4">
        <v>30.52</v>
      </c>
      <c r="N1674" s="2">
        <v>19.52</v>
      </c>
    </row>
    <row r="1675">
      <c r="A1675" s="2" t="s">
        <v>1699</v>
      </c>
      <c r="B1675" s="3" t="str">
        <f>HYPERLINK("https://www.suredividend.com/sure-analysis-research-database/","Veeco Instruments Inc")</f>
        <v>Veeco Instruments Inc</v>
      </c>
      <c r="C1675" s="2" t="s">
        <v>40</v>
      </c>
      <c r="D1675" s="4">
        <v>32.72</v>
      </c>
      <c r="E1675" s="5">
        <v>0.0</v>
      </c>
      <c r="F1675" s="5" t="s">
        <v>15</v>
      </c>
      <c r="G1675" s="5" t="s">
        <v>15</v>
      </c>
      <c r="H1675" s="4">
        <v>0.0</v>
      </c>
      <c r="I1675" s="4">
        <v>1839.557746</v>
      </c>
      <c r="J1675" s="6">
        <v>23.9180058210138</v>
      </c>
      <c r="K1675" s="5">
        <v>0.0</v>
      </c>
      <c r="L1675" s="7">
        <v>1.17139906133608</v>
      </c>
      <c r="M1675" s="4">
        <v>34.12</v>
      </c>
      <c r="N1675" s="2">
        <v>17.7</v>
      </c>
    </row>
    <row r="1676">
      <c r="A1676" s="2" t="s">
        <v>1700</v>
      </c>
      <c r="B1676" s="3" t="str">
        <f>HYPERLINK("https://www.suredividend.com/sure-analysis-research-database/","Velocity Financial Inc")</f>
        <v>Velocity Financial Inc</v>
      </c>
      <c r="C1676" s="2" t="s">
        <v>22</v>
      </c>
      <c r="D1676" s="4">
        <v>15.89</v>
      </c>
      <c r="E1676" s="5">
        <v>0.0</v>
      </c>
      <c r="F1676" s="5" t="s">
        <v>15</v>
      </c>
      <c r="G1676" s="5" t="s">
        <v>15</v>
      </c>
      <c r="H1676" s="4">
        <v>0.0</v>
      </c>
      <c r="I1676" s="4">
        <v>527.789653</v>
      </c>
      <c r="J1676" s="6">
        <v>12.1666586583679</v>
      </c>
      <c r="K1676" s="5">
        <v>0.0</v>
      </c>
      <c r="L1676" s="7">
        <v>1.30900957636555</v>
      </c>
      <c r="M1676" s="4">
        <v>18.05</v>
      </c>
      <c r="N1676" s="2">
        <v>7.81</v>
      </c>
    </row>
    <row r="1677">
      <c r="A1677" s="2" t="s">
        <v>1701</v>
      </c>
      <c r="B1677" s="3" t="str">
        <f>HYPERLINK("https://www.suredividend.com/sure-analysis-research-database/","Vera Therapeutics Inc")</f>
        <v>Vera Therapeutics Inc</v>
      </c>
      <c r="C1677" s="2" t="s">
        <v>15</v>
      </c>
      <c r="D1677" s="4">
        <v>37.01</v>
      </c>
      <c r="E1677" s="5">
        <v>0.0</v>
      </c>
      <c r="F1677" s="5" t="s">
        <v>15</v>
      </c>
      <c r="G1677" s="5" t="s">
        <v>15</v>
      </c>
      <c r="H1677" s="4">
        <v>0.0</v>
      </c>
      <c r="I1677" s="4">
        <v>1494.72427</v>
      </c>
      <c r="J1677" s="6">
        <v>0.0</v>
      </c>
      <c r="K1677" s="5" t="s">
        <v>15</v>
      </c>
      <c r="L1677" s="7">
        <v>1.02454449157265</v>
      </c>
      <c r="M1677" s="4">
        <v>35.41</v>
      </c>
      <c r="N1677" s="2">
        <v>5.95</v>
      </c>
    </row>
    <row r="1678">
      <c r="A1678" s="2" t="s">
        <v>1702</v>
      </c>
      <c r="B1678" s="3" t="str">
        <f>HYPERLINK("https://www.suredividend.com/sure-analysis-research-database/","Veritone Inc")</f>
        <v>Veritone Inc</v>
      </c>
      <c r="C1678" s="2" t="s">
        <v>40</v>
      </c>
      <c r="D1678" s="4">
        <v>1.7</v>
      </c>
      <c r="E1678" s="5">
        <v>0.0</v>
      </c>
      <c r="F1678" s="5" t="s">
        <v>15</v>
      </c>
      <c r="G1678" s="5" t="s">
        <v>15</v>
      </c>
      <c r="H1678" s="4">
        <v>0.0</v>
      </c>
      <c r="I1678" s="4">
        <v>66.647808</v>
      </c>
      <c r="J1678" s="6" t="s">
        <v>15</v>
      </c>
      <c r="K1678" s="5">
        <v>0.0</v>
      </c>
      <c r="L1678" s="7">
        <v>3.19139809272786</v>
      </c>
      <c r="M1678" s="4">
        <v>10.99</v>
      </c>
      <c r="N1678" s="2">
        <v>1.48</v>
      </c>
    </row>
    <row r="1679">
      <c r="A1679" s="2" t="s">
        <v>1703</v>
      </c>
      <c r="B1679" s="3" t="str">
        <f>HYPERLINK("https://www.suredividend.com/sure-analysis-research-database/","Veru Inc")</f>
        <v>Veru Inc</v>
      </c>
      <c r="C1679" s="2" t="s">
        <v>30</v>
      </c>
      <c r="D1679" s="4">
        <v>0.49</v>
      </c>
      <c r="E1679" s="5">
        <v>0.0</v>
      </c>
      <c r="F1679" s="5" t="s">
        <v>15</v>
      </c>
      <c r="G1679" s="5" t="s">
        <v>15</v>
      </c>
      <c r="H1679" s="4">
        <v>0.0</v>
      </c>
      <c r="I1679" s="4">
        <v>45.806026</v>
      </c>
      <c r="J1679" s="6" t="s">
        <v>15</v>
      </c>
      <c r="K1679" s="5">
        <v>0.0</v>
      </c>
      <c r="L1679" s="7">
        <v>1.47728212986501</v>
      </c>
      <c r="M1679" s="4">
        <v>6.34</v>
      </c>
      <c r="N1679" s="2">
        <v>0.36</v>
      </c>
    </row>
    <row r="1680">
      <c r="A1680" s="2" t="s">
        <v>1704</v>
      </c>
      <c r="B1680" s="3" t="str">
        <f>HYPERLINK("https://www.suredividend.com/sure-analysis-research-database/","Verve Therapeutics Inc")</f>
        <v>Verve Therapeutics Inc</v>
      </c>
      <c r="C1680" s="2" t="s">
        <v>15</v>
      </c>
      <c r="D1680" s="4">
        <v>10.81</v>
      </c>
      <c r="E1680" s="5">
        <v>0.0</v>
      </c>
      <c r="F1680" s="5" t="s">
        <v>15</v>
      </c>
      <c r="G1680" s="5" t="s">
        <v>15</v>
      </c>
      <c r="H1680" s="4">
        <v>0.0</v>
      </c>
      <c r="I1680" s="4">
        <v>764.395449</v>
      </c>
      <c r="J1680" s="6" t="s">
        <v>15</v>
      </c>
      <c r="K1680" s="5">
        <v>0.0</v>
      </c>
      <c r="L1680" s="7">
        <v>2.41689126475689</v>
      </c>
      <c r="M1680" s="4">
        <v>24.69</v>
      </c>
      <c r="N1680" s="2">
        <v>8.22</v>
      </c>
    </row>
    <row r="1681">
      <c r="A1681" s="2" t="s">
        <v>1705</v>
      </c>
      <c r="B1681" s="3" t="str">
        <f>HYPERLINK("https://www.suredividend.com/sure-analysis-VGR/","Vector Group Ltd")</f>
        <v>Vector Group Ltd</v>
      </c>
      <c r="C1681" s="2" t="s">
        <v>89</v>
      </c>
      <c r="D1681" s="4">
        <v>10.25</v>
      </c>
      <c r="E1681" s="5">
        <v>0.0780487804878048</v>
      </c>
      <c r="F1681" s="5">
        <v>0.0</v>
      </c>
      <c r="G1681" s="5">
        <v>-0.129449436703875</v>
      </c>
      <c r="H1681" s="4">
        <v>0.778942789911433</v>
      </c>
      <c r="I1681" s="4">
        <v>1691.873267</v>
      </c>
      <c r="J1681" s="6">
        <v>9.88468907636669</v>
      </c>
      <c r="K1681" s="5">
        <v>0.695484633849493</v>
      </c>
      <c r="L1681" s="7">
        <v>0.920715446561128</v>
      </c>
      <c r="M1681" s="4">
        <v>13.43</v>
      </c>
      <c r="N1681" s="2">
        <v>9.68</v>
      </c>
    </row>
    <row r="1682">
      <c r="A1682" s="2" t="s">
        <v>1706</v>
      </c>
      <c r="B1682" s="3" t="str">
        <f>HYPERLINK("https://www.suredividend.com/sure-analysis-research-database/","Valhi, Inc.")</f>
        <v>Valhi, Inc.</v>
      </c>
      <c r="C1682" s="2" t="s">
        <v>130</v>
      </c>
      <c r="D1682" s="4">
        <v>13.28</v>
      </c>
      <c r="E1682" s="5">
        <v>0.021797035605958</v>
      </c>
      <c r="F1682" s="5">
        <v>0.0</v>
      </c>
      <c r="G1682" s="5">
        <v>0.319507910772894</v>
      </c>
      <c r="H1682" s="4">
        <v>0.317146868066696</v>
      </c>
      <c r="I1682" s="4">
        <v>411.597573</v>
      </c>
      <c r="J1682" s="6" t="s">
        <v>15</v>
      </c>
      <c r="K1682" s="5" t="s">
        <v>15</v>
      </c>
      <c r="L1682" s="7">
        <v>0.981076042175145</v>
      </c>
      <c r="M1682" s="4">
        <v>26.02</v>
      </c>
      <c r="N1682" s="2">
        <v>10.74</v>
      </c>
    </row>
    <row r="1683">
      <c r="A1683" s="2" t="s">
        <v>1707</v>
      </c>
      <c r="B1683" s="3" t="str">
        <f>HYPERLINK("https://www.suredividend.com/sure-analysis-research-database/","Via Renewables Inc")</f>
        <v>Via Renewables Inc</v>
      </c>
      <c r="C1683" s="2" t="s">
        <v>15</v>
      </c>
      <c r="D1683" s="4">
        <v>10.61</v>
      </c>
      <c r="E1683" s="5">
        <v>0.083525348368877</v>
      </c>
      <c r="F1683" s="5">
        <v>0.0</v>
      </c>
      <c r="G1683" s="5">
        <v>0.0</v>
      </c>
      <c r="H1683" s="4">
        <v>0.906250029802322</v>
      </c>
      <c r="I1683" s="4">
        <v>35.074806</v>
      </c>
      <c r="J1683" s="6">
        <v>0.0</v>
      </c>
      <c r="K1683" s="5" t="s">
        <v>15</v>
      </c>
      <c r="L1683" s="7">
        <v>1.44855561278695</v>
      </c>
      <c r="M1683" s="4">
        <v>35.06</v>
      </c>
      <c r="N1683" s="2">
        <v>5.22</v>
      </c>
    </row>
    <row r="1684">
      <c r="A1684" s="2" t="s">
        <v>1708</v>
      </c>
      <c r="B1684" s="3" t="str">
        <f>HYPERLINK("https://www.suredividend.com/sure-analysis-research-database/","Viavi Solutions Inc")</f>
        <v>Viavi Solutions Inc</v>
      </c>
      <c r="C1684" s="2" t="s">
        <v>40</v>
      </c>
      <c r="D1684" s="4">
        <v>9.0</v>
      </c>
      <c r="E1684" s="5">
        <v>0.0</v>
      </c>
      <c r="F1684" s="5" t="s">
        <v>15</v>
      </c>
      <c r="G1684" s="5" t="s">
        <v>15</v>
      </c>
      <c r="H1684" s="4">
        <v>0.0</v>
      </c>
      <c r="I1684" s="4">
        <v>2221.721764</v>
      </c>
      <c r="J1684" s="6">
        <v>822.8599127</v>
      </c>
      <c r="K1684" s="5">
        <v>0.0</v>
      </c>
      <c r="L1684" s="7">
        <v>1.18138556801377</v>
      </c>
      <c r="M1684" s="4">
        <v>12.19</v>
      </c>
      <c r="N1684" s="2">
        <v>7.26</v>
      </c>
    </row>
    <row r="1685">
      <c r="A1685" s="2" t="s">
        <v>1709</v>
      </c>
      <c r="B1685" s="3" t="str">
        <f>HYPERLINK("https://www.suredividend.com/sure-analysis-research-database/","Vicor Corp.")</f>
        <v>Vicor Corp.</v>
      </c>
      <c r="C1685" s="2" t="s">
        <v>40</v>
      </c>
      <c r="D1685" s="4">
        <v>37.61</v>
      </c>
      <c r="E1685" s="5">
        <v>0.0</v>
      </c>
      <c r="F1685" s="5" t="s">
        <v>15</v>
      </c>
      <c r="G1685" s="5" t="s">
        <v>15</v>
      </c>
      <c r="H1685" s="4">
        <v>0.0</v>
      </c>
      <c r="I1685" s="4">
        <v>1265.763299</v>
      </c>
      <c r="J1685" s="6">
        <v>23.8872841419917</v>
      </c>
      <c r="K1685" s="5">
        <v>0.0</v>
      </c>
      <c r="L1685" s="7">
        <v>2.08314066424117</v>
      </c>
      <c r="M1685" s="4">
        <v>98.38</v>
      </c>
      <c r="N1685" s="2">
        <v>35.48</v>
      </c>
    </row>
    <row r="1686">
      <c r="A1686" s="2" t="s">
        <v>1710</v>
      </c>
      <c r="B1686" s="3" t="str">
        <f>HYPERLINK("https://www.suredividend.com/sure-analysis-research-database/","View Inc.")</f>
        <v>View Inc.</v>
      </c>
      <c r="C1686" s="2" t="s">
        <v>15</v>
      </c>
      <c r="D1686" s="4">
        <v>1.45</v>
      </c>
      <c r="E1686" s="5">
        <v>0.0</v>
      </c>
      <c r="F1686" s="5" t="s">
        <v>15</v>
      </c>
      <c r="G1686" s="5" t="s">
        <v>15</v>
      </c>
      <c r="H1686" s="4">
        <v>0.0</v>
      </c>
      <c r="I1686" s="4">
        <v>6.710608</v>
      </c>
      <c r="J1686" s="6">
        <v>0.0</v>
      </c>
      <c r="K1686" s="5" t="s">
        <v>15</v>
      </c>
      <c r="L1686" s="7">
        <v>2.04845571310177</v>
      </c>
      <c r="M1686" s="4">
        <v>62.4</v>
      </c>
      <c r="N1686" s="2">
        <v>0.6209</v>
      </c>
    </row>
    <row r="1687">
      <c r="A1687" s="2" t="s">
        <v>1711</v>
      </c>
      <c r="B1687" s="3" t="str">
        <f>HYPERLINK("https://www.suredividend.com/sure-analysis-research-database/","Vir Biotechnology Inc")</f>
        <v>Vir Biotechnology Inc</v>
      </c>
      <c r="C1687" s="2" t="s">
        <v>30</v>
      </c>
      <c r="D1687" s="4">
        <v>8.6</v>
      </c>
      <c r="E1687" s="5">
        <v>0.0</v>
      </c>
      <c r="F1687" s="5" t="s">
        <v>15</v>
      </c>
      <c r="G1687" s="5" t="s">
        <v>15</v>
      </c>
      <c r="H1687" s="4">
        <v>0.0</v>
      </c>
      <c r="I1687" s="4">
        <v>1280.642633</v>
      </c>
      <c r="J1687" s="6" t="s">
        <v>15</v>
      </c>
      <c r="K1687" s="5">
        <v>0.0</v>
      </c>
      <c r="L1687" s="7">
        <v>1.3478659429445</v>
      </c>
      <c r="M1687" s="4">
        <v>30.95</v>
      </c>
      <c r="N1687" s="2">
        <v>7.72</v>
      </c>
    </row>
    <row r="1688">
      <c r="A1688" s="2" t="s">
        <v>1712</v>
      </c>
      <c r="B1688" s="3" t="str">
        <f>HYPERLINK("https://www.suredividend.com/sure-analysis-research-database/","Vital Farms Inc")</f>
        <v>Vital Farms Inc</v>
      </c>
      <c r="C1688" s="2" t="s">
        <v>15</v>
      </c>
      <c r="D1688" s="4">
        <v>14.95</v>
      </c>
      <c r="E1688" s="5">
        <v>0.0</v>
      </c>
      <c r="F1688" s="5" t="s">
        <v>15</v>
      </c>
      <c r="G1688" s="5" t="s">
        <v>15</v>
      </c>
      <c r="H1688" s="4">
        <v>0.0</v>
      </c>
      <c r="I1688" s="4">
        <v>626.114058</v>
      </c>
      <c r="J1688" s="6">
        <v>30.9635556179219</v>
      </c>
      <c r="K1688" s="5">
        <v>0.0</v>
      </c>
      <c r="L1688" s="7">
        <v>0.540339488115384</v>
      </c>
      <c r="M1688" s="4">
        <v>18.04</v>
      </c>
      <c r="N1688" s="2">
        <v>10.0</v>
      </c>
    </row>
    <row r="1689">
      <c r="A1689" s="2" t="s">
        <v>1713</v>
      </c>
      <c r="B1689" s="3" t="str">
        <f>HYPERLINK("https://www.suredividend.com/sure-analysis-research-database/","Velo3D Inc")</f>
        <v>Velo3D Inc</v>
      </c>
      <c r="C1689" s="2" t="s">
        <v>15</v>
      </c>
      <c r="D1689" s="4">
        <v>0.245</v>
      </c>
      <c r="E1689" s="5">
        <v>0.0</v>
      </c>
      <c r="F1689" s="5" t="s">
        <v>15</v>
      </c>
      <c r="G1689" s="5" t="s">
        <v>15</v>
      </c>
      <c r="H1689" s="4">
        <v>0.0</v>
      </c>
      <c r="I1689" s="4">
        <v>62.908613</v>
      </c>
      <c r="J1689" s="6" t="s">
        <v>15</v>
      </c>
      <c r="K1689" s="5">
        <v>0.0</v>
      </c>
      <c r="L1689" s="7">
        <v>2.37417448529489</v>
      </c>
      <c r="M1689" s="4">
        <v>3.95</v>
      </c>
      <c r="N1689" s="2">
        <v>0.2385</v>
      </c>
    </row>
    <row r="1690">
      <c r="A1690" s="2" t="s">
        <v>1714</v>
      </c>
      <c r="B1690" s="3" t="str">
        <f>HYPERLINK("https://www.suredividend.com/sure-analysis-research-database/","Village Super Market, Inc.")</f>
        <v>Village Super Market, Inc.</v>
      </c>
      <c r="C1690" s="2" t="s">
        <v>89</v>
      </c>
      <c r="D1690" s="4">
        <v>25.29</v>
      </c>
      <c r="E1690" s="5">
        <v>0.037126649920271</v>
      </c>
      <c r="F1690" s="5">
        <v>0.0</v>
      </c>
      <c r="G1690" s="5">
        <v>0.0</v>
      </c>
      <c r="H1690" s="4">
        <v>0.969748095917485</v>
      </c>
      <c r="I1690" s="4">
        <v>276.970316</v>
      </c>
      <c r="J1690" s="6">
        <v>0.0</v>
      </c>
      <c r="K1690" s="5" t="s">
        <v>15</v>
      </c>
      <c r="L1690" s="7">
        <v>0.333930745171149</v>
      </c>
      <c r="M1690" s="4">
        <v>26.6</v>
      </c>
      <c r="N1690" s="2">
        <v>19.0</v>
      </c>
    </row>
    <row r="1691">
      <c r="A1691" s="2" t="s">
        <v>1715</v>
      </c>
      <c r="B1691" s="3" t="str">
        <f>HYPERLINK("https://www.suredividend.com/sure-analysis-research-database/","Valley National Bancorp")</f>
        <v>Valley National Bancorp</v>
      </c>
      <c r="C1691" s="2" t="s">
        <v>22</v>
      </c>
      <c r="D1691" s="4">
        <v>8.88</v>
      </c>
      <c r="E1691" s="5">
        <v>0.04064325025907</v>
      </c>
      <c r="F1691" s="5">
        <v>0.0</v>
      </c>
      <c r="G1691" s="5">
        <v>0.0</v>
      </c>
      <c r="H1691" s="4">
        <v>0.428379857730605</v>
      </c>
      <c r="I1691" s="4">
        <v>5350.990193</v>
      </c>
      <c r="J1691" s="6">
        <v>9.0866162653616</v>
      </c>
      <c r="K1691" s="5">
        <v>0.369292980802245</v>
      </c>
      <c r="L1691" s="7">
        <v>1.84411792003849</v>
      </c>
      <c r="M1691" s="4">
        <v>11.73</v>
      </c>
      <c r="N1691" s="2">
        <v>6.01</v>
      </c>
    </row>
    <row r="1692">
      <c r="A1692" s="2" t="s">
        <v>1716</v>
      </c>
      <c r="B1692" s="3" t="str">
        <f>HYPERLINK("https://www.suredividend.com/sure-analysis-research-database/","Vimeo Inc")</f>
        <v>Vimeo Inc</v>
      </c>
      <c r="C1692" s="2" t="s">
        <v>15</v>
      </c>
      <c r="D1692" s="4">
        <v>3.84</v>
      </c>
      <c r="E1692" s="5">
        <v>0.0</v>
      </c>
      <c r="F1692" s="5" t="s">
        <v>15</v>
      </c>
      <c r="G1692" s="5" t="s">
        <v>15</v>
      </c>
      <c r="H1692" s="4">
        <v>0.0</v>
      </c>
      <c r="I1692" s="4">
        <v>621.803087</v>
      </c>
      <c r="J1692" s="6">
        <v>72.9644551689744</v>
      </c>
      <c r="K1692" s="5">
        <v>0.0</v>
      </c>
      <c r="L1692" s="7">
        <v>1.48268907732685</v>
      </c>
      <c r="M1692" s="4">
        <v>5.19</v>
      </c>
      <c r="N1692" s="2">
        <v>3.02</v>
      </c>
    </row>
    <row r="1693">
      <c r="A1693" s="2" t="s">
        <v>1717</v>
      </c>
      <c r="B1693" s="3" t="str">
        <f>HYPERLINK("https://www.suredividend.com/sure-analysis-research-database/","Vanda Pharmaceuticals Inc")</f>
        <v>Vanda Pharmaceuticals Inc</v>
      </c>
      <c r="C1693" s="2" t="s">
        <v>30</v>
      </c>
      <c r="D1693" s="4">
        <v>3.47</v>
      </c>
      <c r="E1693" s="5">
        <v>0.0</v>
      </c>
      <c r="F1693" s="5" t="s">
        <v>15</v>
      </c>
      <c r="G1693" s="5" t="s">
        <v>15</v>
      </c>
      <c r="H1693" s="4">
        <v>0.0</v>
      </c>
      <c r="I1693" s="4">
        <v>218.621596</v>
      </c>
      <c r="J1693" s="6">
        <v>18.5744771622769</v>
      </c>
      <c r="K1693" s="5">
        <v>0.0</v>
      </c>
      <c r="L1693" s="7">
        <v>0.690139365899916</v>
      </c>
      <c r="M1693" s="4">
        <v>8.15</v>
      </c>
      <c r="N1693" s="2">
        <v>3.3</v>
      </c>
    </row>
    <row r="1694">
      <c r="A1694" s="2" t="s">
        <v>1718</v>
      </c>
      <c r="B1694" s="3" t="str">
        <f>HYPERLINK("https://www.suredividend.com/sure-analysis-research-database/","Vishay Precision Group Inc")</f>
        <v>Vishay Precision Group Inc</v>
      </c>
      <c r="C1694" s="2" t="s">
        <v>40</v>
      </c>
      <c r="D1694" s="4">
        <v>31.45</v>
      </c>
      <c r="E1694" s="5">
        <v>0.0</v>
      </c>
      <c r="F1694" s="5" t="s">
        <v>15</v>
      </c>
      <c r="G1694" s="5" t="s">
        <v>15</v>
      </c>
      <c r="H1694" s="4">
        <v>0.0</v>
      </c>
      <c r="I1694" s="4">
        <v>399.078442</v>
      </c>
      <c r="J1694" s="6">
        <v>0.0</v>
      </c>
      <c r="K1694" s="5" t="s">
        <v>15</v>
      </c>
      <c r="L1694" s="7">
        <v>0.779773501847591</v>
      </c>
      <c r="M1694" s="4">
        <v>45.69</v>
      </c>
      <c r="N1694" s="2">
        <v>27.94</v>
      </c>
    </row>
    <row r="1695">
      <c r="A1695" s="2" t="s">
        <v>1719</v>
      </c>
      <c r="B1695" s="3" t="str">
        <f>HYPERLINK("https://www.suredividend.com/sure-analysis-research-database/","ViewRay Inc.")</f>
        <v>ViewRay Inc.</v>
      </c>
      <c r="C1695" s="2" t="s">
        <v>30</v>
      </c>
      <c r="D1695" s="4">
        <v>0.025</v>
      </c>
      <c r="E1695" s="5">
        <v>0.0</v>
      </c>
      <c r="F1695" s="5" t="s">
        <v>15</v>
      </c>
      <c r="G1695" s="5" t="s">
        <v>15</v>
      </c>
      <c r="H1695" s="4">
        <v>0.0</v>
      </c>
      <c r="I1695" s="4">
        <v>0.0</v>
      </c>
      <c r="J1695" s="6">
        <v>0.0</v>
      </c>
      <c r="K1695" s="5" t="s">
        <v>15</v>
      </c>
      <c r="L1695" s="7"/>
      <c r="M1695" s="4" t="s">
        <v>49</v>
      </c>
      <c r="N1695" s="2" t="s">
        <v>49</v>
      </c>
    </row>
    <row r="1696">
      <c r="A1696" s="2" t="s">
        <v>1720</v>
      </c>
      <c r="B1696" s="3" t="str">
        <f>HYPERLINK("https://www.suredividend.com/sure-analysis-research-database/","Viridian Therapeutics Inc")</f>
        <v>Viridian Therapeutics Inc</v>
      </c>
      <c r="C1696" s="2" t="s">
        <v>15</v>
      </c>
      <c r="D1696" s="4">
        <v>18.7</v>
      </c>
      <c r="E1696" s="5">
        <v>0.0</v>
      </c>
      <c r="F1696" s="5" t="s">
        <v>15</v>
      </c>
      <c r="G1696" s="5" t="s">
        <v>15</v>
      </c>
      <c r="H1696" s="4">
        <v>0.0</v>
      </c>
      <c r="I1696" s="4">
        <v>1070.125894</v>
      </c>
      <c r="J1696" s="6" t="s">
        <v>15</v>
      </c>
      <c r="K1696" s="5">
        <v>0.0</v>
      </c>
      <c r="L1696" s="7">
        <v>0.990827844731851</v>
      </c>
      <c r="M1696" s="4">
        <v>38.0</v>
      </c>
      <c r="N1696" s="2">
        <v>10.93</v>
      </c>
    </row>
    <row r="1697">
      <c r="A1697" s="2" t="s">
        <v>1721</v>
      </c>
      <c r="B1697" s="3" t="str">
        <f>HYPERLINK("https://www.suredividend.com/sure-analysis-research-database/","Veris Residential Inc")</f>
        <v>Veris Residential Inc</v>
      </c>
      <c r="C1697" s="2" t="s">
        <v>15</v>
      </c>
      <c r="D1697" s="4">
        <v>14.86</v>
      </c>
      <c r="E1697" s="5">
        <v>0.003335450975913</v>
      </c>
      <c r="F1697" s="5" t="s">
        <v>15</v>
      </c>
      <c r="G1697" s="5" t="s">
        <v>15</v>
      </c>
      <c r="H1697" s="4">
        <v>0.052499998360872</v>
      </c>
      <c r="I1697" s="4">
        <v>1451.566819</v>
      </c>
      <c r="J1697" s="6" t="s">
        <v>15</v>
      </c>
      <c r="K1697" s="5" t="s">
        <v>15</v>
      </c>
      <c r="L1697" s="7">
        <v>1.02400124529947</v>
      </c>
      <c r="M1697" s="4">
        <v>18.85</v>
      </c>
      <c r="N1697" s="2">
        <v>13.02</v>
      </c>
    </row>
    <row r="1698">
      <c r="A1698" s="2" t="s">
        <v>1722</v>
      </c>
      <c r="B1698" s="3" t="str">
        <f>HYPERLINK("https://www.suredividend.com/sure-analysis-research-database/","Varex Imaging Corp")</f>
        <v>Varex Imaging Corp</v>
      </c>
      <c r="C1698" s="2" t="s">
        <v>30</v>
      </c>
      <c r="D1698" s="4">
        <v>19.26</v>
      </c>
      <c r="E1698" s="5">
        <v>0.0</v>
      </c>
      <c r="F1698" s="5" t="s">
        <v>15</v>
      </c>
      <c r="G1698" s="5" t="s">
        <v>15</v>
      </c>
      <c r="H1698" s="4">
        <v>0.0</v>
      </c>
      <c r="I1698" s="4">
        <v>794.784927</v>
      </c>
      <c r="J1698" s="6">
        <v>16.4893138284232</v>
      </c>
      <c r="K1698" s="5">
        <v>0.0</v>
      </c>
      <c r="L1698" s="7">
        <v>0.680843497818241</v>
      </c>
      <c r="M1698" s="4">
        <v>23.9</v>
      </c>
      <c r="N1698" s="2">
        <v>17.05</v>
      </c>
    </row>
    <row r="1699">
      <c r="A1699" s="2" t="s">
        <v>1723</v>
      </c>
      <c r="B1699" s="3" t="str">
        <f>HYPERLINK("https://www.suredividend.com/sure-analysis-research-database/","Varonis Systems Inc")</f>
        <v>Varonis Systems Inc</v>
      </c>
      <c r="C1699" s="2" t="s">
        <v>40</v>
      </c>
      <c r="D1699" s="4">
        <v>45.54</v>
      </c>
      <c r="E1699" s="5">
        <v>0.0</v>
      </c>
      <c r="F1699" s="5" t="s">
        <v>15</v>
      </c>
      <c r="G1699" s="5" t="s">
        <v>15</v>
      </c>
      <c r="H1699" s="4">
        <v>0.0</v>
      </c>
      <c r="I1699" s="4">
        <v>5014.019729</v>
      </c>
      <c r="J1699" s="6" t="s">
        <v>15</v>
      </c>
      <c r="K1699" s="5">
        <v>0.0</v>
      </c>
      <c r="L1699" s="7">
        <v>1.48627877777434</v>
      </c>
      <c r="M1699" s="4">
        <v>47.29</v>
      </c>
      <c r="N1699" s="2">
        <v>22.34</v>
      </c>
    </row>
    <row r="1700">
      <c r="A1700" s="2" t="s">
        <v>1724</v>
      </c>
      <c r="B1700" s="3" t="str">
        <f>HYPERLINK("https://www.suredividend.com/sure-analysis-research-database/","Verint Systems, Inc.")</f>
        <v>Verint Systems, Inc.</v>
      </c>
      <c r="C1700" s="2" t="s">
        <v>40</v>
      </c>
      <c r="D1700" s="4">
        <v>29.62</v>
      </c>
      <c r="E1700" s="5">
        <v>0.0</v>
      </c>
      <c r="F1700" s="5" t="s">
        <v>15</v>
      </c>
      <c r="G1700" s="5" t="s">
        <v>15</v>
      </c>
      <c r="H1700" s="4">
        <v>0.0</v>
      </c>
      <c r="I1700" s="4">
        <v>1962.301705</v>
      </c>
      <c r="J1700" s="6">
        <v>954.891340467153</v>
      </c>
      <c r="K1700" s="5">
        <v>0.0</v>
      </c>
      <c r="L1700" s="7">
        <v>1.70495121321482</v>
      </c>
      <c r="M1700" s="4">
        <v>40.71</v>
      </c>
      <c r="N1700" s="2">
        <v>18.41</v>
      </c>
    </row>
    <row r="1701">
      <c r="A1701" s="2" t="s">
        <v>1725</v>
      </c>
      <c r="B1701" s="3" t="str">
        <f>HYPERLINK("https://www.suredividend.com/sure-analysis-research-database/","Verra Mobility Corp")</f>
        <v>Verra Mobility Corp</v>
      </c>
      <c r="C1701" s="2" t="s">
        <v>17</v>
      </c>
      <c r="D1701" s="4">
        <v>22.1</v>
      </c>
      <c r="E1701" s="5">
        <v>0.0</v>
      </c>
      <c r="F1701" s="5" t="s">
        <v>15</v>
      </c>
      <c r="G1701" s="5" t="s">
        <v>15</v>
      </c>
      <c r="H1701" s="4">
        <v>0.0</v>
      </c>
      <c r="I1701" s="4">
        <v>3956.601305</v>
      </c>
      <c r="J1701" s="6">
        <v>48.1273954249431</v>
      </c>
      <c r="K1701" s="5">
        <v>0.0</v>
      </c>
      <c r="L1701" s="7">
        <v>0.779502248551545</v>
      </c>
      <c r="M1701" s="4">
        <v>23.81</v>
      </c>
      <c r="N1701" s="2">
        <v>15.06</v>
      </c>
    </row>
    <row r="1702">
      <c r="A1702" s="2" t="s">
        <v>1726</v>
      </c>
      <c r="B1702" s="3" t="str">
        <f>HYPERLINK("https://www.suredividend.com/sure-analysis-research-database/","Virtus Investment Partners Inc")</f>
        <v>Virtus Investment Partners Inc</v>
      </c>
      <c r="C1702" s="2" t="s">
        <v>22</v>
      </c>
      <c r="D1702" s="4">
        <v>232.49</v>
      </c>
      <c r="E1702" s="5">
        <v>0.020688282139639</v>
      </c>
      <c r="F1702" s="5">
        <v>0.151515151515151</v>
      </c>
      <c r="G1702" s="5">
        <v>0.28138071143961</v>
      </c>
      <c r="H1702" s="4">
        <v>5.02493547233277</v>
      </c>
      <c r="I1702" s="4">
        <v>1745.147608</v>
      </c>
      <c r="J1702" s="6">
        <v>12.9091377738392</v>
      </c>
      <c r="K1702" s="5">
        <v>0.275037519011098</v>
      </c>
      <c r="L1702" s="7">
        <v>1.42067082039225</v>
      </c>
      <c r="M1702" s="4">
        <v>244.34</v>
      </c>
      <c r="N1702" s="2">
        <v>155.04</v>
      </c>
    </row>
    <row r="1703">
      <c r="A1703" s="2" t="s">
        <v>1727</v>
      </c>
      <c r="B1703" s="3" t="str">
        <f>HYPERLINK("https://www.suredividend.com/sure-analysis-research-database/","Veritiv Corp")</f>
        <v>Veritiv Corp</v>
      </c>
      <c r="C1703" s="2" t="s">
        <v>17</v>
      </c>
      <c r="D1703" s="4">
        <v>169.99</v>
      </c>
      <c r="E1703" s="5">
        <v>0.011068667902938</v>
      </c>
      <c r="F1703" s="5" t="s">
        <v>15</v>
      </c>
      <c r="G1703" s="5" t="s">
        <v>15</v>
      </c>
      <c r="H1703" s="4">
        <v>1.88156285682044</v>
      </c>
      <c r="I1703" s="4">
        <v>2306.307027</v>
      </c>
      <c r="J1703" s="6">
        <v>8.48530914974246</v>
      </c>
      <c r="K1703" s="5">
        <v>0.0951245124782832</v>
      </c>
      <c r="L1703" s="7"/>
      <c r="M1703" s="4">
        <v>170.02</v>
      </c>
      <c r="N1703" s="2">
        <v>101.12</v>
      </c>
    </row>
    <row r="1704">
      <c r="A1704" s="2" t="s">
        <v>1728</v>
      </c>
      <c r="B1704" s="3" t="str">
        <f>HYPERLINK("https://www.suredividend.com/sure-analysis-research-database/","VSE Corp.")</f>
        <v>VSE Corp.</v>
      </c>
      <c r="C1704" s="2" t="s">
        <v>17</v>
      </c>
      <c r="D1704" s="4">
        <v>60.02</v>
      </c>
      <c r="E1704" s="5">
        <v>0.006329061290916</v>
      </c>
      <c r="F1704" s="5">
        <v>0.0</v>
      </c>
      <c r="G1704" s="5">
        <v>0.0212956876001351</v>
      </c>
      <c r="H1704" s="4">
        <v>0.397844792747019</v>
      </c>
      <c r="I1704" s="4">
        <v>989.874587</v>
      </c>
      <c r="J1704" s="6">
        <v>30.5733881008123</v>
      </c>
      <c r="K1704" s="5">
        <v>0.165080826865983</v>
      </c>
      <c r="L1704" s="7">
        <v>1.25403339913817</v>
      </c>
      <c r="M1704" s="4">
        <v>66.21</v>
      </c>
      <c r="N1704" s="2">
        <v>39.36</v>
      </c>
    </row>
    <row r="1705">
      <c r="A1705" s="2" t="s">
        <v>1729</v>
      </c>
      <c r="B1705" s="3" t="str">
        <f>HYPERLINK("https://www.suredividend.com/sure-analysis-research-database/","Vishay Intertechnology, Inc.")</f>
        <v>Vishay Intertechnology, Inc.</v>
      </c>
      <c r="C1705" s="2" t="s">
        <v>40</v>
      </c>
      <c r="D1705" s="4">
        <v>21.65</v>
      </c>
      <c r="E1705" s="5">
        <v>0.017806019714095</v>
      </c>
      <c r="F1705" s="5">
        <v>0.0</v>
      </c>
      <c r="G1705" s="5">
        <v>0.0330378041139323</v>
      </c>
      <c r="H1705" s="4">
        <v>0.397608420215756</v>
      </c>
      <c r="I1705" s="4">
        <v>2818.907916</v>
      </c>
      <c r="J1705" s="6">
        <v>8.16752791847271</v>
      </c>
      <c r="K1705" s="5">
        <v>0.162289151108471</v>
      </c>
      <c r="L1705" s="7">
        <v>1.28800034518679</v>
      </c>
      <c r="M1705" s="4">
        <v>29.85</v>
      </c>
      <c r="N1705" s="2">
        <v>20.18</v>
      </c>
    </row>
    <row r="1706">
      <c r="A1706" s="2" t="s">
        <v>1730</v>
      </c>
      <c r="B1706" s="3" t="str">
        <f>HYPERLINK("https://www.suredividend.com/sure-analysis-research-database/","Vista Outdoor Inc")</f>
        <v>Vista Outdoor Inc</v>
      </c>
      <c r="C1706" s="2" t="s">
        <v>25</v>
      </c>
      <c r="D1706" s="4">
        <v>29.5</v>
      </c>
      <c r="E1706" s="5">
        <v>0.0</v>
      </c>
      <c r="F1706" s="5" t="s">
        <v>15</v>
      </c>
      <c r="G1706" s="5" t="s">
        <v>15</v>
      </c>
      <c r="H1706" s="4">
        <v>0.0</v>
      </c>
      <c r="I1706" s="4">
        <v>1655.044248</v>
      </c>
      <c r="J1706" s="6" t="s">
        <v>15</v>
      </c>
      <c r="K1706" s="5">
        <v>0.0</v>
      </c>
      <c r="L1706" s="7">
        <v>0.63401860540908</v>
      </c>
      <c r="M1706" s="4">
        <v>33.78</v>
      </c>
      <c r="N1706" s="2">
        <v>23.33</v>
      </c>
    </row>
    <row r="1707">
      <c r="A1707" s="2" t="s">
        <v>1731</v>
      </c>
      <c r="B1707" s="3" t="str">
        <f>HYPERLINK("https://www.suredividend.com/sure-analysis-research-database/","VistaGen Therapeutics Inc")</f>
        <v>VistaGen Therapeutics Inc</v>
      </c>
      <c r="C1707" s="2" t="s">
        <v>30</v>
      </c>
      <c r="D1707" s="4">
        <v>4.59</v>
      </c>
      <c r="E1707" s="5">
        <v>0.0</v>
      </c>
      <c r="F1707" s="5" t="s">
        <v>15</v>
      </c>
      <c r="G1707" s="5" t="s">
        <v>15</v>
      </c>
      <c r="H1707" s="4">
        <v>0.0</v>
      </c>
      <c r="I1707" s="4">
        <v>142.14118</v>
      </c>
      <c r="J1707" s="6">
        <v>0.0</v>
      </c>
      <c r="K1707" s="5" t="s">
        <v>15</v>
      </c>
      <c r="L1707" s="7">
        <v>5.43919709825661</v>
      </c>
      <c r="M1707" s="4">
        <v>24.71</v>
      </c>
      <c r="N1707" s="2">
        <v>1.62</v>
      </c>
    </row>
    <row r="1708">
      <c r="A1708" s="2" t="s">
        <v>1732</v>
      </c>
      <c r="B1708" s="3" t="str">
        <f>HYPERLINK("https://www.suredividend.com/sure-analysis-research-database/","Vital Energy Inc.")</f>
        <v>Vital Energy Inc.</v>
      </c>
      <c r="C1708" s="2" t="s">
        <v>15</v>
      </c>
      <c r="D1708" s="4">
        <v>41.36</v>
      </c>
      <c r="E1708" s="5">
        <v>0.0</v>
      </c>
      <c r="F1708" s="5" t="s">
        <v>15</v>
      </c>
      <c r="G1708" s="5" t="s">
        <v>15</v>
      </c>
      <c r="H1708" s="4">
        <v>0.0</v>
      </c>
      <c r="I1708" s="4">
        <v>1265.003257</v>
      </c>
      <c r="J1708" s="6">
        <v>2.37841580497416</v>
      </c>
      <c r="K1708" s="5">
        <v>0.0</v>
      </c>
      <c r="L1708" s="7">
        <v>1.23950569535328</v>
      </c>
      <c r="M1708" s="4">
        <v>62.87</v>
      </c>
      <c r="N1708" s="2">
        <v>39.74</v>
      </c>
    </row>
    <row r="1709">
      <c r="A1709" s="2" t="s">
        <v>1733</v>
      </c>
      <c r="B1709" s="3" t="str">
        <f>HYPERLINK("https://www.suredividend.com/sure-analysis-research-database/","Vertex Energy Inc")</f>
        <v>Vertex Energy Inc</v>
      </c>
      <c r="C1709" s="2" t="s">
        <v>125</v>
      </c>
      <c r="D1709" s="4">
        <v>1.41</v>
      </c>
      <c r="E1709" s="5">
        <v>0.0</v>
      </c>
      <c r="F1709" s="5" t="s">
        <v>15</v>
      </c>
      <c r="G1709" s="5" t="s">
        <v>15</v>
      </c>
      <c r="H1709" s="4">
        <v>0.0</v>
      </c>
      <c r="I1709" s="4">
        <v>136.998517</v>
      </c>
      <c r="J1709" s="6">
        <v>0.0</v>
      </c>
      <c r="K1709" s="5" t="s">
        <v>15</v>
      </c>
      <c r="L1709" s="7">
        <v>1.57939348448901</v>
      </c>
      <c r="M1709" s="4">
        <v>11.2</v>
      </c>
      <c r="N1709" s="2">
        <v>1.32</v>
      </c>
    </row>
    <row r="1710">
      <c r="A1710" s="2" t="s">
        <v>1734</v>
      </c>
      <c r="B1710" s="3" t="str">
        <f>HYPERLINK("https://www.suredividend.com/sure-analysis-research-database/","Bristow Group Inc.")</f>
        <v>Bristow Group Inc.</v>
      </c>
      <c r="C1710" s="2" t="s">
        <v>15</v>
      </c>
      <c r="D1710" s="4">
        <v>25.9</v>
      </c>
      <c r="E1710" s="5">
        <v>0.0</v>
      </c>
      <c r="F1710" s="5" t="s">
        <v>15</v>
      </c>
      <c r="G1710" s="5" t="s">
        <v>15</v>
      </c>
      <c r="H1710" s="4">
        <v>0.0</v>
      </c>
      <c r="I1710" s="4">
        <v>774.22286</v>
      </c>
      <c r="J1710" s="6">
        <v>47.9810894893406</v>
      </c>
      <c r="K1710" s="5">
        <v>0.0</v>
      </c>
      <c r="L1710" s="7">
        <v>1.28449720613833</v>
      </c>
      <c r="M1710" s="4">
        <v>31.89</v>
      </c>
      <c r="N1710" s="2">
        <v>20.08</v>
      </c>
    </row>
    <row r="1711">
      <c r="A1711" s="2" t="s">
        <v>1735</v>
      </c>
      <c r="B1711" s="3" t="str">
        <f>HYPERLINK("https://www.suredividend.com/sure-analysis-research-database/","Ventyx Biosciences Inc")</f>
        <v>Ventyx Biosciences Inc</v>
      </c>
      <c r="C1711" s="2" t="s">
        <v>15</v>
      </c>
      <c r="D1711" s="4">
        <v>2.32</v>
      </c>
      <c r="E1711" s="5">
        <v>0.0</v>
      </c>
      <c r="F1711" s="5" t="s">
        <v>15</v>
      </c>
      <c r="G1711" s="5" t="s">
        <v>15</v>
      </c>
      <c r="H1711" s="4">
        <v>0.0</v>
      </c>
      <c r="I1711" s="4">
        <v>125.181989</v>
      </c>
      <c r="J1711" s="6">
        <v>0.0</v>
      </c>
      <c r="K1711" s="5" t="s">
        <v>15</v>
      </c>
      <c r="L1711" s="7">
        <v>0.731771508526961</v>
      </c>
      <c r="M1711" s="4">
        <v>47.25</v>
      </c>
      <c r="N1711" s="2">
        <v>1.87</v>
      </c>
    </row>
    <row r="1712">
      <c r="A1712" s="2" t="s">
        <v>1736</v>
      </c>
      <c r="B1712" s="3" t="str">
        <f>HYPERLINK("https://www.suredividend.com/sure-analysis-research-database/","Vuzix Corporation")</f>
        <v>Vuzix Corporation</v>
      </c>
      <c r="C1712" s="2" t="s">
        <v>40</v>
      </c>
      <c r="D1712" s="4">
        <v>1.66</v>
      </c>
      <c r="E1712" s="5">
        <v>0.0</v>
      </c>
      <c r="F1712" s="5" t="s">
        <v>15</v>
      </c>
      <c r="G1712" s="5" t="s">
        <v>15</v>
      </c>
      <c r="H1712" s="4">
        <v>0.0</v>
      </c>
      <c r="I1712" s="4">
        <v>112.089866</v>
      </c>
      <c r="J1712" s="6">
        <v>0.0</v>
      </c>
      <c r="K1712" s="5" t="s">
        <v>15</v>
      </c>
      <c r="L1712" s="7">
        <v>2.52382909477039</v>
      </c>
      <c r="M1712" s="4">
        <v>6.06</v>
      </c>
      <c r="N1712" s="2">
        <v>1.57</v>
      </c>
    </row>
    <row r="1713">
      <c r="A1713" s="2" t="s">
        <v>1737</v>
      </c>
      <c r="B1713" s="3" t="str">
        <f>HYPERLINK("https://www.suredividend.com/sure-analysis-research-database/","Viad Corp.")</f>
        <v>Viad Corp.</v>
      </c>
      <c r="C1713" s="2" t="s">
        <v>17</v>
      </c>
      <c r="D1713" s="4">
        <v>32.67</v>
      </c>
      <c r="E1713" s="5">
        <v>0.0</v>
      </c>
      <c r="F1713" s="5" t="s">
        <v>15</v>
      </c>
      <c r="G1713" s="5" t="s">
        <v>15</v>
      </c>
      <c r="H1713" s="4">
        <v>0.0</v>
      </c>
      <c r="I1713" s="4">
        <v>738.035374</v>
      </c>
      <c r="J1713" s="6">
        <v>45.6253321958457</v>
      </c>
      <c r="K1713" s="5">
        <v>0.0</v>
      </c>
      <c r="L1713" s="7">
        <v>1.41415223652435</v>
      </c>
      <c r="M1713" s="4">
        <v>37.99</v>
      </c>
      <c r="N1713" s="2">
        <v>17.1</v>
      </c>
    </row>
    <row r="1714">
      <c r="A1714" s="2" t="s">
        <v>1738</v>
      </c>
      <c r="B1714" s="3" t="str">
        <f>HYPERLINK("https://www.suredividend.com/sure-analysis-research-database/","V2X Inc")</f>
        <v>V2X Inc</v>
      </c>
      <c r="C1714" s="2" t="s">
        <v>15</v>
      </c>
      <c r="D1714" s="4">
        <v>38.01</v>
      </c>
      <c r="E1714" s="5">
        <v>0.0</v>
      </c>
      <c r="F1714" s="5" t="s">
        <v>15</v>
      </c>
      <c r="G1714" s="5" t="s">
        <v>15</v>
      </c>
      <c r="H1714" s="4">
        <v>0.0</v>
      </c>
      <c r="I1714" s="4">
        <v>1226.448286</v>
      </c>
      <c r="J1714" s="6" t="s">
        <v>15</v>
      </c>
      <c r="K1714" s="5">
        <v>0.0</v>
      </c>
      <c r="L1714" s="7">
        <v>0.569570947328492</v>
      </c>
      <c r="M1714" s="4">
        <v>56.75</v>
      </c>
      <c r="N1714" s="2">
        <v>36.45</v>
      </c>
    </row>
    <row r="1715">
      <c r="A1715" s="2" t="s">
        <v>1739</v>
      </c>
      <c r="B1715" s="3" t="str">
        <f>HYPERLINK("https://www.suredividend.com/sure-analysis-research-database/","Vintage Wine Estates Inc")</f>
        <v>Vintage Wine Estates Inc</v>
      </c>
      <c r="C1715" s="2" t="s">
        <v>15</v>
      </c>
      <c r="D1715" s="4">
        <v>0.457</v>
      </c>
      <c r="E1715" s="5">
        <v>0.0</v>
      </c>
      <c r="F1715" s="5" t="s">
        <v>15</v>
      </c>
      <c r="G1715" s="5" t="s">
        <v>15</v>
      </c>
      <c r="H1715" s="4">
        <v>0.0</v>
      </c>
      <c r="I1715" s="4">
        <v>29.360051</v>
      </c>
      <c r="J1715" s="6" t="s">
        <v>15</v>
      </c>
      <c r="K1715" s="5">
        <v>0.0</v>
      </c>
      <c r="L1715" s="7">
        <v>1.57053488991409</v>
      </c>
      <c r="M1715" s="4">
        <v>3.06</v>
      </c>
      <c r="N1715" s="2">
        <v>0.46</v>
      </c>
    </row>
    <row r="1716">
      <c r="A1716" s="2" t="s">
        <v>1740</v>
      </c>
      <c r="B1716" s="3" t="str">
        <f>HYPERLINK("https://www.suredividend.com/sure-analysis-research-database/","Vaxart Inc")</f>
        <v>Vaxart Inc</v>
      </c>
      <c r="C1716" s="2" t="s">
        <v>30</v>
      </c>
      <c r="D1716" s="4">
        <v>1.165</v>
      </c>
      <c r="E1716" s="5">
        <v>0.0</v>
      </c>
      <c r="F1716" s="5" t="s">
        <v>15</v>
      </c>
      <c r="G1716" s="5" t="s">
        <v>15</v>
      </c>
      <c r="H1716" s="4">
        <v>0.0</v>
      </c>
      <c r="I1716" s="4">
        <v>135.222636</v>
      </c>
      <c r="J1716" s="6" t="s">
        <v>15</v>
      </c>
      <c r="K1716" s="5">
        <v>0.0</v>
      </c>
      <c r="L1716" s="7">
        <v>1.56574410036764</v>
      </c>
      <c r="M1716" s="4">
        <v>1.58999999999999</v>
      </c>
      <c r="N1716" s="2">
        <v>0.53</v>
      </c>
    </row>
    <row r="1717">
      <c r="A1717" s="2" t="s">
        <v>1741</v>
      </c>
      <c r="B1717" s="3" t="str">
        <f>HYPERLINK("https://www.suredividend.com/sure-analysis-research-database/","VIZIO Holding Corp")</f>
        <v>VIZIO Holding Corp</v>
      </c>
      <c r="C1717" s="2" t="s">
        <v>15</v>
      </c>
      <c r="D1717" s="4">
        <v>6.96</v>
      </c>
      <c r="E1717" s="5">
        <v>0.0</v>
      </c>
      <c r="F1717" s="5" t="s">
        <v>15</v>
      </c>
      <c r="G1717" s="5" t="s">
        <v>15</v>
      </c>
      <c r="H1717" s="4">
        <v>0.0</v>
      </c>
      <c r="I1717" s="4">
        <v>1421.539407</v>
      </c>
      <c r="J1717" s="6">
        <v>41.7590860774647</v>
      </c>
      <c r="K1717" s="5">
        <v>0.0</v>
      </c>
      <c r="L1717" s="7">
        <v>1.91116177642766</v>
      </c>
      <c r="M1717" s="4">
        <v>10.56</v>
      </c>
      <c r="N1717" s="2">
        <v>4.82</v>
      </c>
    </row>
    <row r="1718">
      <c r="A1718" s="2" t="s">
        <v>1742</v>
      </c>
      <c r="B1718" s="3" t="str">
        <f>HYPERLINK("https://www.suredividend.com/sure-analysis-WABC/","Westamerica Bancorporation")</f>
        <v>Westamerica Bancorporation</v>
      </c>
      <c r="C1718" s="2" t="s">
        <v>22</v>
      </c>
      <c r="D1718" s="4">
        <v>45.37</v>
      </c>
      <c r="E1718" s="5">
        <v>0.0387921534053339</v>
      </c>
      <c r="F1718" s="5">
        <v>0.0476190476190476</v>
      </c>
      <c r="G1718" s="5">
        <v>0.0142237214661282</v>
      </c>
      <c r="H1718" s="4">
        <v>1.67292870108716</v>
      </c>
      <c r="I1718" s="4">
        <v>1310.59959</v>
      </c>
      <c r="J1718" s="6">
        <v>8.10793837371012</v>
      </c>
      <c r="K1718" s="5">
        <v>0.27697495051112</v>
      </c>
      <c r="L1718" s="7">
        <v>0.978589250846627</v>
      </c>
      <c r="M1718" s="4">
        <v>57.96</v>
      </c>
      <c r="N1718" s="2">
        <v>33.49</v>
      </c>
    </row>
    <row r="1719">
      <c r="A1719" s="2" t="s">
        <v>1743</v>
      </c>
      <c r="B1719" s="3" t="str">
        <f>HYPERLINK("https://www.suredividend.com/sure-analysis-WAFD/","WaFd Inc")</f>
        <v>WaFd Inc</v>
      </c>
      <c r="C1719" s="2" t="s">
        <v>22</v>
      </c>
      <c r="D1719" s="4">
        <v>27.76</v>
      </c>
      <c r="E1719" s="5">
        <v>0.0360230547550432</v>
      </c>
      <c r="F1719" s="5">
        <v>0.0416666666666667</v>
      </c>
      <c r="G1719" s="5">
        <v>0.0456395525912731</v>
      </c>
      <c r="H1719" s="4">
        <v>0.974891729058878</v>
      </c>
      <c r="I1719" s="4">
        <v>1988.672492</v>
      </c>
      <c r="J1719" s="6">
        <v>8.19054489783814</v>
      </c>
      <c r="K1719" s="5">
        <v>0.262067669101849</v>
      </c>
      <c r="L1719" s="7">
        <v>1.5812481247502</v>
      </c>
      <c r="M1719" s="4">
        <v>35.35</v>
      </c>
      <c r="N1719" s="2">
        <v>22.81</v>
      </c>
    </row>
    <row r="1720">
      <c r="A1720" s="2" t="s">
        <v>1744</v>
      </c>
      <c r="B1720" s="3" t="str">
        <f>HYPERLINK("https://www.suredividend.com/sure-analysis-WASH/","Washington Trust Bancorp, Inc.")</f>
        <v>Washington Trust Bancorp, Inc.</v>
      </c>
      <c r="C1720" s="2" t="s">
        <v>22</v>
      </c>
      <c r="D1720" s="4">
        <v>26.21</v>
      </c>
      <c r="E1720" s="5">
        <v>0.085463563525372</v>
      </c>
      <c r="F1720" s="5">
        <v>0.0</v>
      </c>
      <c r="G1720" s="5">
        <v>0.035661981385701</v>
      </c>
      <c r="H1720" s="4">
        <v>2.11985030478208</v>
      </c>
      <c r="I1720" s="4">
        <v>517.401324</v>
      </c>
      <c r="J1720" s="6">
        <v>10.008730521327</v>
      </c>
      <c r="K1720" s="5">
        <v>0.701937187013935</v>
      </c>
      <c r="L1720" s="7">
        <v>1.47689528308518</v>
      </c>
      <c r="M1720" s="4">
        <v>39.24</v>
      </c>
      <c r="N1720" s="2">
        <v>19.83</v>
      </c>
    </row>
    <row r="1721">
      <c r="A1721" s="2" t="s">
        <v>1745</v>
      </c>
      <c r="B1721" s="3" t="str">
        <f>HYPERLINK("https://www.suredividend.com/sure-analysis-research-database/","Walker &amp; Dunlop Inc")</f>
        <v>Walker &amp; Dunlop Inc</v>
      </c>
      <c r="C1721" s="2" t="s">
        <v>22</v>
      </c>
      <c r="D1721" s="4">
        <v>92.39</v>
      </c>
      <c r="E1721" s="5">
        <v>0.024509774194769</v>
      </c>
      <c r="F1721" s="5">
        <v>0.0499999999999998</v>
      </c>
      <c r="G1721" s="5">
        <v>0.159962258654001</v>
      </c>
      <c r="H1721" s="4">
        <v>2.49068325367244</v>
      </c>
      <c r="I1721" s="4">
        <v>3399.2078</v>
      </c>
      <c r="J1721" s="6">
        <v>29.7580960858983</v>
      </c>
      <c r="K1721" s="5">
        <v>0.715713578641507</v>
      </c>
      <c r="L1721" s="7">
        <v>1.8611365691201</v>
      </c>
      <c r="M1721" s="4">
        <v>113.67</v>
      </c>
      <c r="N1721" s="2">
        <v>59.6</v>
      </c>
    </row>
    <row r="1722">
      <c r="A1722" s="2" t="s">
        <v>1746</v>
      </c>
      <c r="B1722" s="3" t="str">
        <f>HYPERLINK("https://www.suredividend.com/sure-analysis-WDFC/","WD-40 Co.")</f>
        <v>WD-40 Co.</v>
      </c>
      <c r="C1722" s="2" t="s">
        <v>130</v>
      </c>
      <c r="D1722" s="4">
        <v>261.66</v>
      </c>
      <c r="E1722" s="5">
        <v>0.0134525720400519</v>
      </c>
      <c r="F1722" s="5">
        <v>0.0602409638554215</v>
      </c>
      <c r="G1722" s="5">
        <v>0.076045331028665</v>
      </c>
      <c r="H1722" s="4">
        <v>3.34252360329111</v>
      </c>
      <c r="I1722" s="4">
        <v>3597.16313</v>
      </c>
      <c r="J1722" s="6">
        <v>51.9866336722837</v>
      </c>
      <c r="K1722" s="5">
        <v>0.656684401432438</v>
      </c>
      <c r="L1722" s="7">
        <v>0.857753428109641</v>
      </c>
      <c r="M1722" s="4">
        <v>277.89</v>
      </c>
      <c r="N1722" s="2">
        <v>160.01</v>
      </c>
    </row>
    <row r="1723">
      <c r="A1723" s="2" t="s">
        <v>1747</v>
      </c>
      <c r="B1723" s="3" t="str">
        <f>HYPERLINK("https://www.suredividend.com/sure-analysis-research-database/","Weave Communications Inc")</f>
        <v>Weave Communications Inc</v>
      </c>
      <c r="C1723" s="2" t="s">
        <v>15</v>
      </c>
      <c r="D1723" s="4">
        <v>13.13</v>
      </c>
      <c r="E1723" s="5">
        <v>0.0</v>
      </c>
      <c r="F1723" s="5" t="s">
        <v>15</v>
      </c>
      <c r="G1723" s="5" t="s">
        <v>15</v>
      </c>
      <c r="H1723" s="4">
        <v>0.0</v>
      </c>
      <c r="I1723" s="4">
        <v>937.899149</v>
      </c>
      <c r="J1723" s="6" t="s">
        <v>15</v>
      </c>
      <c r="K1723" s="5">
        <v>0.0</v>
      </c>
      <c r="L1723" s="7">
        <v>1.46469471314895</v>
      </c>
      <c r="M1723" s="4">
        <v>13.63</v>
      </c>
      <c r="N1723" s="2">
        <v>4.04</v>
      </c>
    </row>
    <row r="1724">
      <c r="A1724" s="2" t="s">
        <v>1748</v>
      </c>
      <c r="B1724" s="3" t="str">
        <f>HYPERLINK("https://www.suredividend.com/sure-analysis-research-database/","Werner Enterprises, Inc.")</f>
        <v>Werner Enterprises, Inc.</v>
      </c>
      <c r="C1724" s="2" t="s">
        <v>17</v>
      </c>
      <c r="D1724" s="4">
        <v>39.71</v>
      </c>
      <c r="E1724" s="5">
        <v>0.013423661891628</v>
      </c>
      <c r="F1724" s="5">
        <v>0.0769230769230771</v>
      </c>
      <c r="G1724" s="5">
        <v>-0.481893126896613</v>
      </c>
      <c r="H1724" s="4">
        <v>0.544597962943371</v>
      </c>
      <c r="I1724" s="4">
        <v>2571.932919</v>
      </c>
      <c r="J1724" s="6">
        <v>17.2641914324551</v>
      </c>
      <c r="K1724" s="5">
        <v>0.232734172198021</v>
      </c>
      <c r="L1724" s="7">
        <v>0.832221871080145</v>
      </c>
      <c r="M1724" s="4">
        <v>49.17</v>
      </c>
      <c r="N1724" s="2">
        <v>34.79</v>
      </c>
    </row>
    <row r="1725">
      <c r="A1725" s="2" t="s">
        <v>1749</v>
      </c>
      <c r="B1725" s="3" t="str">
        <f>HYPERLINK("https://www.suredividend.com/sure-analysis-WEYS/","Weyco Group, Inc")</f>
        <v>Weyco Group, Inc</v>
      </c>
      <c r="C1725" s="2" t="s">
        <v>25</v>
      </c>
      <c r="D1725" s="4">
        <v>32.01</v>
      </c>
      <c r="E1725" s="5">
        <v>0.0312402374258044</v>
      </c>
      <c r="F1725" s="5">
        <v>0.0416666666666667</v>
      </c>
      <c r="G1725" s="5">
        <v>0.0168161478219546</v>
      </c>
      <c r="H1725" s="4">
        <v>0.963689579731092</v>
      </c>
      <c r="I1725" s="4">
        <v>311.332049</v>
      </c>
      <c r="J1725" s="6">
        <v>9.76942541609137</v>
      </c>
      <c r="K1725" s="5">
        <v>0.288529814290746</v>
      </c>
      <c r="L1725" s="7">
        <v>0.545521724061136</v>
      </c>
      <c r="M1725" s="4">
        <v>33.03</v>
      </c>
      <c r="N1725" s="2">
        <v>20.07</v>
      </c>
    </row>
    <row r="1726">
      <c r="A1726" s="2" t="s">
        <v>1750</v>
      </c>
      <c r="B1726" s="3" t="str">
        <f>HYPERLINK("https://www.suredividend.com/sure-analysis-research-database/","Weatherford International plc")</f>
        <v>Weatherford International plc</v>
      </c>
      <c r="C1726" s="2" t="s">
        <v>15</v>
      </c>
      <c r="D1726" s="4">
        <v>84.84</v>
      </c>
      <c r="E1726" s="5">
        <v>0.0</v>
      </c>
      <c r="F1726" s="5" t="s">
        <v>15</v>
      </c>
      <c r="G1726" s="5" t="s">
        <v>15</v>
      </c>
      <c r="H1726" s="4">
        <v>0.0</v>
      </c>
      <c r="I1726" s="4">
        <v>7184.454434</v>
      </c>
      <c r="J1726" s="6">
        <v>20.5858293234957</v>
      </c>
      <c r="K1726" s="5">
        <v>0.0</v>
      </c>
      <c r="L1726" s="7">
        <v>1.0163088253275</v>
      </c>
      <c r="M1726" s="4">
        <v>102.65</v>
      </c>
      <c r="N1726" s="2">
        <v>51.46</v>
      </c>
    </row>
    <row r="1727">
      <c r="A1727" s="2" t="s">
        <v>1751</v>
      </c>
      <c r="B1727" s="3" t="str">
        <f>HYPERLINK("https://www.suredividend.com/sure-analysis-WGO/","Winnebago Industries, Inc.")</f>
        <v>Winnebago Industries, Inc.</v>
      </c>
      <c r="C1727" s="2" t="s">
        <v>25</v>
      </c>
      <c r="D1727" s="4">
        <v>66.4</v>
      </c>
      <c r="E1727" s="5">
        <v>0.0186746987951807</v>
      </c>
      <c r="F1727" s="5">
        <v>0.148148148148148</v>
      </c>
      <c r="G1727" s="5">
        <v>0.230251212502278</v>
      </c>
      <c r="H1727" s="4">
        <v>1.15231625103145</v>
      </c>
      <c r="I1727" s="4">
        <v>1969.54</v>
      </c>
      <c r="J1727" s="6">
        <v>10.8514600550964</v>
      </c>
      <c r="K1727" s="5">
        <v>0.223317102913072</v>
      </c>
      <c r="L1727" s="7">
        <v>1.33348489955913</v>
      </c>
      <c r="M1727" s="4">
        <v>75.08</v>
      </c>
      <c r="N1727" s="2">
        <v>52.95</v>
      </c>
    </row>
    <row r="1728">
      <c r="A1728" s="2" t="s">
        <v>1752</v>
      </c>
      <c r="B1728" s="3" t="str">
        <f>HYPERLINK("https://www.suredividend.com/sure-analysis-research-database/","GeneDx Holdings Corp")</f>
        <v>GeneDx Holdings Corp</v>
      </c>
      <c r="C1728" s="2" t="s">
        <v>15</v>
      </c>
      <c r="D1728" s="4">
        <v>3.74</v>
      </c>
      <c r="E1728" s="5">
        <v>0.0</v>
      </c>
      <c r="F1728" s="5" t="s">
        <v>15</v>
      </c>
      <c r="G1728" s="5" t="s">
        <v>15</v>
      </c>
      <c r="H1728" s="4">
        <v>0.0</v>
      </c>
      <c r="I1728" s="4">
        <v>105.090173</v>
      </c>
      <c r="J1728" s="6" t="s">
        <v>15</v>
      </c>
      <c r="K1728" s="5">
        <v>0.0</v>
      </c>
      <c r="L1728" s="7">
        <v>1.52376501863518</v>
      </c>
      <c r="M1728" s="4">
        <v>17.91</v>
      </c>
      <c r="N1728" s="2">
        <v>1.16</v>
      </c>
    </row>
    <row r="1729">
      <c r="A1729" s="2" t="s">
        <v>1753</v>
      </c>
      <c r="B1729" s="3" t="str">
        <f>HYPERLINK("https://www.suredividend.com/sure-analysis-research-database/","Cactus Inc")</f>
        <v>Cactus Inc</v>
      </c>
      <c r="C1729" s="2" t="s">
        <v>125</v>
      </c>
      <c r="D1729" s="4">
        <v>40.98</v>
      </c>
      <c r="E1729" s="5">
        <v>0.010820933881561</v>
      </c>
      <c r="F1729" s="5" t="s">
        <v>15</v>
      </c>
      <c r="G1729" s="5" t="s">
        <v>15</v>
      </c>
      <c r="H1729" s="4">
        <v>0.458158340545332</v>
      </c>
      <c r="I1729" s="4">
        <v>2765.781282</v>
      </c>
      <c r="J1729" s="6">
        <v>18.2906316378882</v>
      </c>
      <c r="K1729" s="5">
        <v>0.227939472908125</v>
      </c>
      <c r="L1729" s="7">
        <v>1.03707339093682</v>
      </c>
      <c r="M1729" s="4">
        <v>56.84</v>
      </c>
      <c r="N1729" s="2">
        <v>31.2</v>
      </c>
    </row>
    <row r="1730">
      <c r="A1730" s="2" t="s">
        <v>1754</v>
      </c>
      <c r="B1730" s="3" t="str">
        <f>HYPERLINK("https://www.suredividend.com/sure-analysis-research-database/","Winmark Corporation")</f>
        <v>Winmark Corporation</v>
      </c>
      <c r="C1730" s="2" t="s">
        <v>25</v>
      </c>
      <c r="D1730" s="4">
        <v>365.86</v>
      </c>
      <c r="E1730" s="5">
        <v>0.034301831582433</v>
      </c>
      <c r="F1730" s="5">
        <v>0.142857142857142</v>
      </c>
      <c r="G1730" s="5">
        <v>0.261914688960386</v>
      </c>
      <c r="H1730" s="4">
        <v>12.4817504762159</v>
      </c>
      <c r="I1730" s="4">
        <v>1269.029317</v>
      </c>
      <c r="J1730" s="6">
        <v>31.2277287143282</v>
      </c>
      <c r="K1730" s="5">
        <v>1.10850359469058</v>
      </c>
      <c r="L1730" s="7">
        <v>0.836153511375748</v>
      </c>
      <c r="M1730" s="4">
        <v>451.3</v>
      </c>
      <c r="N1730" s="2">
        <v>262.45</v>
      </c>
    </row>
    <row r="1731">
      <c r="A1731" s="2" t="s">
        <v>1755</v>
      </c>
      <c r="B1731" s="3" t="str">
        <f>HYPERLINK("https://www.suredividend.com/sure-analysis-research-database/","Wingstop Inc")</f>
        <v>Wingstop Inc</v>
      </c>
      <c r="C1731" s="2" t="s">
        <v>25</v>
      </c>
      <c r="D1731" s="4">
        <v>285.94</v>
      </c>
      <c r="E1731" s="5">
        <v>0.00293248584653</v>
      </c>
      <c r="F1731" s="5">
        <v>0.157894736842105</v>
      </c>
      <c r="G1731" s="5">
        <v>0.148698354997035</v>
      </c>
      <c r="H1731" s="4">
        <v>0.818134226323589</v>
      </c>
      <c r="I1731" s="4">
        <v>8206.468531</v>
      </c>
      <c r="J1731" s="6">
        <v>119.008491245268</v>
      </c>
      <c r="K1731" s="5">
        <v>0.355710533184169</v>
      </c>
      <c r="L1731" s="7">
        <v>0.750157824795223</v>
      </c>
      <c r="M1731" s="4">
        <v>285.74</v>
      </c>
      <c r="N1731" s="2">
        <v>149.79</v>
      </c>
    </row>
    <row r="1732">
      <c r="A1732" s="2" t="s">
        <v>1756</v>
      </c>
      <c r="B1732" s="3" t="str">
        <f>HYPERLINK("https://www.suredividend.com/sure-analysis-research-database/","Encore Wire Corp.")</f>
        <v>Encore Wire Corp.</v>
      </c>
      <c r="C1732" s="2" t="s">
        <v>17</v>
      </c>
      <c r="D1732" s="4">
        <v>226.18</v>
      </c>
      <c r="E1732" s="5">
        <v>3.61649906096E-4</v>
      </c>
      <c r="F1732" s="5">
        <v>0.0</v>
      </c>
      <c r="G1732" s="5">
        <v>0.0</v>
      </c>
      <c r="H1732" s="4">
        <v>0.079975260234272</v>
      </c>
      <c r="I1732" s="4">
        <v>3488.77253</v>
      </c>
      <c r="J1732" s="6">
        <v>7.57975673234479</v>
      </c>
      <c r="K1732" s="5">
        <v>0.0031010182332017</v>
      </c>
      <c r="L1732" s="7">
        <v>1.32914401535287</v>
      </c>
      <c r="M1732" s="4">
        <v>223.18</v>
      </c>
      <c r="N1732" s="2">
        <v>138.11</v>
      </c>
    </row>
    <row r="1733">
      <c r="A1733" s="2" t="s">
        <v>1757</v>
      </c>
      <c r="B1733" s="3" t="str">
        <f>HYPERLINK("https://www.suredividend.com/sure-analysis-research-database/","ContextLogic Inc")</f>
        <v>ContextLogic Inc</v>
      </c>
      <c r="C1733" s="2" t="s">
        <v>22</v>
      </c>
      <c r="D1733" s="4">
        <v>4.22</v>
      </c>
      <c r="E1733" s="5">
        <v>0.0</v>
      </c>
      <c r="F1733" s="5" t="s">
        <v>15</v>
      </c>
      <c r="G1733" s="5" t="s">
        <v>15</v>
      </c>
      <c r="H1733" s="4">
        <v>0.0</v>
      </c>
      <c r="I1733" s="4">
        <v>112.36212</v>
      </c>
      <c r="J1733" s="6" t="s">
        <v>15</v>
      </c>
      <c r="K1733" s="5">
        <v>0.0</v>
      </c>
      <c r="L1733" s="7">
        <v>3.43934846402328</v>
      </c>
      <c r="M1733" s="4">
        <v>32.1</v>
      </c>
      <c r="N1733" s="2">
        <v>3.55</v>
      </c>
    </row>
    <row r="1734">
      <c r="A1734" s="2" t="s">
        <v>1758</v>
      </c>
      <c r="B1734" s="3" t="str">
        <f>HYPERLINK("https://www.suredividend.com/sure-analysis-research-database/","Workiva Inc")</f>
        <v>Workiva Inc</v>
      </c>
      <c r="C1734" s="2" t="s">
        <v>40</v>
      </c>
      <c r="D1734" s="4">
        <v>91.91</v>
      </c>
      <c r="E1734" s="5">
        <v>0.0</v>
      </c>
      <c r="F1734" s="5" t="s">
        <v>15</v>
      </c>
      <c r="G1734" s="5" t="s">
        <v>15</v>
      </c>
      <c r="H1734" s="4">
        <v>0.0</v>
      </c>
      <c r="I1734" s="4">
        <v>4875.623484</v>
      </c>
      <c r="J1734" s="6" t="s">
        <v>15</v>
      </c>
      <c r="K1734" s="5">
        <v>0.0</v>
      </c>
      <c r="L1734" s="7">
        <v>1.59123844505399</v>
      </c>
      <c r="M1734" s="4">
        <v>116.0</v>
      </c>
      <c r="N1734" s="2">
        <v>83.0</v>
      </c>
    </row>
    <row r="1735">
      <c r="A1735" s="2" t="s">
        <v>1759</v>
      </c>
      <c r="B1735" s="3" t="str">
        <f>HYPERLINK("https://www.suredividend.com/sure-analysis-research-database/","Workhorse Group Inc")</f>
        <v>Workhorse Group Inc</v>
      </c>
      <c r="C1735" s="2" t="s">
        <v>25</v>
      </c>
      <c r="D1735" s="4">
        <v>0.2603</v>
      </c>
      <c r="E1735" s="5">
        <v>0.0</v>
      </c>
      <c r="F1735" s="5" t="s">
        <v>15</v>
      </c>
      <c r="G1735" s="5" t="s">
        <v>15</v>
      </c>
      <c r="H1735" s="4">
        <v>0.0</v>
      </c>
      <c r="I1735" s="4">
        <v>76.815857</v>
      </c>
      <c r="J1735" s="6">
        <v>0.0</v>
      </c>
      <c r="K1735" s="5" t="s">
        <v>15</v>
      </c>
      <c r="L1735" s="7">
        <v>2.67629455782569</v>
      </c>
      <c r="M1735" s="4">
        <v>2.6</v>
      </c>
      <c r="N1735" s="2">
        <v>0.2728</v>
      </c>
    </row>
    <row r="1736">
      <c r="A1736" s="2" t="s">
        <v>1760</v>
      </c>
      <c r="B1736" s="3" t="str">
        <f>HYPERLINK("https://www.suredividend.com/sure-analysis-research-database/","Willdan Group Inc")</f>
        <v>Willdan Group Inc</v>
      </c>
      <c r="C1736" s="2" t="s">
        <v>17</v>
      </c>
      <c r="D1736" s="4">
        <v>18.85</v>
      </c>
      <c r="E1736" s="5">
        <v>0.0</v>
      </c>
      <c r="F1736" s="5" t="s">
        <v>15</v>
      </c>
      <c r="G1736" s="5" t="s">
        <v>15</v>
      </c>
      <c r="H1736" s="4">
        <v>0.0</v>
      </c>
      <c r="I1736" s="4">
        <v>276.48352</v>
      </c>
      <c r="J1736" s="6">
        <v>0.0</v>
      </c>
      <c r="K1736" s="5" t="s">
        <v>15</v>
      </c>
      <c r="L1736" s="7">
        <v>1.56273310601085</v>
      </c>
      <c r="M1736" s="4">
        <v>25.38</v>
      </c>
      <c r="N1736" s="2">
        <v>13.86</v>
      </c>
    </row>
    <row r="1737">
      <c r="A1737" s="2" t="s">
        <v>1761</v>
      </c>
      <c r="B1737" s="3" t="str">
        <f>HYPERLINK("https://www.suredividend.com/sure-analysis-WLY/","John Wiley &amp; Sons Inc.")</f>
        <v>John Wiley &amp; Sons Inc.</v>
      </c>
      <c r="C1737" s="2" t="s">
        <v>15</v>
      </c>
      <c r="D1737" s="4">
        <v>33.65</v>
      </c>
      <c r="E1737" s="5">
        <v>0.0416047548291233</v>
      </c>
      <c r="F1737" s="5" t="s">
        <v>15</v>
      </c>
      <c r="G1737" s="5" t="s">
        <v>15</v>
      </c>
      <c r="H1737" s="4">
        <v>1.37616887983031</v>
      </c>
      <c r="I1737" s="4">
        <v>1888.944768</v>
      </c>
      <c r="J1737" s="6" t="s">
        <v>15</v>
      </c>
      <c r="K1737" s="5" t="s">
        <v>15</v>
      </c>
      <c r="L1737" s="7">
        <v>1.05737583633784</v>
      </c>
      <c r="M1737" s="4">
        <v>47.63</v>
      </c>
      <c r="N1737" s="2">
        <v>28.53</v>
      </c>
    </row>
    <row r="1738">
      <c r="A1738" s="2" t="s">
        <v>1762</v>
      </c>
      <c r="B1738" s="3" t="str">
        <f>HYPERLINK("https://www.suredividend.com/sure-analysis-research-database/","Weis Markets, Inc.")</f>
        <v>Weis Markets, Inc.</v>
      </c>
      <c r="C1738" s="2" t="s">
        <v>89</v>
      </c>
      <c r="D1738" s="4">
        <v>59.4</v>
      </c>
      <c r="E1738" s="5">
        <v>0.022103443172441</v>
      </c>
      <c r="F1738" s="5">
        <v>0.0</v>
      </c>
      <c r="G1738" s="5">
        <v>0.0186463764447299</v>
      </c>
      <c r="H1738" s="4">
        <v>1.34985727454099</v>
      </c>
      <c r="I1738" s="4">
        <v>1642.687914</v>
      </c>
      <c r="J1738" s="6">
        <v>14.6422782651442</v>
      </c>
      <c r="K1738" s="5">
        <v>0.323706780465465</v>
      </c>
      <c r="L1738" s="7">
        <v>0.242247028570313</v>
      </c>
      <c r="M1738" s="4">
        <v>86.91</v>
      </c>
      <c r="N1738" s="2">
        <v>58.15</v>
      </c>
    </row>
    <row r="1739">
      <c r="A1739" s="2" t="s">
        <v>1763</v>
      </c>
      <c r="B1739" s="3" t="str">
        <f>HYPERLINK("https://www.suredividend.com/sure-analysis-research-database/","Wabash National Corp.")</f>
        <v>Wabash National Corp.</v>
      </c>
      <c r="C1739" s="2" t="s">
        <v>17</v>
      </c>
      <c r="D1739" s="4">
        <v>26.86</v>
      </c>
      <c r="E1739" s="5">
        <v>0.012451633628096</v>
      </c>
      <c r="F1739" s="5">
        <v>0.0</v>
      </c>
      <c r="G1739" s="5">
        <v>0.0</v>
      </c>
      <c r="H1739" s="4">
        <v>0.318388271870435</v>
      </c>
      <c r="I1739" s="4">
        <v>1178.452338</v>
      </c>
      <c r="J1739" s="6">
        <v>5.30932441446393</v>
      </c>
      <c r="K1739" s="5">
        <v>0.0702843867263653</v>
      </c>
      <c r="L1739" s="7">
        <v>1.13311412528557</v>
      </c>
      <c r="M1739" s="4">
        <v>29.69</v>
      </c>
      <c r="N1739" s="2">
        <v>19.95</v>
      </c>
    </row>
    <row r="1740">
      <c r="A1740" s="2" t="s">
        <v>1764</v>
      </c>
      <c r="B1740" s="3" t="str">
        <f>HYPERLINK("https://www.suredividend.com/sure-analysis-WOR/","Worthington Enterprises Inc.")</f>
        <v>Worthington Enterprises Inc.</v>
      </c>
      <c r="C1740" s="2" t="s">
        <v>130</v>
      </c>
      <c r="D1740" s="4">
        <v>57.63</v>
      </c>
      <c r="E1740" s="5">
        <v>0.0111053270865868</v>
      </c>
      <c r="F1740" s="5">
        <v>0.032258064516129</v>
      </c>
      <c r="G1740" s="5">
        <v>0.0682783536884379</v>
      </c>
      <c r="H1740" s="4">
        <v>0.83042890052737</v>
      </c>
      <c r="I1740" s="4">
        <v>2830.682079</v>
      </c>
      <c r="J1740" s="6">
        <v>9.54261141162906</v>
      </c>
      <c r="K1740" s="5">
        <v>0.139100318346293</v>
      </c>
      <c r="L1740" s="7">
        <v>1.27049905622125</v>
      </c>
      <c r="M1740" s="4">
        <v>59.73</v>
      </c>
      <c r="N1740" s="2">
        <v>33.86</v>
      </c>
    </row>
    <row r="1741">
      <c r="A1741" s="2" t="s">
        <v>1765</v>
      </c>
      <c r="B1741" s="3" t="str">
        <f>HYPERLINK("https://www.suredividend.com/sure-analysis-research-database/","WideOpenWest Inc")</f>
        <v>WideOpenWest Inc</v>
      </c>
      <c r="C1741" s="2" t="s">
        <v>114</v>
      </c>
      <c r="D1741" s="4">
        <v>3.34</v>
      </c>
      <c r="E1741" s="5">
        <v>0.0</v>
      </c>
      <c r="F1741" s="5" t="s">
        <v>15</v>
      </c>
      <c r="G1741" s="5" t="s">
        <v>15</v>
      </c>
      <c r="H1741" s="4">
        <v>0.0</v>
      </c>
      <c r="I1741" s="4">
        <v>315.295151</v>
      </c>
      <c r="J1741" s="6" t="s">
        <v>15</v>
      </c>
      <c r="K1741" s="5">
        <v>0.0</v>
      </c>
      <c r="L1741" s="7">
        <v>1.66179672471951</v>
      </c>
      <c r="M1741" s="4">
        <v>12.45</v>
      </c>
      <c r="N1741" s="2">
        <v>2.81</v>
      </c>
    </row>
    <row r="1742">
      <c r="A1742" s="2" t="s">
        <v>1766</v>
      </c>
      <c r="B1742" s="3" t="str">
        <f>HYPERLINK("https://www.suredividend.com/sure-analysis-research-database/","Warby Parker Inc")</f>
        <v>Warby Parker Inc</v>
      </c>
      <c r="C1742" s="2" t="s">
        <v>15</v>
      </c>
      <c r="D1742" s="4">
        <v>13.25</v>
      </c>
      <c r="E1742" s="5">
        <v>0.0</v>
      </c>
      <c r="F1742" s="5" t="s">
        <v>15</v>
      </c>
      <c r="G1742" s="5" t="s">
        <v>15</v>
      </c>
      <c r="H1742" s="4">
        <v>0.0</v>
      </c>
      <c r="I1742" s="4">
        <v>1290.656627</v>
      </c>
      <c r="J1742" s="6" t="s">
        <v>15</v>
      </c>
      <c r="K1742" s="5">
        <v>0.0</v>
      </c>
      <c r="L1742" s="7">
        <v>1.77735946246665</v>
      </c>
      <c r="M1742" s="4">
        <v>17.88</v>
      </c>
      <c r="N1742" s="2">
        <v>9.5</v>
      </c>
    </row>
    <row r="1743">
      <c r="A1743" s="2" t="s">
        <v>1767</v>
      </c>
      <c r="B1743" s="3" t="str">
        <f>HYPERLINK("https://www.suredividend.com/sure-analysis-research-database/","World Acceptance Corp.")</f>
        <v>World Acceptance Corp.</v>
      </c>
      <c r="C1743" s="2" t="s">
        <v>22</v>
      </c>
      <c r="D1743" s="4">
        <v>131.4</v>
      </c>
      <c r="E1743" s="5">
        <v>0.0</v>
      </c>
      <c r="F1743" s="5" t="s">
        <v>15</v>
      </c>
      <c r="G1743" s="5" t="s">
        <v>15</v>
      </c>
      <c r="H1743" s="4">
        <v>0.0</v>
      </c>
      <c r="I1743" s="4">
        <v>889.839591</v>
      </c>
      <c r="J1743" s="6">
        <v>15.6051940124387</v>
      </c>
      <c r="K1743" s="5">
        <v>0.0</v>
      </c>
      <c r="L1743" s="7">
        <v>1.57946688011344</v>
      </c>
      <c r="M1743" s="4">
        <v>160.07</v>
      </c>
      <c r="N1743" s="2">
        <v>75.19</v>
      </c>
    </row>
    <row r="1744">
      <c r="A1744" s="2" t="s">
        <v>1768</v>
      </c>
      <c r="B1744" s="3" t="str">
        <f>HYPERLINK("https://www.suredividend.com/sure-analysis-WSBC/","Wesbanco, Inc.")</f>
        <v>Wesbanco, Inc.</v>
      </c>
      <c r="C1744" s="2" t="s">
        <v>22</v>
      </c>
      <c r="D1744" s="4">
        <v>28.17</v>
      </c>
      <c r="E1744" s="5">
        <v>0.0511182108626198</v>
      </c>
      <c r="F1744" s="5">
        <v>0.0285714285714284</v>
      </c>
      <c r="G1744" s="5">
        <v>0.0303580331018511</v>
      </c>
      <c r="H1744" s="4">
        <v>1.3568519404476</v>
      </c>
      <c r="I1744" s="4">
        <v>1853.477358</v>
      </c>
      <c r="J1744" s="6">
        <v>11.155714601495</v>
      </c>
      <c r="K1744" s="5">
        <v>0.484589978731288</v>
      </c>
      <c r="L1744" s="7">
        <v>1.54500895102785</v>
      </c>
      <c r="M1744" s="4">
        <v>35.31</v>
      </c>
      <c r="N1744" s="2">
        <v>18.35</v>
      </c>
    </row>
    <row r="1745">
      <c r="A1745" s="2" t="s">
        <v>1769</v>
      </c>
      <c r="B1745" s="3" t="str">
        <f>HYPERLINK("https://www.suredividend.com/sure-analysis-research-database/","Waterstone Financial Inc")</f>
        <v>Waterstone Financial Inc</v>
      </c>
      <c r="C1745" s="2" t="s">
        <v>22</v>
      </c>
      <c r="D1745" s="4">
        <v>12.6</v>
      </c>
      <c r="E1745" s="5">
        <v>0.046855587036948</v>
      </c>
      <c r="F1745" s="5">
        <v>-0.25</v>
      </c>
      <c r="G1745" s="5">
        <v>-0.213996914403377</v>
      </c>
      <c r="H1745" s="4">
        <v>0.671909118109836</v>
      </c>
      <c r="I1745" s="4">
        <v>295.068028</v>
      </c>
      <c r="J1745" s="6">
        <v>28.5062340005796</v>
      </c>
      <c r="K1745" s="5">
        <v>1.33846437870485</v>
      </c>
      <c r="L1745" s="7">
        <v>0.98425205213509</v>
      </c>
      <c r="M1745" s="4">
        <v>15.02</v>
      </c>
      <c r="N1745" s="2">
        <v>9.41</v>
      </c>
    </row>
    <row r="1746">
      <c r="A1746" s="2" t="s">
        <v>1770</v>
      </c>
      <c r="B1746" s="3" t="str">
        <f>HYPERLINK("https://www.suredividend.com/sure-analysis-research-database/","WSFS Financial Corp.")</f>
        <v>WSFS Financial Corp.</v>
      </c>
      <c r="C1746" s="2" t="s">
        <v>22</v>
      </c>
      <c r="D1746" s="4">
        <v>42.12</v>
      </c>
      <c r="E1746" s="5">
        <v>0.012553741780398</v>
      </c>
      <c r="F1746" s="5">
        <v>0.0</v>
      </c>
      <c r="G1746" s="5">
        <v>0.0456395525912731</v>
      </c>
      <c r="H1746" s="4">
        <v>0.592787686870411</v>
      </c>
      <c r="I1746" s="4">
        <v>2867.759562</v>
      </c>
      <c r="J1746" s="6">
        <v>9.89916900237144</v>
      </c>
      <c r="K1746" s="5">
        <v>0.125857258358898</v>
      </c>
      <c r="L1746" s="7">
        <v>1.67192319922054</v>
      </c>
      <c r="M1746" s="4">
        <v>50.51</v>
      </c>
      <c r="N1746" s="2">
        <v>29.13</v>
      </c>
    </row>
    <row r="1747">
      <c r="A1747" s="2" t="s">
        <v>1771</v>
      </c>
      <c r="B1747" s="3" t="str">
        <f>HYPERLINK("https://www.suredividend.com/sure-analysis-WSR/","Whitestone REIT")</f>
        <v>Whitestone REIT</v>
      </c>
      <c r="C1747" s="2" t="s">
        <v>20</v>
      </c>
      <c r="D1747" s="4">
        <v>12.97</v>
      </c>
      <c r="E1747" s="5">
        <v>0.0370084811102544</v>
      </c>
      <c r="F1747" s="5">
        <v>0.0</v>
      </c>
      <c r="G1747" s="5">
        <v>0.0</v>
      </c>
      <c r="H1747" s="4">
        <v>0.546456259914356</v>
      </c>
      <c r="I1747" s="4">
        <v>632.215265</v>
      </c>
      <c r="J1747" s="6">
        <v>16.824079654319</v>
      </c>
      <c r="K1747" s="5">
        <v>0.72841410279173</v>
      </c>
      <c r="L1747" s="7">
        <v>1.1022337776186</v>
      </c>
      <c r="M1747" s="4">
        <v>12.88</v>
      </c>
      <c r="N1747" s="2">
        <v>7.95</v>
      </c>
    </row>
    <row r="1748">
      <c r="A1748" s="2" t="s">
        <v>1772</v>
      </c>
      <c r="B1748" s="3" t="str">
        <f>HYPERLINK("https://www.suredividend.com/sure-analysis-research-database/","WisdomTree Inc")</f>
        <v>WisdomTree Inc</v>
      </c>
      <c r="C1748" s="2" t="s">
        <v>15</v>
      </c>
      <c r="D1748" s="4">
        <v>6.88</v>
      </c>
      <c r="E1748" s="5">
        <v>0.016713898225704</v>
      </c>
      <c r="F1748" s="5" t="s">
        <v>15</v>
      </c>
      <c r="G1748" s="5" t="s">
        <v>15</v>
      </c>
      <c r="H1748" s="4">
        <v>0.119170094349276</v>
      </c>
      <c r="I1748" s="4">
        <v>1071.891103</v>
      </c>
      <c r="J1748" s="6">
        <v>22.0526499308727</v>
      </c>
      <c r="K1748" s="5">
        <v>0.418434320046615</v>
      </c>
      <c r="L1748" s="7">
        <v>0.63081008208305</v>
      </c>
      <c r="M1748" s="4">
        <v>7.54</v>
      </c>
      <c r="N1748" s="2">
        <v>5.45</v>
      </c>
    </row>
    <row r="1749">
      <c r="A1749" s="2" t="s">
        <v>1773</v>
      </c>
      <c r="B1749" s="3" t="str">
        <f>HYPERLINK("https://www.suredividend.com/sure-analysis-research-database/","West Bancorporation")</f>
        <v>West Bancorporation</v>
      </c>
      <c r="C1749" s="2" t="s">
        <v>22</v>
      </c>
      <c r="D1749" s="4">
        <v>18.0</v>
      </c>
      <c r="E1749" s="5">
        <v>0.047134487489047</v>
      </c>
      <c r="F1749" s="5">
        <v>0.0</v>
      </c>
      <c r="G1749" s="5">
        <v>0.0354857884559052</v>
      </c>
      <c r="H1749" s="4">
        <v>0.958715475527233</v>
      </c>
      <c r="I1749" s="4">
        <v>340.188412</v>
      </c>
      <c r="J1749" s="6">
        <v>11.9121931493802</v>
      </c>
      <c r="K1749" s="5">
        <v>0.563950279721901</v>
      </c>
      <c r="L1749" s="7">
        <v>1.11164476228843</v>
      </c>
      <c r="M1749" s="4">
        <v>22.39</v>
      </c>
      <c r="N1749" s="2">
        <v>14.23</v>
      </c>
    </row>
    <row r="1750">
      <c r="A1750" s="2" t="s">
        <v>1774</v>
      </c>
      <c r="B1750" s="3" t="str">
        <f>HYPERLINK("https://www.suredividend.com/sure-analysis-research-database/","W &amp; T Offshore Inc")</f>
        <v>W &amp; T Offshore Inc</v>
      </c>
      <c r="C1750" s="2" t="s">
        <v>125</v>
      </c>
      <c r="D1750" s="4">
        <v>2.76</v>
      </c>
      <c r="E1750" s="5">
        <v>0.003086419684099</v>
      </c>
      <c r="F1750" s="5" t="s">
        <v>15</v>
      </c>
      <c r="G1750" s="5" t="s">
        <v>15</v>
      </c>
      <c r="H1750" s="4">
        <v>0.009999999776482</v>
      </c>
      <c r="I1750" s="4">
        <v>474.900385</v>
      </c>
      <c r="J1750" s="6">
        <v>7.98286073827534</v>
      </c>
      <c r="K1750" s="5">
        <v>0.0249500992427195</v>
      </c>
      <c r="L1750" s="7">
        <v>1.20037781732628</v>
      </c>
      <c r="M1750" s="4">
        <v>6.3</v>
      </c>
      <c r="N1750" s="2">
        <v>2.55</v>
      </c>
    </row>
    <row r="1751">
      <c r="A1751" s="2" t="s">
        <v>1775</v>
      </c>
      <c r="B1751" s="3" t="str">
        <f>HYPERLINK("https://www.suredividend.com/sure-analysis-research-database/","Watts Water Technologies, Inc.")</f>
        <v>Watts Water Technologies, Inc.</v>
      </c>
      <c r="C1751" s="2" t="s">
        <v>17</v>
      </c>
      <c r="D1751" s="4">
        <v>199.35</v>
      </c>
      <c r="E1751" s="5">
        <v>0.006790253267451</v>
      </c>
      <c r="F1751" s="5">
        <v>0.199999999999999</v>
      </c>
      <c r="G1751" s="5">
        <v>0.113824178602879</v>
      </c>
      <c r="H1751" s="4">
        <v>1.37618062971434</v>
      </c>
      <c r="I1751" s="4">
        <v>5546.66344</v>
      </c>
      <c r="J1751" s="6">
        <v>20.1696852358181</v>
      </c>
      <c r="K1751" s="5">
        <v>0.167826906062724</v>
      </c>
      <c r="L1751" s="7">
        <v>1.15318067847002</v>
      </c>
      <c r="M1751" s="4">
        <v>213.14</v>
      </c>
      <c r="N1751" s="2">
        <v>152.34</v>
      </c>
    </row>
    <row r="1752">
      <c r="A1752" s="2" t="s">
        <v>1776</v>
      </c>
      <c r="B1752" s="3" t="str">
        <f>HYPERLINK("https://www.suredividend.com/sure-analysis-research-database/","Select Water Solutions Inc")</f>
        <v>Select Water Solutions Inc</v>
      </c>
      <c r="C1752" s="2" t="s">
        <v>125</v>
      </c>
      <c r="D1752" s="4">
        <v>7.44</v>
      </c>
      <c r="E1752" s="5">
        <v>0.027283486705487</v>
      </c>
      <c r="F1752" s="5" t="s">
        <v>15</v>
      </c>
      <c r="G1752" s="5" t="s">
        <v>15</v>
      </c>
      <c r="H1752" s="4">
        <v>0.207900168695818</v>
      </c>
      <c r="I1752" s="4">
        <v>791.846824</v>
      </c>
      <c r="J1752" s="6">
        <v>14.5407720535468</v>
      </c>
      <c r="K1752" s="5">
        <v>0.39300598997319</v>
      </c>
      <c r="L1752" s="7">
        <v>0.813154731332608</v>
      </c>
      <c r="M1752" s="4">
        <v>8.87</v>
      </c>
      <c r="N1752" s="2">
        <v>5.4</v>
      </c>
    </row>
    <row r="1753">
      <c r="A1753" s="2" t="s">
        <v>1777</v>
      </c>
      <c r="B1753" s="3" t="str">
        <f>HYPERLINK("https://www.suredividend.com/sure-analysis-research-database/","TeraWulf Inc")</f>
        <v>TeraWulf Inc</v>
      </c>
      <c r="C1753" s="2" t="s">
        <v>15</v>
      </c>
      <c r="D1753" s="4">
        <v>1.56</v>
      </c>
      <c r="E1753" s="5">
        <v>0.0</v>
      </c>
      <c r="F1753" s="5" t="s">
        <v>15</v>
      </c>
      <c r="G1753" s="5" t="s">
        <v>15</v>
      </c>
      <c r="H1753" s="4">
        <v>0.0</v>
      </c>
      <c r="I1753" s="4">
        <v>452.920779</v>
      </c>
      <c r="J1753" s="6">
        <v>0.0</v>
      </c>
      <c r="K1753" s="5" t="s">
        <v>15</v>
      </c>
      <c r="L1753" s="7">
        <v>2.30992733708582</v>
      </c>
      <c r="M1753" s="4">
        <v>4.04</v>
      </c>
      <c r="N1753" s="2">
        <v>0.535</v>
      </c>
    </row>
    <row r="1754">
      <c r="A1754" s="2" t="s">
        <v>1778</v>
      </c>
      <c r="B1754" s="3" t="str">
        <f>HYPERLINK("https://www.suredividend.com/sure-analysis-research-database/","WW International Inc")</f>
        <v>WW International Inc</v>
      </c>
      <c r="C1754" s="2" t="s">
        <v>25</v>
      </c>
      <c r="D1754" s="4">
        <v>3.85</v>
      </c>
      <c r="E1754" s="5">
        <v>0.0</v>
      </c>
      <c r="F1754" s="5" t="s">
        <v>15</v>
      </c>
      <c r="G1754" s="5" t="s">
        <v>15</v>
      </c>
      <c r="H1754" s="4">
        <v>0.0</v>
      </c>
      <c r="I1754" s="4">
        <v>328.977031</v>
      </c>
      <c r="J1754" s="6" t="s">
        <v>15</v>
      </c>
      <c r="K1754" s="5">
        <v>0.0</v>
      </c>
      <c r="L1754" s="7">
        <v>2.14770270681983</v>
      </c>
      <c r="M1754" s="4">
        <v>13.31</v>
      </c>
      <c r="N1754" s="2">
        <v>3.46</v>
      </c>
    </row>
    <row r="1755">
      <c r="A1755" s="2" t="s">
        <v>1779</v>
      </c>
      <c r="B1755" s="3" t="str">
        <f>HYPERLINK("https://www.suredividend.com/sure-analysis-research-database/","Wolverine World Wide, Inc.")</f>
        <v>Wolverine World Wide, Inc.</v>
      </c>
      <c r="C1755" s="2" t="s">
        <v>25</v>
      </c>
      <c r="D1755" s="4">
        <v>8.65</v>
      </c>
      <c r="E1755" s="5">
        <v>0.045643407527201</v>
      </c>
      <c r="F1755" s="5">
        <v>0.0</v>
      </c>
      <c r="G1755" s="5">
        <v>0.0</v>
      </c>
      <c r="H1755" s="4">
        <v>0.393446172884478</v>
      </c>
      <c r="I1755" s="4">
        <v>685.569814</v>
      </c>
      <c r="J1755" s="6" t="s">
        <v>15</v>
      </c>
      <c r="K1755" s="5" t="s">
        <v>15</v>
      </c>
      <c r="L1755" s="7">
        <v>1.63863133308316</v>
      </c>
      <c r="M1755" s="4">
        <v>17.3</v>
      </c>
      <c r="N1755" s="2">
        <v>7.13</v>
      </c>
    </row>
    <row r="1756">
      <c r="A1756" s="2" t="s">
        <v>1780</v>
      </c>
      <c r="B1756" s="3" t="str">
        <f>HYPERLINK("https://www.suredividend.com/sure-analysis-research-database/","Xeris Biopharma Holdings Inc")</f>
        <v>Xeris Biopharma Holdings Inc</v>
      </c>
      <c r="C1756" s="2" t="s">
        <v>30</v>
      </c>
      <c r="D1756" s="4">
        <v>2.47</v>
      </c>
      <c r="E1756" s="5">
        <v>0.0</v>
      </c>
      <c r="F1756" s="5" t="s">
        <v>15</v>
      </c>
      <c r="G1756" s="5" t="s">
        <v>15</v>
      </c>
      <c r="H1756" s="4">
        <v>0.0</v>
      </c>
      <c r="I1756" s="4">
        <v>367.411423</v>
      </c>
      <c r="J1756" s="6" t="s">
        <v>15</v>
      </c>
      <c r="K1756" s="5">
        <v>0.0</v>
      </c>
      <c r="L1756" s="7">
        <v>1.86820433704615</v>
      </c>
      <c r="M1756" s="4">
        <v>3.07</v>
      </c>
      <c r="N1756" s="2">
        <v>1.11</v>
      </c>
    </row>
    <row r="1757">
      <c r="A1757" s="2" t="s">
        <v>1781</v>
      </c>
      <c r="B1757" s="3" t="str">
        <f>HYPERLINK("https://www.suredividend.com/sure-analysis-research-database/","Xenia Hotels &amp; Resorts Inc")</f>
        <v>Xenia Hotels &amp; Resorts Inc</v>
      </c>
      <c r="C1757" s="2" t="s">
        <v>20</v>
      </c>
      <c r="D1757" s="4">
        <v>13.06</v>
      </c>
      <c r="E1757" s="5">
        <v>0.028522175810699</v>
      </c>
      <c r="F1757" s="5" t="s">
        <v>15</v>
      </c>
      <c r="G1757" s="5" t="s">
        <v>15</v>
      </c>
      <c r="H1757" s="4">
        <v>0.395317356736291</v>
      </c>
      <c r="I1757" s="4">
        <v>1458.086678</v>
      </c>
      <c r="J1757" s="6">
        <v>31.3142769525159</v>
      </c>
      <c r="K1757" s="5">
        <v>0.939889103034453</v>
      </c>
      <c r="L1757" s="7">
        <v>1.2563503521335</v>
      </c>
      <c r="M1757" s="4">
        <v>14.82</v>
      </c>
      <c r="N1757" s="2">
        <v>10.73</v>
      </c>
    </row>
    <row r="1758">
      <c r="A1758" s="2" t="s">
        <v>1782</v>
      </c>
      <c r="B1758" s="3" t="str">
        <f>HYPERLINK("https://www.suredividend.com/sure-analysis-research-database/","Xometry Inc")</f>
        <v>Xometry Inc</v>
      </c>
      <c r="C1758" s="2" t="s">
        <v>15</v>
      </c>
      <c r="D1758" s="4">
        <v>33.93</v>
      </c>
      <c r="E1758" s="5">
        <v>0.0</v>
      </c>
      <c r="F1758" s="5" t="s">
        <v>15</v>
      </c>
      <c r="G1758" s="5" t="s">
        <v>15</v>
      </c>
      <c r="H1758" s="4">
        <v>0.0</v>
      </c>
      <c r="I1758" s="4">
        <v>1555.225985</v>
      </c>
      <c r="J1758" s="6" t="s">
        <v>15</v>
      </c>
      <c r="K1758" s="5">
        <v>0.0</v>
      </c>
      <c r="L1758" s="7">
        <v>2.71073321217933</v>
      </c>
      <c r="M1758" s="4">
        <v>41.07</v>
      </c>
      <c r="N1758" s="2">
        <v>12.45</v>
      </c>
    </row>
    <row r="1759">
      <c r="A1759" s="2" t="s">
        <v>1783</v>
      </c>
      <c r="B1759" s="3" t="str">
        <f>HYPERLINK("https://www.suredividend.com/sure-analysis-research-database/","Xencor Inc")</f>
        <v>Xencor Inc</v>
      </c>
      <c r="C1759" s="2" t="s">
        <v>30</v>
      </c>
      <c r="D1759" s="4">
        <v>18.79</v>
      </c>
      <c r="E1759" s="5">
        <v>0.0</v>
      </c>
      <c r="F1759" s="5" t="s">
        <v>15</v>
      </c>
      <c r="G1759" s="5" t="s">
        <v>15</v>
      </c>
      <c r="H1759" s="4">
        <v>0.0</v>
      </c>
      <c r="I1759" s="4">
        <v>1247.332807</v>
      </c>
      <c r="J1759" s="6" t="s">
        <v>15</v>
      </c>
      <c r="K1759" s="5">
        <v>0.0</v>
      </c>
      <c r="L1759" s="7">
        <v>1.04635732812045</v>
      </c>
      <c r="M1759" s="4">
        <v>38.2</v>
      </c>
      <c r="N1759" s="2">
        <v>16.49</v>
      </c>
    </row>
    <row r="1760">
      <c r="A1760" s="2" t="s">
        <v>1784</v>
      </c>
      <c r="B1760" s="3" t="str">
        <f>HYPERLINK("https://www.suredividend.com/sure-analysis-research-database/","Xos Inc")</f>
        <v>Xos Inc</v>
      </c>
      <c r="C1760" s="2" t="s">
        <v>15</v>
      </c>
      <c r="D1760" s="4">
        <v>7.71</v>
      </c>
      <c r="E1760" s="5">
        <v>0.0</v>
      </c>
      <c r="F1760" s="5" t="s">
        <v>15</v>
      </c>
      <c r="G1760" s="5" t="s">
        <v>15</v>
      </c>
      <c r="H1760" s="4">
        <v>0.0</v>
      </c>
      <c r="I1760" s="4">
        <v>1463.976251</v>
      </c>
      <c r="J1760" s="6" t="s">
        <v>15</v>
      </c>
      <c r="K1760" s="5">
        <v>0.0</v>
      </c>
      <c r="L1760" s="7">
        <v>1.6548235186307</v>
      </c>
      <c r="M1760" s="4">
        <v>31.5</v>
      </c>
      <c r="N1760" s="2">
        <v>5.5</v>
      </c>
    </row>
    <row r="1761">
      <c r="A1761" s="2" t="s">
        <v>1785</v>
      </c>
      <c r="B1761" s="3" t="str">
        <f>HYPERLINK("https://www.suredividend.com/sure-analysis-research-database/","XPEL Inc")</f>
        <v>XPEL Inc</v>
      </c>
      <c r="C1761" s="2" t="s">
        <v>25</v>
      </c>
      <c r="D1761" s="4">
        <v>51.05</v>
      </c>
      <c r="E1761" s="5">
        <v>0.0</v>
      </c>
      <c r="F1761" s="5" t="s">
        <v>15</v>
      </c>
      <c r="G1761" s="5" t="s">
        <v>15</v>
      </c>
      <c r="H1761" s="4">
        <v>0.0</v>
      </c>
      <c r="I1761" s="4">
        <v>1518.763546</v>
      </c>
      <c r="J1761" s="6">
        <v>30.8767915374986</v>
      </c>
      <c r="K1761" s="5">
        <v>0.0</v>
      </c>
      <c r="L1761" s="7">
        <v>1.19236046445183</v>
      </c>
      <c r="M1761" s="4">
        <v>87.46</v>
      </c>
      <c r="N1761" s="2">
        <v>40.77</v>
      </c>
    </row>
    <row r="1762">
      <c r="A1762" s="2" t="s">
        <v>1786</v>
      </c>
      <c r="B1762" s="3" t="str">
        <f>HYPERLINK("https://www.suredividend.com/sure-analysis-research-database/","Xperi Inc")</f>
        <v>Xperi Inc</v>
      </c>
      <c r="C1762" s="2" t="s">
        <v>40</v>
      </c>
      <c r="D1762" s="4">
        <v>10.38</v>
      </c>
      <c r="E1762" s="5">
        <v>0.0</v>
      </c>
      <c r="F1762" s="5" t="s">
        <v>15</v>
      </c>
      <c r="G1762" s="5" t="s">
        <v>15</v>
      </c>
      <c r="H1762" s="4">
        <v>0.0</v>
      </c>
      <c r="I1762" s="4">
        <v>492.033241</v>
      </c>
      <c r="J1762" s="6">
        <v>0.0</v>
      </c>
      <c r="K1762" s="5" t="s">
        <v>15</v>
      </c>
      <c r="L1762" s="7">
        <v>1.4608235384624</v>
      </c>
      <c r="M1762" s="4">
        <v>13.62</v>
      </c>
      <c r="N1762" s="2">
        <v>7.91</v>
      </c>
    </row>
    <row r="1763">
      <c r="A1763" s="2" t="s">
        <v>1787</v>
      </c>
      <c r="B1763" s="3" t="str">
        <f>HYPERLINK("https://www.suredividend.com/sure-analysis-research-database/","Xponential Fitness Inc")</f>
        <v>Xponential Fitness Inc</v>
      </c>
      <c r="C1763" s="2" t="s">
        <v>15</v>
      </c>
      <c r="D1763" s="4">
        <v>10.84</v>
      </c>
      <c r="E1763" s="5">
        <v>0.0</v>
      </c>
      <c r="F1763" s="5" t="s">
        <v>15</v>
      </c>
      <c r="G1763" s="5" t="s">
        <v>15</v>
      </c>
      <c r="H1763" s="4">
        <v>0.0</v>
      </c>
      <c r="I1763" s="4">
        <v>372.854829</v>
      </c>
      <c r="J1763" s="6">
        <v>78.2158230878959</v>
      </c>
      <c r="K1763" s="5">
        <v>0.0</v>
      </c>
      <c r="L1763" s="7">
        <v>1.51988604589804</v>
      </c>
      <c r="M1763" s="4">
        <v>33.58</v>
      </c>
      <c r="N1763" s="2">
        <v>8.3</v>
      </c>
    </row>
    <row r="1764">
      <c r="A1764" s="2" t="s">
        <v>1788</v>
      </c>
      <c r="B1764" s="3" t="str">
        <f>HYPERLINK("https://www.suredividend.com/sure-analysis-research-database/","Expro Group Holdings N.V.")</f>
        <v>Expro Group Holdings N.V.</v>
      </c>
      <c r="C1764" s="2" t="s">
        <v>15</v>
      </c>
      <c r="D1764" s="4">
        <v>17.14</v>
      </c>
      <c r="E1764" s="5">
        <v>0.0</v>
      </c>
      <c r="F1764" s="5" t="s">
        <v>15</v>
      </c>
      <c r="G1764" s="5" t="s">
        <v>15</v>
      </c>
      <c r="H1764" s="4">
        <v>0.0</v>
      </c>
      <c r="I1764" s="4">
        <v>2051.859399</v>
      </c>
      <c r="J1764" s="6">
        <v>1031.60351891402</v>
      </c>
      <c r="K1764" s="5">
        <v>0.0</v>
      </c>
      <c r="L1764" s="7">
        <v>1.17116991264642</v>
      </c>
      <c r="M1764" s="4">
        <v>25.04</v>
      </c>
      <c r="N1764" s="2">
        <v>14.33</v>
      </c>
    </row>
    <row r="1765">
      <c r="A1765" s="2" t="s">
        <v>1789</v>
      </c>
      <c r="B1765" s="3" t="str">
        <f>HYPERLINK("https://www.suredividend.com/sure-analysis-XRX/","Xerox Holdings Corp")</f>
        <v>Xerox Holdings Corp</v>
      </c>
      <c r="C1765" s="2" t="s">
        <v>40</v>
      </c>
      <c r="D1765" s="4">
        <v>17.79</v>
      </c>
      <c r="E1765" s="5">
        <v>0.0562113546936481</v>
      </c>
      <c r="F1765" s="5" t="s">
        <v>15</v>
      </c>
      <c r="G1765" s="5" t="s">
        <v>15</v>
      </c>
      <c r="H1765" s="4">
        <v>0.956882637277828</v>
      </c>
      <c r="I1765" s="4">
        <v>2410.18664</v>
      </c>
      <c r="J1765" s="6">
        <v>14.5191966288554</v>
      </c>
      <c r="K1765" s="5">
        <v>0.911316797407455</v>
      </c>
      <c r="L1765" s="7">
        <v>1.21406403511484</v>
      </c>
      <c r="M1765" s="4">
        <v>19.62</v>
      </c>
      <c r="N1765" s="2">
        <v>11.74</v>
      </c>
    </row>
    <row r="1766">
      <c r="A1766" s="2" t="s">
        <v>1790</v>
      </c>
      <c r="B1766" s="3" t="str">
        <f>HYPERLINK("https://www.suredividend.com/sure-analysis-research-database/","22nd Century Group Inc")</f>
        <v>22nd Century Group Inc</v>
      </c>
      <c r="C1766" s="2" t="s">
        <v>30</v>
      </c>
      <c r="D1766" s="4">
        <v>0.175</v>
      </c>
      <c r="E1766" s="5">
        <v>0.0</v>
      </c>
      <c r="F1766" s="5" t="s">
        <v>15</v>
      </c>
      <c r="G1766" s="5" t="s">
        <v>15</v>
      </c>
      <c r="H1766" s="4">
        <v>0.0</v>
      </c>
      <c r="I1766" s="4">
        <v>5.681583</v>
      </c>
      <c r="J1766" s="6">
        <v>0.0</v>
      </c>
      <c r="K1766" s="5" t="s">
        <v>15</v>
      </c>
      <c r="L1766" s="7">
        <v>1.01473999672517</v>
      </c>
      <c r="M1766" s="4">
        <v>17.4</v>
      </c>
      <c r="N1766" s="2">
        <v>0.1555</v>
      </c>
    </row>
    <row r="1767">
      <c r="A1767" s="2" t="s">
        <v>1791</v>
      </c>
      <c r="B1767" s="3" t="str">
        <f>HYPERLINK("https://www.suredividend.com/sure-analysis-research-database/","Yelp Inc")</f>
        <v>Yelp Inc</v>
      </c>
      <c r="C1767" s="2" t="s">
        <v>114</v>
      </c>
      <c r="D1767" s="4">
        <v>43.83</v>
      </c>
      <c r="E1767" s="5">
        <v>0.0</v>
      </c>
      <c r="F1767" s="5" t="s">
        <v>15</v>
      </c>
      <c r="G1767" s="5" t="s">
        <v>15</v>
      </c>
      <c r="H1767" s="4">
        <v>0.0</v>
      </c>
      <c r="I1767" s="4">
        <v>3093.599794</v>
      </c>
      <c r="J1767" s="6">
        <v>33.6582795911306</v>
      </c>
      <c r="K1767" s="5">
        <v>0.0</v>
      </c>
      <c r="L1767" s="7">
        <v>1.15048005693016</v>
      </c>
      <c r="M1767" s="4">
        <v>48.99</v>
      </c>
      <c r="N1767" s="2">
        <v>26.53</v>
      </c>
    </row>
    <row r="1768">
      <c r="A1768" s="2" t="s">
        <v>1792</v>
      </c>
      <c r="B1768" s="3" t="str">
        <f>HYPERLINK("https://www.suredividend.com/sure-analysis-research-database/","Yext Inc")</f>
        <v>Yext Inc</v>
      </c>
      <c r="C1768" s="2" t="s">
        <v>40</v>
      </c>
      <c r="D1768" s="4">
        <v>5.94</v>
      </c>
      <c r="E1768" s="5">
        <v>0.0</v>
      </c>
      <c r="F1768" s="5" t="s">
        <v>15</v>
      </c>
      <c r="G1768" s="5" t="s">
        <v>15</v>
      </c>
      <c r="H1768" s="4">
        <v>0.0</v>
      </c>
      <c r="I1768" s="4">
        <v>776.697719</v>
      </c>
      <c r="J1768" s="6" t="s">
        <v>15</v>
      </c>
      <c r="K1768" s="5">
        <v>0.0</v>
      </c>
      <c r="L1768" s="7">
        <v>1.54774605149539</v>
      </c>
      <c r="M1768" s="4">
        <v>14.35</v>
      </c>
      <c r="N1768" s="2">
        <v>5.29</v>
      </c>
    </row>
    <row r="1769">
      <c r="A1769" s="2" t="s">
        <v>1793</v>
      </c>
      <c r="B1769" s="3" t="str">
        <f>HYPERLINK("https://www.suredividend.com/sure-analysis-research-database/","Y-Mabs Therapeutics Inc")</f>
        <v>Y-Mabs Therapeutics Inc</v>
      </c>
      <c r="C1769" s="2" t="s">
        <v>30</v>
      </c>
      <c r="D1769" s="4">
        <v>13.67</v>
      </c>
      <c r="E1769" s="5">
        <v>0.0</v>
      </c>
      <c r="F1769" s="5" t="s">
        <v>15</v>
      </c>
      <c r="G1769" s="5" t="s">
        <v>15</v>
      </c>
      <c r="H1769" s="4">
        <v>0.0</v>
      </c>
      <c r="I1769" s="4">
        <v>528.257794</v>
      </c>
      <c r="J1769" s="6" t="s">
        <v>15</v>
      </c>
      <c r="K1769" s="5">
        <v>0.0</v>
      </c>
      <c r="L1769" s="7">
        <v>1.86166837282783</v>
      </c>
      <c r="M1769" s="4">
        <v>12.24</v>
      </c>
      <c r="N1769" s="2">
        <v>2.7</v>
      </c>
    </row>
    <row r="1770">
      <c r="A1770" s="2" t="s">
        <v>1794</v>
      </c>
      <c r="B1770" s="3" t="str">
        <f>HYPERLINK("https://www.suredividend.com/sure-analysis-YORW/","York Water Co.")</f>
        <v>York Water Co.</v>
      </c>
      <c r="C1770" s="2" t="s">
        <v>91</v>
      </c>
      <c r="D1770" s="4">
        <v>35.49</v>
      </c>
      <c r="E1770" s="5">
        <v>0.0228233305156382</v>
      </c>
      <c r="F1770" s="5">
        <v>0.0399605328071039</v>
      </c>
      <c r="G1770" s="5">
        <v>0.0399546682572755</v>
      </c>
      <c r="H1770" s="4">
        <v>0.809479466651481</v>
      </c>
      <c r="I1770" s="4">
        <v>515.583396</v>
      </c>
      <c r="J1770" s="6">
        <v>22.6570309368957</v>
      </c>
      <c r="K1770" s="5">
        <v>0.509106582799673</v>
      </c>
      <c r="L1770" s="7">
        <v>0.501081968240831</v>
      </c>
      <c r="M1770" s="4">
        <v>45.62</v>
      </c>
      <c r="N1770" s="2">
        <v>35.05</v>
      </c>
    </row>
    <row r="1771">
      <c r="A1771" s="2" t="s">
        <v>1795</v>
      </c>
      <c r="B1771" s="3" t="str">
        <f>HYPERLINK("https://www.suredividend.com/sure-analysis-research-database/","Clear Secure Inc")</f>
        <v>Clear Secure Inc</v>
      </c>
      <c r="C1771" s="2" t="s">
        <v>15</v>
      </c>
      <c r="D1771" s="4">
        <v>19.33</v>
      </c>
      <c r="E1771" s="5">
        <v>0.007831694429162</v>
      </c>
      <c r="F1771" s="5" t="s">
        <v>15</v>
      </c>
      <c r="G1771" s="5" t="s">
        <v>15</v>
      </c>
      <c r="H1771" s="4">
        <v>0.159688249410632</v>
      </c>
      <c r="I1771" s="4">
        <v>1834.527959</v>
      </c>
      <c r="J1771" s="6">
        <v>653.787583232359</v>
      </c>
      <c r="K1771" s="5">
        <v>5.11821312213564</v>
      </c>
      <c r="L1771" s="7">
        <v>1.5847061739491</v>
      </c>
      <c r="M1771" s="4">
        <v>34.46</v>
      </c>
      <c r="N1771" s="2">
        <v>15.21</v>
      </c>
    </row>
    <row r="1772">
      <c r="A1772" s="2" t="s">
        <v>1796</v>
      </c>
      <c r="B1772" s="3" t="str">
        <f>HYPERLINK("https://www.suredividend.com/sure-analysis-research-database/","Ziff Davis Inc")</f>
        <v>Ziff Davis Inc</v>
      </c>
      <c r="C1772" s="2" t="s">
        <v>15</v>
      </c>
      <c r="D1772" s="4">
        <v>66.61</v>
      </c>
      <c r="E1772" s="5">
        <v>0.0</v>
      </c>
      <c r="F1772" s="5" t="s">
        <v>15</v>
      </c>
      <c r="G1772" s="5" t="s">
        <v>15</v>
      </c>
      <c r="H1772" s="4">
        <v>0.0</v>
      </c>
      <c r="I1772" s="4">
        <v>3257.559903</v>
      </c>
      <c r="J1772" s="6">
        <v>71.492590859651</v>
      </c>
      <c r="K1772" s="5">
        <v>0.0</v>
      </c>
      <c r="L1772" s="7">
        <v>1.35880296823927</v>
      </c>
      <c r="M1772" s="4">
        <v>94.06</v>
      </c>
      <c r="N1772" s="2">
        <v>57.97</v>
      </c>
    </row>
    <row r="1773">
      <c r="A1773" s="2" t="s">
        <v>1797</v>
      </c>
      <c r="B1773" s="3" t="str">
        <f>HYPERLINK("https://www.suredividend.com/sure-analysis-research-database/","Zeta Global Holdings Corp")</f>
        <v>Zeta Global Holdings Corp</v>
      </c>
      <c r="C1773" s="2" t="s">
        <v>15</v>
      </c>
      <c r="D1773" s="4">
        <v>9.64</v>
      </c>
      <c r="E1773" s="5">
        <v>0.0</v>
      </c>
      <c r="F1773" s="5" t="s">
        <v>15</v>
      </c>
      <c r="G1773" s="5" t="s">
        <v>15</v>
      </c>
      <c r="H1773" s="4">
        <v>0.0</v>
      </c>
      <c r="I1773" s="4">
        <v>1842.337918</v>
      </c>
      <c r="J1773" s="6" t="s">
        <v>15</v>
      </c>
      <c r="K1773" s="5">
        <v>0.0</v>
      </c>
      <c r="L1773" s="7">
        <v>1.57048620122561</v>
      </c>
      <c r="M1773" s="4">
        <v>11.28</v>
      </c>
      <c r="N1773" s="2">
        <v>7.24</v>
      </c>
    </row>
    <row r="1774">
      <c r="A1774" s="2" t="s">
        <v>1798</v>
      </c>
      <c r="B1774" s="3" t="str">
        <f>HYPERLINK("https://www.suredividend.com/sure-analysis-research-database/","Olympic Steel Inc.")</f>
        <v>Olympic Steel Inc.</v>
      </c>
      <c r="C1774" s="2" t="s">
        <v>130</v>
      </c>
      <c r="D1774" s="4">
        <v>65.85</v>
      </c>
      <c r="E1774" s="5">
        <v>0.007259193392436</v>
      </c>
      <c r="F1774" s="5">
        <v>0.388888888888888</v>
      </c>
      <c r="G1774" s="5">
        <v>0.442699905907213</v>
      </c>
      <c r="H1774" s="4">
        <v>0.49638364417483</v>
      </c>
      <c r="I1774" s="4">
        <v>761.243222</v>
      </c>
      <c r="J1774" s="6">
        <v>18.5307502911392</v>
      </c>
      <c r="K1774" s="5">
        <v>0.139826378640797</v>
      </c>
      <c r="L1774" s="7">
        <v>1.43732533449182</v>
      </c>
      <c r="M1774" s="4">
        <v>68.91</v>
      </c>
      <c r="N1774" s="2">
        <v>40.38</v>
      </c>
    </row>
    <row r="1775">
      <c r="A1775" s="2" t="s">
        <v>1799</v>
      </c>
      <c r="B1775" s="3" t="str">
        <f>HYPERLINK("https://www.suredividend.com/sure-analysis-research-database/","Lightning eMotors Inc")</f>
        <v>Lightning eMotors Inc</v>
      </c>
      <c r="C1775" s="2" t="s">
        <v>15</v>
      </c>
      <c r="D1775" s="4">
        <v>1.63</v>
      </c>
      <c r="E1775" s="5">
        <v>0.0</v>
      </c>
      <c r="F1775" s="5" t="s">
        <v>15</v>
      </c>
      <c r="G1775" s="5" t="s">
        <v>15</v>
      </c>
      <c r="H1775" s="4">
        <v>0.0</v>
      </c>
      <c r="I1775" s="4">
        <v>10.533733</v>
      </c>
      <c r="J1775" s="6">
        <v>0.0</v>
      </c>
      <c r="K1775" s="5" t="s">
        <v>15</v>
      </c>
      <c r="L1775" s="7"/>
      <c r="M1775" s="4">
        <v>38.0</v>
      </c>
      <c r="N1775" s="2">
        <v>1.57</v>
      </c>
    </row>
    <row r="1776">
      <c r="A1776" s="2" t="s">
        <v>1800</v>
      </c>
      <c r="B1776" s="3" t="str">
        <f>HYPERLINK("https://www.suredividend.com/sure-analysis-research-database/","Ermenegildo Zegna N.V.")</f>
        <v>Ermenegildo Zegna N.V.</v>
      </c>
      <c r="C1776" s="2" t="s">
        <v>15</v>
      </c>
      <c r="D1776" s="4">
        <v>13.18</v>
      </c>
      <c r="E1776" s="5">
        <v>0.008710801523529</v>
      </c>
      <c r="F1776" s="5" t="s">
        <v>15</v>
      </c>
      <c r="G1776" s="5" t="s">
        <v>15</v>
      </c>
      <c r="H1776" s="4">
        <v>0.100000001490116</v>
      </c>
      <c r="I1776" s="4">
        <v>2868.040513</v>
      </c>
      <c r="J1776" s="6">
        <v>0.0</v>
      </c>
      <c r="K1776" s="5" t="s">
        <v>15</v>
      </c>
      <c r="L1776" s="7">
        <v>0.883776072317367</v>
      </c>
      <c r="M1776" s="4">
        <v>16.36</v>
      </c>
      <c r="N1776" s="2">
        <v>10.12</v>
      </c>
    </row>
    <row r="1777">
      <c r="A1777" s="2" t="s">
        <v>1801</v>
      </c>
      <c r="B1777" s="3" t="str">
        <f>HYPERLINK("https://www.suredividend.com/sure-analysis-research-database/","ZimVie Inc")</f>
        <v>ZimVie Inc</v>
      </c>
      <c r="C1777" s="2" t="s">
        <v>15</v>
      </c>
      <c r="D1777" s="4">
        <v>17.78</v>
      </c>
      <c r="E1777" s="5">
        <v>0.0</v>
      </c>
      <c r="F1777" s="5" t="s">
        <v>15</v>
      </c>
      <c r="G1777" s="5" t="s">
        <v>15</v>
      </c>
      <c r="H1777" s="4">
        <v>0.0</v>
      </c>
      <c r="I1777" s="4">
        <v>503.389267</v>
      </c>
      <c r="J1777" s="6" t="s">
        <v>15</v>
      </c>
      <c r="K1777" s="5">
        <v>0.0</v>
      </c>
      <c r="L1777" s="7">
        <v>1.75668616617561</v>
      </c>
      <c r="M1777" s="4">
        <v>20.44</v>
      </c>
      <c r="N1777" s="2">
        <v>5.05</v>
      </c>
    </row>
    <row r="1778">
      <c r="A1778" s="2" t="s">
        <v>1802</v>
      </c>
      <c r="B1778" s="3" t="str">
        <f>HYPERLINK("https://www.suredividend.com/sure-analysis-research-database/","ZipRecruiter Inc")</f>
        <v>ZipRecruiter Inc</v>
      </c>
      <c r="C1778" s="2" t="s">
        <v>15</v>
      </c>
      <c r="D1778" s="4">
        <v>14.01</v>
      </c>
      <c r="E1778" s="5">
        <v>0.0</v>
      </c>
      <c r="F1778" s="5" t="s">
        <v>15</v>
      </c>
      <c r="G1778" s="5" t="s">
        <v>15</v>
      </c>
      <c r="H1778" s="4">
        <v>0.0</v>
      </c>
      <c r="I1778" s="4">
        <v>1165.095951</v>
      </c>
      <c r="J1778" s="6">
        <v>18.5294689897897</v>
      </c>
      <c r="K1778" s="5">
        <v>0.0</v>
      </c>
      <c r="L1778" s="7">
        <v>1.63152548258069</v>
      </c>
      <c r="M1778" s="4">
        <v>24.05</v>
      </c>
      <c r="N1778" s="2">
        <v>10.27</v>
      </c>
    </row>
    <row r="1779">
      <c r="A1779" s="2" t="s">
        <v>1803</v>
      </c>
      <c r="B1779" s="3" t="str">
        <f>HYPERLINK("https://www.suredividend.com/sure-analysis-research-database/","Zentalis Pharmaceuticals Inc")</f>
        <v>Zentalis Pharmaceuticals Inc</v>
      </c>
      <c r="C1779" s="2" t="s">
        <v>30</v>
      </c>
      <c r="D1779" s="4">
        <v>11.36</v>
      </c>
      <c r="E1779" s="5">
        <v>0.0</v>
      </c>
      <c r="F1779" s="5" t="s">
        <v>15</v>
      </c>
      <c r="G1779" s="5" t="s">
        <v>15</v>
      </c>
      <c r="H1779" s="4">
        <v>0.0</v>
      </c>
      <c r="I1779" s="4">
        <v>931.277546</v>
      </c>
      <c r="J1779" s="6">
        <v>0.0</v>
      </c>
      <c r="K1779" s="5" t="s">
        <v>15</v>
      </c>
      <c r="L1779" s="7">
        <v>1.62118816711667</v>
      </c>
      <c r="M1779" s="4">
        <v>31.46</v>
      </c>
      <c r="N1779" s="2">
        <v>9.56</v>
      </c>
    </row>
    <row r="1780">
      <c r="A1780" s="2" t="s">
        <v>1804</v>
      </c>
      <c r="B1780" s="3" t="str">
        <f>HYPERLINK("https://www.suredividend.com/sure-analysis-research-database/","Zumiez Inc")</f>
        <v>Zumiez Inc</v>
      </c>
      <c r="C1780" s="2" t="s">
        <v>25</v>
      </c>
      <c r="D1780" s="4">
        <v>17.19</v>
      </c>
      <c r="E1780" s="5">
        <v>0.0</v>
      </c>
      <c r="F1780" s="5" t="s">
        <v>15</v>
      </c>
      <c r="G1780" s="5" t="s">
        <v>15</v>
      </c>
      <c r="H1780" s="4">
        <v>0.0</v>
      </c>
      <c r="I1780" s="4">
        <v>354.830832</v>
      </c>
      <c r="J1780" s="6" t="s">
        <v>15</v>
      </c>
      <c r="K1780" s="5">
        <v>0.0</v>
      </c>
      <c r="L1780" s="7">
        <v>1.4257032153984</v>
      </c>
      <c r="M1780" s="4">
        <v>28.97</v>
      </c>
      <c r="N1780" s="2">
        <v>13.19</v>
      </c>
    </row>
    <row r="1781">
      <c r="A1781" s="2" t="s">
        <v>1805</v>
      </c>
      <c r="B1781" s="3" t="str">
        <f>HYPERLINK("https://www.suredividend.com/sure-analysis-research-database/","Zuora Inc")</f>
        <v>Zuora Inc</v>
      </c>
      <c r="C1781" s="2" t="s">
        <v>40</v>
      </c>
      <c r="D1781" s="4">
        <v>8.61</v>
      </c>
      <c r="E1781" s="5">
        <v>0.0</v>
      </c>
      <c r="F1781" s="5" t="s">
        <v>15</v>
      </c>
      <c r="G1781" s="5" t="s">
        <v>15</v>
      </c>
      <c r="H1781" s="4">
        <v>0.0</v>
      </c>
      <c r="I1781" s="4">
        <v>1281.15</v>
      </c>
      <c r="J1781" s="6" t="s">
        <v>15</v>
      </c>
      <c r="K1781" s="5">
        <v>0.0</v>
      </c>
      <c r="L1781" s="7">
        <v>2.18592271779824</v>
      </c>
      <c r="M1781" s="4">
        <v>12.12</v>
      </c>
      <c r="N1781" s="2">
        <v>7.05</v>
      </c>
    </row>
    <row r="1782">
      <c r="A1782" s="2" t="s">
        <v>1806</v>
      </c>
      <c r="B1782" s="3" t="str">
        <f>HYPERLINK("https://www.suredividend.com/sure-analysis-research-database/","Zurn Elkay Water Solutions Corp")</f>
        <v>Zurn Elkay Water Solutions Corp</v>
      </c>
      <c r="C1782" s="2" t="s">
        <v>15</v>
      </c>
      <c r="D1782" s="4">
        <v>31.19</v>
      </c>
      <c r="E1782" s="5">
        <v>0.009496221719122</v>
      </c>
      <c r="F1782" s="5" t="s">
        <v>15</v>
      </c>
      <c r="G1782" s="5" t="s">
        <v>15</v>
      </c>
      <c r="H1782" s="4">
        <v>0.288875064695703</v>
      </c>
      <c r="I1782" s="4">
        <v>5256.896961</v>
      </c>
      <c r="J1782" s="6">
        <v>46.5212120479646</v>
      </c>
      <c r="K1782" s="5">
        <v>0.456719469874629</v>
      </c>
      <c r="L1782" s="7">
        <v>1.14101913005505</v>
      </c>
      <c r="M1782" s="4">
        <v>30.71</v>
      </c>
      <c r="N1782" s="2">
        <v>19.13</v>
      </c>
    </row>
    <row r="1783">
      <c r="A1783" s="2" t="s">
        <v>1807</v>
      </c>
      <c r="B1783" s="3" t="str">
        <f>HYPERLINK("https://www.suredividend.com/sure-analysis-research-database/","Zynex Inc")</f>
        <v>Zynex Inc</v>
      </c>
      <c r="C1783" s="2" t="s">
        <v>30</v>
      </c>
      <c r="D1783" s="4">
        <v>11.7</v>
      </c>
      <c r="E1783" s="5">
        <v>0.0</v>
      </c>
      <c r="F1783" s="5" t="s">
        <v>15</v>
      </c>
      <c r="G1783" s="5" t="s">
        <v>15</v>
      </c>
      <c r="H1783" s="4">
        <v>0.0</v>
      </c>
      <c r="I1783" s="4">
        <v>386.842096</v>
      </c>
      <c r="J1783" s="6">
        <v>24.2245660698854</v>
      </c>
      <c r="K1783" s="5">
        <v>0.0</v>
      </c>
      <c r="L1783" s="7">
        <v>1.3206226421489</v>
      </c>
      <c r="M1783" s="4">
        <v>14.75</v>
      </c>
      <c r="N1783" s="2">
        <v>6.88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1808</v>
      </c>
      <c r="D1" s="1" t="s">
        <v>1809</v>
      </c>
      <c r="E1" s="1" t="s">
        <v>1810</v>
      </c>
      <c r="F1" s="1" t="s">
        <v>1811</v>
      </c>
      <c r="G1" s="1" t="s">
        <v>1812</v>
      </c>
      <c r="H1" s="1" t="s">
        <v>1813</v>
      </c>
      <c r="I1" s="1" t="s">
        <v>1814</v>
      </c>
    </row>
    <row r="2">
      <c r="A2" s="2" t="s">
        <v>14</v>
      </c>
      <c r="B2" s="8" t="str">
        <f>HYPERLINK("https://www.suredividend.com/sure-analysis-research-database/","Aadi Bioscience Inc")</f>
        <v>Aadi Bioscience Inc</v>
      </c>
      <c r="C2" s="5">
        <v>-0.1435643564</v>
      </c>
      <c r="D2" s="5">
        <v>-0.5929411765</v>
      </c>
      <c r="E2" s="5">
        <v>-0.677238806</v>
      </c>
      <c r="F2" s="5">
        <v>-0.1435643564</v>
      </c>
      <c r="G2" s="5">
        <v>-0.8649492584</v>
      </c>
      <c r="H2" s="5">
        <v>-0.9027543564</v>
      </c>
      <c r="I2" s="5">
        <v>-0.5861244019</v>
      </c>
    </row>
    <row r="3">
      <c r="A3" s="2" t="s">
        <v>16</v>
      </c>
      <c r="B3" s="8" t="str">
        <f>HYPERLINK("https://www.suredividend.com/sure-analysis-research-database/","Aarons Company Inc (The)")</f>
        <v>Aarons Company Inc (The)</v>
      </c>
      <c r="C3" s="5">
        <v>-0.008272058823529</v>
      </c>
      <c r="D3" s="5">
        <v>0.512560278120443</v>
      </c>
      <c r="E3" s="5">
        <v>-0.283394544766256</v>
      </c>
      <c r="F3" s="5">
        <v>-0.008272058823529</v>
      </c>
      <c r="G3" s="5">
        <v>-0.21218449047539</v>
      </c>
      <c r="H3" s="5">
        <v>-0.439477607675884</v>
      </c>
      <c r="I3" s="5">
        <v>-0.592830188679245</v>
      </c>
    </row>
    <row r="4">
      <c r="A4" s="2" t="s">
        <v>18</v>
      </c>
      <c r="B4" s="8" t="str">
        <f>HYPERLINK("https://www.suredividend.com/sure-analysis-research-database/","AAON Inc.")</f>
        <v>AAON Inc.</v>
      </c>
      <c r="C4" s="5">
        <v>-0.03871666441045</v>
      </c>
      <c r="D4" s="5">
        <v>0.323026359916828</v>
      </c>
      <c r="E4" s="5">
        <v>0.037772523068918</v>
      </c>
      <c r="F4" s="5">
        <v>-0.03871666441045</v>
      </c>
      <c r="G4" s="5">
        <v>0.44052874160148</v>
      </c>
      <c r="H4" s="5">
        <v>0.727854939022609</v>
      </c>
      <c r="I4" s="5">
        <v>2.05792882488717</v>
      </c>
    </row>
    <row r="5">
      <c r="A5" s="2" t="s">
        <v>19</v>
      </c>
      <c r="B5" s="8" t="str">
        <f>HYPERLINK("https://www.suredividend.com/sure-analysis-AAT/","American Assets Trust Inc")</f>
        <v>American Assets Trust Inc</v>
      </c>
      <c r="C5" s="5">
        <v>0.057307863171923</v>
      </c>
      <c r="D5" s="5">
        <v>0.364929344833914</v>
      </c>
      <c r="E5" s="5">
        <v>0.09655690347074</v>
      </c>
      <c r="F5" s="5">
        <v>0.057307863171923</v>
      </c>
      <c r="G5" s="5">
        <v>-0.087374322241224</v>
      </c>
      <c r="H5" s="5">
        <v>-0.257025479655609</v>
      </c>
      <c r="I5" s="5">
        <v>-0.317165260352262</v>
      </c>
    </row>
    <row r="6">
      <c r="A6" s="2" t="s">
        <v>21</v>
      </c>
      <c r="B6" s="8" t="str">
        <f>HYPERLINK("https://www.suredividend.com/sure-analysis-research-database/","Ameris Bancorp")</f>
        <v>Ameris Bancorp</v>
      </c>
      <c r="C6" s="5">
        <v>-0.008105560791705</v>
      </c>
      <c r="D6" s="5">
        <v>0.472316422120001</v>
      </c>
      <c r="E6" s="5">
        <v>0.256039108598926</v>
      </c>
      <c r="F6" s="5">
        <v>-0.008105560791705</v>
      </c>
      <c r="G6" s="5">
        <v>0.163073413759719</v>
      </c>
      <c r="H6" s="5">
        <v>0.120175072592113</v>
      </c>
      <c r="I6" s="5">
        <v>0.516933614695402</v>
      </c>
    </row>
    <row r="7">
      <c r="A7" s="2" t="s">
        <v>23</v>
      </c>
      <c r="B7" s="8" t="str">
        <f>HYPERLINK("https://www.suredividend.com/sure-analysis-research-database/","AbCellera Biologics Inc")</f>
        <v>AbCellera Biologics Inc</v>
      </c>
      <c r="C7" s="5">
        <v>-0.021015761821366</v>
      </c>
      <c r="D7" s="5">
        <v>0.429667519181585</v>
      </c>
      <c r="E7" s="5">
        <v>-0.273081924577373</v>
      </c>
      <c r="F7" s="5">
        <v>-0.021015761821366</v>
      </c>
      <c r="G7" s="5">
        <v>-0.480483271375464</v>
      </c>
      <c r="H7" s="5">
        <v>-0.349243306169965</v>
      </c>
      <c r="I7" s="5">
        <v>-0.905093378607809</v>
      </c>
    </row>
    <row r="8">
      <c r="A8" s="2" t="s">
        <v>24</v>
      </c>
      <c r="B8" s="8" t="str">
        <f>HYPERLINK("https://www.suredividend.com/sure-analysis-research-database/","Asbury Automotive Group Inc")</f>
        <v>Asbury Automotive Group Inc</v>
      </c>
      <c r="C8" s="5">
        <v>-0.023514246343956</v>
      </c>
      <c r="D8" s="5">
        <v>0.177530017152658</v>
      </c>
      <c r="E8" s="5">
        <v>-0.001409154961589</v>
      </c>
      <c r="F8" s="5">
        <v>-0.023514246343956</v>
      </c>
      <c r="G8" s="5">
        <v>0.022528393222863</v>
      </c>
      <c r="H8" s="5">
        <v>0.40012746972594</v>
      </c>
      <c r="I8" s="5">
        <v>2.17916063675832</v>
      </c>
    </row>
    <row r="9">
      <c r="A9" s="2" t="s">
        <v>26</v>
      </c>
      <c r="B9" s="8" t="str">
        <f>HYPERLINK("https://www.suredividend.com/sure-analysis-ABM/","ABM Industries Inc.")</f>
        <v>ABM Industries Inc.</v>
      </c>
      <c r="C9" s="5">
        <v>-0.061734927225605</v>
      </c>
      <c r="D9" s="5">
        <v>0.072199918528178</v>
      </c>
      <c r="E9" s="5">
        <v>-0.063770956094549</v>
      </c>
      <c r="F9" s="5">
        <v>-0.061734927225605</v>
      </c>
      <c r="G9" s="5">
        <v>-0.067945337276841</v>
      </c>
      <c r="H9" s="5">
        <v>0.069222239822588</v>
      </c>
      <c r="I9" s="5">
        <v>0.384084189359914</v>
      </c>
    </row>
    <row r="10">
      <c r="A10" s="2" t="s">
        <v>27</v>
      </c>
      <c r="B10" s="8" t="str">
        <f>HYPERLINK("https://www.suredividend.com/sure-analysis-ABR/","Arbor Realty Trust Inc.")</f>
        <v>Arbor Realty Trust Inc.</v>
      </c>
      <c r="C10" s="5">
        <v>-0.061264822134387</v>
      </c>
      <c r="D10" s="5">
        <v>0.167219560142523</v>
      </c>
      <c r="E10" s="5">
        <v>-0.143104547258535</v>
      </c>
      <c r="F10" s="5">
        <v>-0.061264822134387</v>
      </c>
      <c r="G10" s="5">
        <v>0.108371510574253</v>
      </c>
      <c r="H10" s="5">
        <v>0.06514183204395</v>
      </c>
      <c r="I10" s="5">
        <v>1.04140104577036</v>
      </c>
    </row>
    <row r="11">
      <c r="A11" s="2" t="s">
        <v>28</v>
      </c>
      <c r="B11" s="8" t="str">
        <f>HYPERLINK("https://www.suredividend.com/sure-analysis-research-database/","Absci Corp")</f>
        <v>Absci Corp</v>
      </c>
      <c r="C11" s="5">
        <v>-0.052380952380952</v>
      </c>
      <c r="D11" s="5">
        <v>2.26229508196721</v>
      </c>
      <c r="E11" s="5">
        <v>0.868544600938967</v>
      </c>
      <c r="F11" s="5">
        <v>-0.052380952380952</v>
      </c>
      <c r="G11" s="5">
        <v>0.220858895705521</v>
      </c>
      <c r="H11" s="5">
        <v>-0.364217252396166</v>
      </c>
      <c r="I11" s="5">
        <v>-0.815655396016674</v>
      </c>
    </row>
    <row r="12">
      <c r="A12" s="2" t="s">
        <v>29</v>
      </c>
      <c r="B12" s="8" t="str">
        <f>HYPERLINK("https://www.suredividend.com/sure-analysis-research-database/","Arbutus Biopharma Corp")</f>
        <v>Arbutus Biopharma Corp</v>
      </c>
      <c r="C12" s="5">
        <v>0.016</v>
      </c>
      <c r="D12" s="5">
        <v>0.468208092485549</v>
      </c>
      <c r="E12" s="5">
        <v>0.170506912442396</v>
      </c>
      <c r="F12" s="5">
        <v>0.016</v>
      </c>
      <c r="G12" s="5">
        <v>-0.133105802047781</v>
      </c>
      <c r="H12" s="5">
        <v>0.00395256916996</v>
      </c>
      <c r="I12" s="5">
        <v>-0.282485875706214</v>
      </c>
    </row>
    <row r="13">
      <c r="A13" s="2" t="s">
        <v>31</v>
      </c>
      <c r="B13" s="8" t="str">
        <f>HYPERLINK("https://www.suredividend.com/sure-analysis-research-database/","Associated Capital Group Inc")</f>
        <v>Associated Capital Group Inc</v>
      </c>
      <c r="C13" s="5">
        <v>-0.03724446933632</v>
      </c>
      <c r="D13" s="5">
        <v>0.023528045799754</v>
      </c>
      <c r="E13" s="5">
        <v>-0.068035066603776</v>
      </c>
      <c r="F13" s="5">
        <v>-0.03724446933632</v>
      </c>
      <c r="G13" s="5">
        <v>-0.086163267909924</v>
      </c>
      <c r="H13" s="5">
        <v>-0.241607051863224</v>
      </c>
      <c r="I13" s="5">
        <v>-0.140865132318764</v>
      </c>
    </row>
    <row r="14">
      <c r="A14" s="2" t="s">
        <v>32</v>
      </c>
      <c r="B14" s="8" t="str">
        <f>HYPERLINK("https://www.suredividend.com/sure-analysis-research-database/","Arcosa Inc")</f>
        <v>Arcosa Inc</v>
      </c>
      <c r="C14" s="5">
        <v>-0.027214739258677</v>
      </c>
      <c r="D14" s="5">
        <v>0.200403421612939</v>
      </c>
      <c r="E14" s="5">
        <v>0.067785932445328</v>
      </c>
      <c r="F14" s="5">
        <v>-0.027214739258677</v>
      </c>
      <c r="G14" s="5">
        <v>0.380969979287169</v>
      </c>
      <c r="H14" s="5">
        <v>0.761444235183719</v>
      </c>
      <c r="I14" s="5">
        <v>1.8150754050569</v>
      </c>
    </row>
    <row r="15">
      <c r="A15" s="2" t="s">
        <v>33</v>
      </c>
      <c r="B15" s="8" t="str">
        <f>HYPERLINK("https://www.suredividend.com/sure-analysis-research-database/","Acadia Pharmaceuticals Inc")</f>
        <v>Acadia Pharmaceuticals Inc</v>
      </c>
      <c r="C15" s="5">
        <v>-0.120408815075055</v>
      </c>
      <c r="D15" s="5">
        <v>0.265624999999999</v>
      </c>
      <c r="E15" s="5">
        <v>-0.051652892561983</v>
      </c>
      <c r="F15" s="5">
        <v>-0.120408815075055</v>
      </c>
      <c r="G15" s="5">
        <v>0.483037156704361</v>
      </c>
      <c r="H15" s="5">
        <v>0.245590230664857</v>
      </c>
      <c r="I15" s="5">
        <v>0.234424025100851</v>
      </c>
    </row>
    <row r="16">
      <c r="A16" s="2" t="s">
        <v>34</v>
      </c>
      <c r="B16" s="8" t="str">
        <f>HYPERLINK("https://www.suredividend.com/sure-analysis-research-database/","Accolade Inc")</f>
        <v>Accolade Inc</v>
      </c>
      <c r="C16" s="5">
        <v>0.061615320566194</v>
      </c>
      <c r="D16" s="5">
        <v>0.943597560975609</v>
      </c>
      <c r="E16" s="5">
        <v>-0.120082815734989</v>
      </c>
      <c r="F16" s="5">
        <v>0.061615320566194</v>
      </c>
      <c r="G16" s="5">
        <v>0.13031914893617</v>
      </c>
      <c r="H16" s="5">
        <v>-0.273504273504273</v>
      </c>
      <c r="I16" s="5">
        <v>-0.57070707070707</v>
      </c>
    </row>
    <row r="17">
      <c r="A17" s="2" t="s">
        <v>35</v>
      </c>
      <c r="B17" s="8" t="str">
        <f>HYPERLINK("https://www.suredividend.com/sure-analysis-research-database/","Acco Brands Corporation")</f>
        <v>Acco Brands Corporation</v>
      </c>
      <c r="C17" s="5">
        <v>0.018092105263157</v>
      </c>
      <c r="D17" s="5">
        <v>0.286233766233766</v>
      </c>
      <c r="E17" s="5">
        <v>0.05975004280089</v>
      </c>
      <c r="F17" s="5">
        <v>0.018092105263157</v>
      </c>
      <c r="G17" s="5">
        <v>0.060113033053605</v>
      </c>
      <c r="H17" s="5">
        <v>-0.136740813053482</v>
      </c>
      <c r="I17" s="5">
        <v>-0.140074739869135</v>
      </c>
    </row>
    <row r="18">
      <c r="A18" s="2" t="s">
        <v>36</v>
      </c>
      <c r="B18" s="8" t="str">
        <f>HYPERLINK("https://www.suredividend.com/sure-analysis-research-database/","Accel Entertainment Inc")</f>
        <v>Accel Entertainment Inc</v>
      </c>
      <c r="C18" s="5">
        <v>0.033106134371957</v>
      </c>
      <c r="D18" s="5">
        <v>0.089322381930184</v>
      </c>
      <c r="E18" s="5">
        <v>-0.056888888888888</v>
      </c>
      <c r="F18" s="5">
        <v>0.033106134371957</v>
      </c>
      <c r="G18" s="5">
        <v>0.185474860335195</v>
      </c>
      <c r="H18" s="5">
        <v>-0.158604282315622</v>
      </c>
      <c r="I18" s="5">
        <v>-0.031050228310502</v>
      </c>
    </row>
    <row r="19">
      <c r="A19" s="2" t="s">
        <v>37</v>
      </c>
      <c r="B19" s="8" t="str">
        <f>HYPERLINK("https://www.suredividend.com/sure-analysis-research-database/","Adicet Bio Inc")</f>
        <v>Adicet Bio Inc</v>
      </c>
      <c r="C19" s="5">
        <v>0.587301587301587</v>
      </c>
      <c r="D19" s="5">
        <v>1.38095238095238</v>
      </c>
      <c r="E19" s="5">
        <v>0.153846153846153</v>
      </c>
      <c r="F19" s="5">
        <v>0.587301587301587</v>
      </c>
      <c r="G19" s="5">
        <v>-0.665178571428571</v>
      </c>
      <c r="H19" s="5">
        <v>-0.743370402053036</v>
      </c>
      <c r="I19" s="5">
        <v>-0.632802937576499</v>
      </c>
    </row>
    <row r="20">
      <c r="A20" s="2" t="s">
        <v>38</v>
      </c>
      <c r="B20" s="8" t="str">
        <f>HYPERLINK("https://www.suredividend.com/sure-analysis-research-database/","Archer Aviation Inc")</f>
        <v>Archer Aviation Inc</v>
      </c>
      <c r="C20" s="5">
        <v>-0.157980456026058</v>
      </c>
      <c r="D20" s="5">
        <v>0.161797752808988</v>
      </c>
      <c r="E20" s="5">
        <v>0.081589958158995</v>
      </c>
      <c r="F20" s="5">
        <v>-0.157980456026058</v>
      </c>
      <c r="G20" s="5">
        <v>0.853046594982078</v>
      </c>
      <c r="H20" s="5">
        <v>0.826855123674911</v>
      </c>
      <c r="I20" s="5">
        <v>-0.481444332998997</v>
      </c>
    </row>
    <row r="21">
      <c r="A21" s="2" t="s">
        <v>39</v>
      </c>
      <c r="B21" s="8" t="str">
        <f>HYPERLINK("https://www.suredividend.com/sure-analysis-research-database/","ACI Worldwide Inc")</f>
        <v>ACI Worldwide Inc</v>
      </c>
      <c r="C21" s="5">
        <v>0.024183006535947</v>
      </c>
      <c r="D21" s="5">
        <v>0.586835443037974</v>
      </c>
      <c r="E21" s="5">
        <v>0.370354175776126</v>
      </c>
      <c r="F21" s="5">
        <v>0.024183006535947</v>
      </c>
      <c r="G21" s="5">
        <v>0.124910265613783</v>
      </c>
      <c r="H21" s="5">
        <v>-0.087892898719441</v>
      </c>
      <c r="I21" s="5">
        <v>0.095804195804195</v>
      </c>
    </row>
    <row r="22">
      <c r="A22" s="2" t="s">
        <v>41</v>
      </c>
      <c r="B22" s="8" t="str">
        <f>HYPERLINK("https://www.suredividend.com/sure-analysis-research-database/","Axcelis Technologies Inc")</f>
        <v>Axcelis Technologies Inc</v>
      </c>
      <c r="C22" s="5">
        <v>0.036471586089906</v>
      </c>
      <c r="D22" s="5">
        <v>-0.026224282816574</v>
      </c>
      <c r="E22" s="5">
        <v>-0.303162260238465</v>
      </c>
      <c r="F22" s="5">
        <v>0.036471586089906</v>
      </c>
      <c r="G22" s="5">
        <v>0.217131474103585</v>
      </c>
      <c r="H22" s="5">
        <v>1.27483499746149</v>
      </c>
      <c r="I22" s="5">
        <v>5.58598726114649</v>
      </c>
    </row>
    <row r="23">
      <c r="A23" s="2" t="s">
        <v>42</v>
      </c>
      <c r="B23" s="8" t="str">
        <f>HYPERLINK("https://www.suredividend.com/sure-analysis-research-database/","Arcellx Inc")</f>
        <v>Arcellx Inc</v>
      </c>
      <c r="C23" s="5">
        <v>0.16018018018018</v>
      </c>
      <c r="D23" s="5">
        <v>1.02803149606299</v>
      </c>
      <c r="E23" s="5">
        <v>0.931313737252549</v>
      </c>
      <c r="F23" s="5">
        <v>0.16018018018018</v>
      </c>
      <c r="G23" s="5">
        <v>0.89717147908073</v>
      </c>
      <c r="H23" s="5">
        <v>2.83273809523809</v>
      </c>
      <c r="I23" s="5">
        <v>2.83273809523809</v>
      </c>
    </row>
    <row r="24">
      <c r="A24" s="2" t="s">
        <v>43</v>
      </c>
      <c r="B24" s="8" t="str">
        <f>HYPERLINK("https://www.suredividend.com/sure-analysis-research-database/","ACM Research Inc")</f>
        <v>ACM Research Inc</v>
      </c>
      <c r="C24" s="5">
        <v>-0.038382804503582</v>
      </c>
      <c r="D24" s="5">
        <v>0.37053245805981</v>
      </c>
      <c r="E24" s="5">
        <v>0.47257053291536</v>
      </c>
      <c r="F24" s="5">
        <v>-0.038382804503582</v>
      </c>
      <c r="G24" s="5">
        <v>0.504403522818254</v>
      </c>
      <c r="H24" s="5">
        <v>-0.23937287730789</v>
      </c>
      <c r="I24" s="5">
        <v>4.86582586707457</v>
      </c>
    </row>
    <row r="25">
      <c r="A25" s="2" t="s">
        <v>44</v>
      </c>
      <c r="B25" s="8" t="str">
        <f>HYPERLINK("https://www.suredividend.com/sure-analysis-research-database/","ACNB Corp.")</f>
        <v>ACNB Corp.</v>
      </c>
      <c r="C25" s="5">
        <v>0.0218945487042</v>
      </c>
      <c r="D25" s="5">
        <v>0.431562606608223</v>
      </c>
      <c r="E25" s="5">
        <v>0.395273640187785</v>
      </c>
      <c r="F25" s="5">
        <v>0.0218945487042</v>
      </c>
      <c r="G25" s="5">
        <v>0.299786305356006</v>
      </c>
      <c r="H25" s="5">
        <v>0.528426596093055</v>
      </c>
      <c r="I25" s="5">
        <v>0.492439914121078</v>
      </c>
    </row>
    <row r="26">
      <c r="A26" s="2" t="s">
        <v>45</v>
      </c>
      <c r="B26" s="8" t="str">
        <f>HYPERLINK("https://www.suredividend.com/sure-analysis-ACRE/","Ares Commercial Real Estate Corp")</f>
        <v>Ares Commercial Real Estate Corp</v>
      </c>
      <c r="C26" s="5">
        <v>0.012548262548262</v>
      </c>
      <c r="D26" s="5">
        <v>0.215893548461877</v>
      </c>
      <c r="E26" s="5">
        <v>0.046780824651738</v>
      </c>
      <c r="F26" s="5">
        <v>0.012548262548262</v>
      </c>
      <c r="G26" s="5">
        <v>-0.018121232543337</v>
      </c>
      <c r="H26" s="5">
        <v>-0.143295820198291</v>
      </c>
      <c r="I26" s="5">
        <v>0.143411486434932</v>
      </c>
    </row>
    <row r="27">
      <c r="A27" s="2" t="s">
        <v>46</v>
      </c>
      <c r="B27" s="8" t="str">
        <f>HYPERLINK("https://www.suredividend.com/sure-analysis-research-database/","Aclaris Therapeutics Inc")</f>
        <v>Aclaris Therapeutics Inc</v>
      </c>
      <c r="C27" s="5">
        <v>0.161904761904761</v>
      </c>
      <c r="D27" s="5">
        <v>-0.723981900452488</v>
      </c>
      <c r="E27" s="5">
        <v>-0.875763747454175</v>
      </c>
      <c r="F27" s="5">
        <v>0.161904761904761</v>
      </c>
      <c r="G27" s="5">
        <v>-0.93020594965675</v>
      </c>
      <c r="H27" s="5">
        <v>-0.88235294117647</v>
      </c>
      <c r="I27" s="5">
        <v>-0.81845238095238</v>
      </c>
    </row>
    <row r="28">
      <c r="A28" s="2" t="s">
        <v>47</v>
      </c>
      <c r="B28" s="8" t="str">
        <f>HYPERLINK("https://www.suredividend.com/sure-analysis-research-database/","Acrivon Therapeutics Inc")</f>
        <v>Acrivon Therapeutics Inc</v>
      </c>
      <c r="C28" s="5">
        <v>-0.217479674796747</v>
      </c>
      <c r="D28" s="5">
        <v>-0.233067729083665</v>
      </c>
      <c r="E28" s="5">
        <v>-0.691753402722177</v>
      </c>
      <c r="F28" s="5">
        <v>-0.217479674796747</v>
      </c>
      <c r="G28" s="5">
        <v>-0.735030970406056</v>
      </c>
      <c r="H28" s="5">
        <v>-0.768629807692307</v>
      </c>
      <c r="I28" s="5">
        <v>-0.768629807692307</v>
      </c>
    </row>
    <row r="29">
      <c r="A29" s="2" t="s">
        <v>48</v>
      </c>
      <c r="B29" s="8" t="str">
        <f>HYPERLINK("https://www.suredividend.com/sure-analysis-research-database/","Enact Holdings Inc")</f>
        <v>Enact Holdings Inc</v>
      </c>
      <c r="C29" s="5">
        <v>-0.008999653859466</v>
      </c>
      <c r="D29" s="5">
        <v>0.099800245851259</v>
      </c>
      <c r="E29" s="5">
        <v>0.09256877688013</v>
      </c>
      <c r="F29" s="5">
        <v>-0.008999653859466</v>
      </c>
      <c r="G29" s="5">
        <v>0.218899541901534</v>
      </c>
      <c r="H29" s="5">
        <v>0.454030197916719</v>
      </c>
      <c r="I29" s="5">
        <v>0.585350321998327</v>
      </c>
    </row>
    <row r="30">
      <c r="A30" s="2" t="s">
        <v>50</v>
      </c>
      <c r="B30" s="8" t="str">
        <f>HYPERLINK("https://www.suredividend.com/sure-analysis-research-database/","ACV Auctions Inc")</f>
        <v>ACV Auctions Inc</v>
      </c>
      <c r="C30" s="5">
        <v>-0.083168316831683</v>
      </c>
      <c r="D30" s="5">
        <v>0.061926605504587</v>
      </c>
      <c r="E30" s="5">
        <v>-0.1607250755287</v>
      </c>
      <c r="F30" s="5">
        <v>-0.083168316831683</v>
      </c>
      <c r="G30" s="5">
        <v>0.401614530776992</v>
      </c>
      <c r="H30" s="5">
        <v>0.099762470308788</v>
      </c>
      <c r="I30" s="5">
        <v>-0.55552</v>
      </c>
    </row>
    <row r="31">
      <c r="A31" s="2" t="s">
        <v>51</v>
      </c>
      <c r="B31" s="8" t="str">
        <f>HYPERLINK("https://www.suredividend.com/sure-analysis-ADC/","Agree Realty Corp.")</f>
        <v>Agree Realty Corp.</v>
      </c>
      <c r="C31" s="5">
        <v>-0.038919815609398</v>
      </c>
      <c r="D31" s="5">
        <v>0.128012251194416</v>
      </c>
      <c r="E31" s="5">
        <v>-0.059277404890264</v>
      </c>
      <c r="F31" s="5">
        <v>-0.038919815609398</v>
      </c>
      <c r="G31" s="5">
        <v>-0.147047373673742</v>
      </c>
      <c r="H31" s="5">
        <v>0.012578880588862</v>
      </c>
      <c r="I31" s="5">
        <v>0.144871799743865</v>
      </c>
    </row>
    <row r="32">
      <c r="A32" s="2" t="s">
        <v>52</v>
      </c>
      <c r="B32" s="8" t="str">
        <f>HYPERLINK("https://www.suredividend.com/sure-analysis-research-database/","Adeia Inc")</f>
        <v>Adeia Inc</v>
      </c>
      <c r="C32" s="5">
        <v>-0.006456820016142</v>
      </c>
      <c r="D32" s="5">
        <v>0.496092658086314</v>
      </c>
      <c r="E32" s="5">
        <v>0.036474471238044</v>
      </c>
      <c r="F32" s="5">
        <v>-0.006456820016142</v>
      </c>
      <c r="G32" s="5">
        <v>0.140828884934756</v>
      </c>
      <c r="H32" s="5">
        <v>-0.261831090643064</v>
      </c>
      <c r="I32" s="5">
        <v>-0.356040196483592</v>
      </c>
    </row>
    <row r="33">
      <c r="A33" s="2" t="s">
        <v>53</v>
      </c>
      <c r="B33" s="8" t="str">
        <f>HYPERLINK("https://www.suredividend.com/sure-analysis-research-database/","Adma Biologics Inc")</f>
        <v>Adma Biologics Inc</v>
      </c>
      <c r="C33" s="5">
        <v>0.179203539823008</v>
      </c>
      <c r="D33" s="5">
        <v>0.610271903323262</v>
      </c>
      <c r="E33" s="5">
        <v>0.32258064516129</v>
      </c>
      <c r="F33" s="5">
        <v>0.179203539823008</v>
      </c>
      <c r="G33" s="5">
        <v>0.452316076294278</v>
      </c>
      <c r="H33" s="5">
        <v>2.86231884057971</v>
      </c>
      <c r="I33" s="5">
        <v>0.736156351791531</v>
      </c>
    </row>
    <row r="34">
      <c r="A34" s="2" t="s">
        <v>54</v>
      </c>
      <c r="B34" s="8" t="str">
        <f>HYPERLINK("https://www.suredividend.com/sure-analysis-research-database/","Adient plc")</f>
        <v>Adient plc</v>
      </c>
      <c r="C34" s="5">
        <v>-0.022827282728272</v>
      </c>
      <c r="D34" s="5">
        <v>0.057125855400178</v>
      </c>
      <c r="E34" s="5">
        <v>-0.154047619047619</v>
      </c>
      <c r="F34" s="5">
        <v>-0.022827282728272</v>
      </c>
      <c r="G34" s="5">
        <v>-0.184717760440568</v>
      </c>
      <c r="H34" s="5">
        <v>-0.116608652411735</v>
      </c>
      <c r="I34" s="5">
        <v>0.847633905356214</v>
      </c>
    </row>
    <row r="35">
      <c r="A35" s="2" t="s">
        <v>55</v>
      </c>
      <c r="B35" s="8" t="str">
        <f>HYPERLINK("https://www.suredividend.com/sure-analysis-research-database/","Adaptive Biotechnologies Corp")</f>
        <v>Adaptive Biotechnologies Corp</v>
      </c>
      <c r="C35" s="5">
        <v>-0.157142857142857</v>
      </c>
      <c r="D35" s="5">
        <v>-0.028235294117647</v>
      </c>
      <c r="E35" s="5">
        <v>-0.488228004956629</v>
      </c>
      <c r="F35" s="5">
        <v>-0.157142857142857</v>
      </c>
      <c r="G35" s="5">
        <v>-0.558760683760683</v>
      </c>
      <c r="H35" s="5">
        <v>-0.725398936170212</v>
      </c>
      <c r="I35" s="5">
        <v>-0.897518610421836</v>
      </c>
    </row>
    <row r="36">
      <c r="A36" s="2" t="s">
        <v>56</v>
      </c>
      <c r="B36" s="8" t="str">
        <f>HYPERLINK("https://www.suredividend.com/sure-analysis-research-database/","AdTheorent Holding Company Inc")</f>
        <v>AdTheorent Holding Company Inc</v>
      </c>
      <c r="C36" s="5">
        <v>0.958620689655172</v>
      </c>
      <c r="D36" s="5">
        <v>1.40677966101694</v>
      </c>
      <c r="E36" s="5">
        <v>0.808917197452229</v>
      </c>
      <c r="F36" s="5">
        <v>0.958620689655172</v>
      </c>
      <c r="G36" s="5">
        <v>0.526881720430107</v>
      </c>
      <c r="H36" s="5">
        <v>-0.350114416475972</v>
      </c>
      <c r="I36" s="5">
        <v>-0.721841332027424</v>
      </c>
    </row>
    <row r="37">
      <c r="A37" s="2" t="s">
        <v>57</v>
      </c>
      <c r="B37" s="8" t="str">
        <f>HYPERLINK("https://www.suredividend.com/sure-analysis-research-database/","ADTRAN Holdings Inc")</f>
        <v>ADTRAN Holdings Inc</v>
      </c>
      <c r="C37" s="5">
        <v>-0.019073569482288</v>
      </c>
      <c r="D37" s="5">
        <v>0.128526645768025</v>
      </c>
      <c r="E37" s="5">
        <v>-0.255590823089091</v>
      </c>
      <c r="F37" s="5">
        <v>-0.019073569482288</v>
      </c>
      <c r="G37" s="5">
        <v>-0.599784328221319</v>
      </c>
      <c r="H37" s="5">
        <v>-0.624929674313933</v>
      </c>
      <c r="I37" s="5">
        <v>-0.624929674313933</v>
      </c>
    </row>
    <row r="38">
      <c r="A38" s="2" t="s">
        <v>58</v>
      </c>
      <c r="B38" s="8" t="str">
        <f>HYPERLINK("https://www.suredividend.com/sure-analysis-research-database/","Addus HomeCare Corporation")</f>
        <v>Addus HomeCare Corporation</v>
      </c>
      <c r="C38" s="5">
        <v>-0.04200323101777</v>
      </c>
      <c r="D38" s="5">
        <v>0.085682900036616</v>
      </c>
      <c r="E38" s="5">
        <v>-0.018103543437465</v>
      </c>
      <c r="F38" s="5">
        <v>-0.04200323101777</v>
      </c>
      <c r="G38" s="5">
        <v>-0.164003759398496</v>
      </c>
      <c r="H38" s="5">
        <v>0.167476046725292</v>
      </c>
      <c r="I38" s="5">
        <v>0.513527309851965</v>
      </c>
    </row>
    <row r="39">
      <c r="A39" s="2" t="s">
        <v>59</v>
      </c>
      <c r="B39" s="8" t="str">
        <f>HYPERLINK("https://www.suredividend.com/sure-analysis-research-database/","Advantage Solutions Inc.")</f>
        <v>Advantage Solutions Inc.</v>
      </c>
      <c r="C39" s="5">
        <v>0.209944751381215</v>
      </c>
      <c r="D39" s="5">
        <v>1.02777777777777</v>
      </c>
      <c r="E39" s="5">
        <v>0.7109375</v>
      </c>
      <c r="F39" s="5">
        <v>0.209944751381215</v>
      </c>
      <c r="G39" s="5">
        <v>0.640449438202247</v>
      </c>
      <c r="H39" s="5">
        <v>-0.344311377245509</v>
      </c>
      <c r="I39" s="5">
        <v>-0.557575757575757</v>
      </c>
    </row>
    <row r="40">
      <c r="A40" s="2" t="s">
        <v>60</v>
      </c>
      <c r="B40" s="8" t="str">
        <f>HYPERLINK("https://www.suredividend.com/sure-analysis-research-database/","Advanced Energy Industries Inc.")</f>
        <v>Advanced Energy Industries Inc.</v>
      </c>
      <c r="C40" s="5">
        <v>-0.01184355490268</v>
      </c>
      <c r="D40" s="5">
        <v>0.228020733617737</v>
      </c>
      <c r="E40" s="5">
        <v>-0.108985561476519</v>
      </c>
      <c r="F40" s="5">
        <v>-0.01184355490268</v>
      </c>
      <c r="G40" s="5">
        <v>0.159052899893711</v>
      </c>
      <c r="H40" s="5">
        <v>0.328445621115904</v>
      </c>
      <c r="I40" s="5">
        <v>1.21098776489535</v>
      </c>
    </row>
    <row r="41">
      <c r="A41" s="2" t="s">
        <v>61</v>
      </c>
      <c r="B41" s="8" t="str">
        <f>HYPERLINK("https://www.suredividend.com/sure-analysis-AEL/","American Equity Investment Life Holding Co")</f>
        <v>American Equity Investment Life Holding Co</v>
      </c>
      <c r="C41" s="5">
        <v>-0.005376344086021</v>
      </c>
      <c r="D41" s="5">
        <v>0.051733939738487</v>
      </c>
      <c r="E41" s="5">
        <v>0.037577117218171</v>
      </c>
      <c r="F41" s="5">
        <v>-0.005376344086021</v>
      </c>
      <c r="G41" s="5">
        <v>0.170392239561366</v>
      </c>
      <c r="H41" s="5">
        <v>0.398337112622827</v>
      </c>
      <c r="I41" s="5">
        <v>0.854754353659881</v>
      </c>
    </row>
    <row r="42">
      <c r="A42" s="2" t="s">
        <v>62</v>
      </c>
      <c r="B42" s="8" t="str">
        <f>HYPERLINK("https://www.suredividend.com/sure-analysis-research-database/","American Eagle Outfitters Inc.")</f>
        <v>American Eagle Outfitters Inc.</v>
      </c>
      <c r="C42" s="5">
        <v>-0.025146465799284</v>
      </c>
      <c r="D42" s="5">
        <v>0.186191572832162</v>
      </c>
      <c r="E42" s="5">
        <v>0.485152101309107</v>
      </c>
      <c r="F42" s="5">
        <v>-0.025146465799284</v>
      </c>
      <c r="G42" s="5">
        <v>0.34581549854258</v>
      </c>
      <c r="H42" s="5">
        <v>-0.034771758834192</v>
      </c>
      <c r="I42" s="5">
        <v>0.092966096724833</v>
      </c>
    </row>
    <row r="43">
      <c r="A43" s="2" t="s">
        <v>63</v>
      </c>
      <c r="B43" s="8" t="str">
        <f>HYPERLINK("https://www.suredividend.com/sure-analysis-research-database/","Aeva Technologies Inc")</f>
        <v>Aeva Technologies Inc</v>
      </c>
      <c r="C43" s="5">
        <v>0.142140688927015</v>
      </c>
      <c r="D43" s="5">
        <v>0.681367787060423</v>
      </c>
      <c r="E43" s="5">
        <v>-0.290655737704918</v>
      </c>
      <c r="F43" s="5">
        <v>0.142140688927015</v>
      </c>
      <c r="G43" s="5">
        <v>-0.490941176470588</v>
      </c>
      <c r="H43" s="5">
        <v>-0.818574423480083</v>
      </c>
      <c r="I43" s="5">
        <v>-0.912142131979695</v>
      </c>
    </row>
    <row r="44">
      <c r="A44" s="2" t="s">
        <v>64</v>
      </c>
      <c r="B44" s="8" t="str">
        <f>HYPERLINK("https://www.suredividend.com/sure-analysis-research-database/","AFC Gamma Inc")</f>
        <v>AFC Gamma Inc</v>
      </c>
      <c r="C44" s="5">
        <v>-0.005818786367414</v>
      </c>
      <c r="D44" s="5">
        <v>0.212391533533371</v>
      </c>
      <c r="E44" s="5">
        <v>-0.022028881220664</v>
      </c>
      <c r="F44" s="5">
        <v>-0.005818786367414</v>
      </c>
      <c r="G44" s="5">
        <v>-0.032417257922285</v>
      </c>
      <c r="H44" s="5">
        <v>-0.079454753969658</v>
      </c>
      <c r="I44" s="5">
        <v>-0.20710686820472</v>
      </c>
    </row>
    <row r="45">
      <c r="A45" s="2" t="s">
        <v>65</v>
      </c>
      <c r="B45" s="8" t="str">
        <f>HYPERLINK("https://www.suredividend.com/sure-analysis-research-database/","Affimed N.V.")</f>
        <v>Affimed N.V.</v>
      </c>
      <c r="C45" s="5">
        <v>-0.103999999999999</v>
      </c>
      <c r="D45" s="5">
        <v>0.764891270091396</v>
      </c>
      <c r="E45" s="5">
        <v>-0.057239057239057</v>
      </c>
      <c r="F45" s="5">
        <v>-0.103999999999999</v>
      </c>
      <c r="G45" s="5">
        <v>-0.537190082644628</v>
      </c>
      <c r="H45" s="5">
        <v>-0.854545454545454</v>
      </c>
      <c r="I45" s="5">
        <v>-0.823343848580441</v>
      </c>
    </row>
    <row r="46">
      <c r="A46" s="2" t="s">
        <v>66</v>
      </c>
      <c r="B46" s="8" t="str">
        <f>HYPERLINK("https://www.suredividend.com/sure-analysis-research-database/","Agenus Inc")</f>
        <v>Agenus Inc</v>
      </c>
      <c r="C46" s="5">
        <v>-0.161130571325039</v>
      </c>
      <c r="D46" s="5">
        <v>-0.112573473038589</v>
      </c>
      <c r="E46" s="5">
        <v>-0.546078431372549</v>
      </c>
      <c r="F46" s="5">
        <v>-0.161130571325039</v>
      </c>
      <c r="G46" s="5">
        <v>-0.725656725261702</v>
      </c>
      <c r="H46" s="5">
        <v>-0.725656725261702</v>
      </c>
      <c r="I46" s="5">
        <v>-0.785899253961403</v>
      </c>
    </row>
    <row r="47">
      <c r="A47" s="2" t="s">
        <v>67</v>
      </c>
      <c r="B47" s="8" t="str">
        <f>HYPERLINK("https://www.suredividend.com/sure-analysis-research-database/","Agios Pharmaceuticals Inc")</f>
        <v>Agios Pharmaceuticals Inc</v>
      </c>
      <c r="C47" s="5">
        <v>0.071845532105972</v>
      </c>
      <c r="D47" s="5">
        <v>0.195292939409113</v>
      </c>
      <c r="E47" s="5">
        <v>-0.101956358164033</v>
      </c>
      <c r="F47" s="5">
        <v>0.071845532105972</v>
      </c>
      <c r="G47" s="5">
        <v>-0.223739837398374</v>
      </c>
      <c r="H47" s="5">
        <v>-0.205921490352628</v>
      </c>
      <c r="I47" s="5">
        <v>-0.525258552108194</v>
      </c>
    </row>
    <row r="48">
      <c r="A48" s="2" t="s">
        <v>68</v>
      </c>
      <c r="B48" s="8" t="str">
        <f>HYPERLINK("https://www.suredividend.com/sure-analysis-AGM/","Federal Agricultural Mortgage Corp.")</f>
        <v>Federal Agricultural Mortgage Corp.</v>
      </c>
      <c r="C48" s="5">
        <v>0.002614789247986</v>
      </c>
      <c r="D48" s="5">
        <v>0.330995136161107</v>
      </c>
      <c r="E48" s="5">
        <v>0.213283338870694</v>
      </c>
      <c r="F48" s="5">
        <v>0.002614789247986</v>
      </c>
      <c r="G48" s="5">
        <v>0.492335163594868</v>
      </c>
      <c r="H48" s="5">
        <v>0.711593160055207</v>
      </c>
      <c r="I48" s="5">
        <v>2.28968704046562</v>
      </c>
    </row>
    <row r="49">
      <c r="A49" s="2" t="s">
        <v>69</v>
      </c>
      <c r="B49" s="8" t="str">
        <f>HYPERLINK("https://www.suredividend.com/sure-analysis-research-database/","Agiliti Inc")</f>
        <v>Agiliti Inc</v>
      </c>
      <c r="C49" s="5">
        <v>-0.047979797979798</v>
      </c>
      <c r="D49" s="5">
        <v>0.428030303030303</v>
      </c>
      <c r="E49" s="5">
        <v>-0.537706928264868</v>
      </c>
      <c r="F49" s="5">
        <v>-0.047979797979798</v>
      </c>
      <c r="G49" s="5">
        <v>-0.590662323561346</v>
      </c>
      <c r="H49" s="5">
        <v>-0.589324618736383</v>
      </c>
      <c r="I49" s="5">
        <v>-0.540243902439024</v>
      </c>
    </row>
    <row r="50">
      <c r="A50" s="2" t="s">
        <v>70</v>
      </c>
      <c r="B50" s="8" t="str">
        <f>HYPERLINK("https://www.suredividend.com/sure-analysis-research-database/","Argan, Inc.")</f>
        <v>Argan, Inc.</v>
      </c>
      <c r="C50" s="5">
        <v>-0.042656638584594</v>
      </c>
      <c r="D50" s="5">
        <v>0.004575899659798</v>
      </c>
      <c r="E50" s="5">
        <v>0.199018152326499</v>
      </c>
      <c r="F50" s="5">
        <v>-0.042656638584594</v>
      </c>
      <c r="G50" s="5">
        <v>0.194489778388593</v>
      </c>
      <c r="H50" s="5">
        <v>0.19634911886871</v>
      </c>
      <c r="I50" s="5">
        <v>0.214353936416973</v>
      </c>
    </row>
    <row r="51">
      <c r="A51" s="2" t="s">
        <v>71</v>
      </c>
      <c r="B51" s="8" t="str">
        <f>HYPERLINK("https://www.suredividend.com/sure-analysis-research-database/","Agilysys, Inc")</f>
        <v>Agilysys, Inc</v>
      </c>
      <c r="C51" s="5">
        <v>0.02016033954256</v>
      </c>
      <c r="D51" s="5">
        <v>0.075441213025105</v>
      </c>
      <c r="E51" s="5">
        <v>0.203142380422691</v>
      </c>
      <c r="F51" s="5">
        <v>0.02016033954256</v>
      </c>
      <c r="G51" s="5">
        <v>0.042278968923151</v>
      </c>
      <c r="H51" s="5">
        <v>1.34181326116373</v>
      </c>
      <c r="I51" s="5">
        <v>3.90811117413499</v>
      </c>
    </row>
    <row r="52">
      <c r="A52" s="2" t="s">
        <v>72</v>
      </c>
      <c r="B52" s="8" t="str">
        <f>HYPERLINK("https://www.suredividend.com/sure-analysis-research-database/","AdaptHealth Corp")</f>
        <v>AdaptHealth Corp</v>
      </c>
      <c r="C52" s="5">
        <v>0.00960219478738</v>
      </c>
      <c r="D52" s="5">
        <v>-0.005405405405405</v>
      </c>
      <c r="E52" s="5">
        <v>-0.458425312729948</v>
      </c>
      <c r="F52" s="5">
        <v>0.00960219478738</v>
      </c>
      <c r="G52" s="5">
        <v>-0.652666352052855</v>
      </c>
      <c r="H52" s="5">
        <v>-0.588136541689983</v>
      </c>
      <c r="I52" s="5">
        <v>-0.68560444254592</v>
      </c>
    </row>
    <row r="53">
      <c r="A53" s="2" t="s">
        <v>73</v>
      </c>
      <c r="B53" s="8" t="str">
        <f>HYPERLINK("https://www.suredividend.com/sure-analysis-research-database/","Armada Hoffler Properties Inc")</f>
        <v>Armada Hoffler Properties Inc</v>
      </c>
      <c r="C53" s="5">
        <v>-0.012126111560226</v>
      </c>
      <c r="D53" s="5">
        <v>0.252138985378049</v>
      </c>
      <c r="E53" s="5">
        <v>0.035935605835827</v>
      </c>
      <c r="F53" s="5">
        <v>-0.012126111560226</v>
      </c>
      <c r="G53" s="5">
        <v>0.045606229143492</v>
      </c>
      <c r="H53" s="5">
        <v>0.014065806398074</v>
      </c>
      <c r="I53" s="5">
        <v>0.079190695292008</v>
      </c>
    </row>
    <row r="54">
      <c r="A54" s="2" t="s">
        <v>74</v>
      </c>
      <c r="B54" s="8" t="str">
        <f>HYPERLINK("https://www.suredividend.com/sure-analysis-research-database/","Ashford Hospitality Trust Inc")</f>
        <v>Ashford Hospitality Trust Inc</v>
      </c>
      <c r="C54" s="5">
        <v>-0.288659793814433</v>
      </c>
      <c r="D54" s="5">
        <v>-0.299492385786802</v>
      </c>
      <c r="E54" s="5">
        <v>-0.636842105263157</v>
      </c>
      <c r="F54" s="5">
        <v>-0.288659793814433</v>
      </c>
      <c r="G54" s="5">
        <v>-0.792481203007518</v>
      </c>
      <c r="H54" s="5">
        <v>-0.80672268907563</v>
      </c>
      <c r="I54" s="5">
        <v>-0.996790534962005</v>
      </c>
    </row>
    <row r="55">
      <c r="A55" s="2" t="s">
        <v>75</v>
      </c>
      <c r="B55" s="8" t="str">
        <f>HYPERLINK("https://www.suredividend.com/sure-analysis-research-database/","C3.ai Inc")</f>
        <v>C3.ai Inc</v>
      </c>
      <c r="C55" s="5">
        <v>-0.092302333681644</v>
      </c>
      <c r="D55" s="5">
        <v>0.048692152917504</v>
      </c>
      <c r="E55" s="5">
        <v>-0.344567404426559</v>
      </c>
      <c r="F55" s="5">
        <v>-0.092302333681644</v>
      </c>
      <c r="G55" s="5">
        <v>0.466516601012943</v>
      </c>
      <c r="H55" s="5">
        <v>0.11701671667381</v>
      </c>
      <c r="I55" s="5">
        <v>-0.718239809709157</v>
      </c>
    </row>
    <row r="56">
      <c r="A56" s="2" t="s">
        <v>76</v>
      </c>
      <c r="B56" s="8" t="str">
        <f>HYPERLINK("https://www.suredividend.com/sure-analysis-research-database/","Albany International Corp.")</f>
        <v>Albany International Corp.</v>
      </c>
      <c r="C56" s="5">
        <v>-0.064141722663408</v>
      </c>
      <c r="D56" s="5">
        <v>0.17445634119541</v>
      </c>
      <c r="E56" s="5">
        <v>-0.028583445971295</v>
      </c>
      <c r="F56" s="5">
        <v>-0.064141722663408</v>
      </c>
      <c r="G56" s="5">
        <v>-0.138842852873474</v>
      </c>
      <c r="H56" s="5">
        <v>0.149349114793618</v>
      </c>
      <c r="I56" s="5">
        <v>0.44049044374377</v>
      </c>
    </row>
    <row r="57">
      <c r="A57" s="2" t="s">
        <v>77</v>
      </c>
      <c r="B57" s="8" t="str">
        <f>HYPERLINK("https://www.suredividend.com/sure-analysis-research-database/","Arteris Inc")</f>
        <v>Arteris Inc</v>
      </c>
      <c r="C57" s="5">
        <v>0.069609507640068</v>
      </c>
      <c r="D57" s="5">
        <v>0.173184357541899</v>
      </c>
      <c r="E57" s="5">
        <v>-0.138166894664842</v>
      </c>
      <c r="F57" s="5">
        <v>0.069609507640068</v>
      </c>
      <c r="G57" s="5">
        <v>-0.009433962264151</v>
      </c>
      <c r="H57" s="5">
        <v>-0.538799414348462</v>
      </c>
      <c r="I57" s="5">
        <v>-0.653846153846153</v>
      </c>
    </row>
    <row r="58">
      <c r="A58" s="2" t="s">
        <v>78</v>
      </c>
      <c r="B58" s="8" t="str">
        <f>HYPERLINK("https://www.suredividend.com/sure-analysis-research-database/","AAR Corp.")</f>
        <v>AAR Corp.</v>
      </c>
      <c r="C58" s="5">
        <v>-0.04951923076923</v>
      </c>
      <c r="D58" s="5">
        <v>0.041622760800843</v>
      </c>
      <c r="E58" s="5">
        <v>0.017324185248713</v>
      </c>
      <c r="F58" s="5">
        <v>-0.04951923076923</v>
      </c>
      <c r="G58" s="5">
        <v>0.181474103585657</v>
      </c>
      <c r="H58" s="5">
        <v>0.504947982745496</v>
      </c>
      <c r="I58" s="5">
        <v>0.641635712427273</v>
      </c>
    </row>
    <row r="59">
      <c r="A59" s="2" t="s">
        <v>79</v>
      </c>
      <c r="B59" s="8" t="str">
        <f>HYPERLINK("https://www.suredividend.com/sure-analysis-research-database/","Airsculpt Technologies Inc")</f>
        <v>Airsculpt Technologies Inc</v>
      </c>
      <c r="C59" s="5">
        <v>0.034712950600801</v>
      </c>
      <c r="D59" s="5">
        <v>0.260162601626016</v>
      </c>
      <c r="E59" s="5">
        <v>-0.114285714285714</v>
      </c>
      <c r="F59" s="5">
        <v>0.034712950600801</v>
      </c>
      <c r="G59" s="5">
        <v>0.379003558718861</v>
      </c>
      <c r="H59" s="5">
        <v>-0.417074088003008</v>
      </c>
      <c r="I59" s="5">
        <v>-0.491179347790405</v>
      </c>
    </row>
    <row r="60">
      <c r="A60" s="2" t="s">
        <v>80</v>
      </c>
      <c r="B60" s="8" t="str">
        <f>HYPERLINK("https://www.suredividend.com/sure-analysis-AIT/","Applied Industrial Technologies Inc.")</f>
        <v>Applied Industrial Technologies Inc.</v>
      </c>
      <c r="C60" s="5">
        <v>0.036307834848572</v>
      </c>
      <c r="D60" s="5">
        <v>0.187131011608623</v>
      </c>
      <c r="E60" s="5">
        <v>0.251370522029043</v>
      </c>
      <c r="F60" s="5">
        <v>0.036307834848572</v>
      </c>
      <c r="G60" s="5">
        <v>0.285038592087132</v>
      </c>
      <c r="H60" s="5">
        <v>0.826653669689654</v>
      </c>
      <c r="I60" s="5">
        <v>2.27381224606277</v>
      </c>
    </row>
    <row r="61">
      <c r="A61" s="2" t="s">
        <v>81</v>
      </c>
      <c r="B61" s="8" t="str">
        <f>HYPERLINK("https://www.suredividend.com/sure-analysis-research-database/","Apartment Investment &amp; Management Co.")</f>
        <v>Apartment Investment &amp; Management Co.</v>
      </c>
      <c r="C61" s="5">
        <v>-0.016602809706257</v>
      </c>
      <c r="D61" s="5">
        <v>0.334488734835355</v>
      </c>
      <c r="E61" s="5">
        <v>-0.087677725118483</v>
      </c>
      <c r="F61" s="5">
        <v>-0.016602809706257</v>
      </c>
      <c r="G61" s="5">
        <v>0.011826544021025</v>
      </c>
      <c r="H61" s="5">
        <v>0.129827444535743</v>
      </c>
      <c r="I61" s="5">
        <v>0.317545600766572</v>
      </c>
    </row>
    <row r="62">
      <c r="A62" s="2" t="s">
        <v>82</v>
      </c>
      <c r="B62" s="8" t="str">
        <f>HYPERLINK("https://www.suredividend.com/sure-analysis-research-database/","Aerojet Rocketdyne Holdings Inc")</f>
        <v>Aerojet Rocketdyne Holdings Inc</v>
      </c>
      <c r="C62" s="5">
        <v>0.05359738372093</v>
      </c>
      <c r="D62" s="5">
        <v>0.028191489361702</v>
      </c>
      <c r="E62" s="5">
        <v>0.039992826398852</v>
      </c>
      <c r="F62" s="5">
        <v>0.036831753978187</v>
      </c>
      <c r="G62" s="5">
        <v>0.344228094575799</v>
      </c>
      <c r="H62" s="5">
        <v>0.239102564102564</v>
      </c>
      <c r="I62" s="5">
        <v>1.2926295064857</v>
      </c>
    </row>
    <row r="63">
      <c r="A63" s="2" t="s">
        <v>83</v>
      </c>
      <c r="B63" s="8" t="str">
        <f>HYPERLINK("https://www.suredividend.com/sure-analysis-research-database/","a.k.a. Brands Holding Corp")</f>
        <v>a.k.a. Brands Holding Corp</v>
      </c>
      <c r="C63" s="5">
        <v>0.222360248447204</v>
      </c>
      <c r="D63" s="5">
        <v>0.351648351648351</v>
      </c>
      <c r="E63" s="5">
        <v>0.690721649484536</v>
      </c>
      <c r="F63" s="5">
        <v>0.222360248447204</v>
      </c>
      <c r="G63" s="5">
        <v>-0.460526315789473</v>
      </c>
      <c r="H63" s="5">
        <v>-0.875757575757575</v>
      </c>
      <c r="I63" s="5">
        <v>-0.917917917917918</v>
      </c>
    </row>
    <row r="64">
      <c r="A64" s="2" t="s">
        <v>84</v>
      </c>
      <c r="B64" s="8" t="str">
        <f>HYPERLINK("https://www.suredividend.com/sure-analysis-AKR/","Acadia Realty Trust")</f>
        <v>Acadia Realty Trust</v>
      </c>
      <c r="C64" s="5">
        <v>0.032960565038257</v>
      </c>
      <c r="D64" s="5">
        <v>0.320511952326132</v>
      </c>
      <c r="E64" s="5">
        <v>0.154810393951557</v>
      </c>
      <c r="F64" s="5">
        <v>0.032960565038257</v>
      </c>
      <c r="G64" s="5">
        <v>0.180856002852894</v>
      </c>
      <c r="H64" s="5">
        <v>-0.029791750742167</v>
      </c>
      <c r="I64" s="5">
        <v>-0.243002626845585</v>
      </c>
    </row>
    <row r="65">
      <c r="A65" s="2" t="s">
        <v>85</v>
      </c>
      <c r="B65" s="8" t="str">
        <f>HYPERLINK("https://www.suredividend.com/sure-analysis-research-database/","Akero Therapeutics Inc")</f>
        <v>Akero Therapeutics Inc</v>
      </c>
      <c r="C65" s="5">
        <v>0.009421841541755</v>
      </c>
      <c r="D65" s="5">
        <v>1.07117750439367</v>
      </c>
      <c r="E65" s="5">
        <v>-0.444889307583608</v>
      </c>
      <c r="F65" s="5">
        <v>0.009421841541755</v>
      </c>
      <c r="G65" s="5">
        <v>-0.521421319796954</v>
      </c>
      <c r="H65" s="5">
        <v>0.427619624470018</v>
      </c>
      <c r="I65" s="5">
        <v>0.286572052401746</v>
      </c>
    </row>
    <row r="66">
      <c r="A66" s="2" t="s">
        <v>86</v>
      </c>
      <c r="B66" s="8" t="str">
        <f>HYPERLINK("https://www.suredividend.com/sure-analysis-research-database/","Akoustis Technologies Inc")</f>
        <v>Akoustis Technologies Inc</v>
      </c>
      <c r="C66" s="5">
        <v>-0.325179856115107</v>
      </c>
      <c r="D66" s="5">
        <v>0.135364131531168</v>
      </c>
      <c r="E66" s="5">
        <v>-0.764518828451882</v>
      </c>
      <c r="F66" s="5">
        <v>-0.325179856115107</v>
      </c>
      <c r="G66" s="5">
        <v>-0.841464788732394</v>
      </c>
      <c r="H66" s="5">
        <v>-0.888554455445544</v>
      </c>
      <c r="I66" s="5">
        <v>-0.921833333333333</v>
      </c>
    </row>
    <row r="67">
      <c r="A67" s="2" t="s">
        <v>87</v>
      </c>
      <c r="B67" s="8" t="str">
        <f>HYPERLINK("https://www.suredividend.com/sure-analysis-research-database/","Akoya Biosciences Inc")</f>
        <v>Akoya Biosciences Inc</v>
      </c>
      <c r="C67" s="5">
        <v>0.045081967213114</v>
      </c>
      <c r="D67" s="5">
        <v>0.629392971246006</v>
      </c>
      <c r="E67" s="5">
        <v>-0.258720930232558</v>
      </c>
      <c r="F67" s="5">
        <v>0.045081967213114</v>
      </c>
      <c r="G67" s="5">
        <v>-0.536784741144414</v>
      </c>
      <c r="H67" s="5">
        <v>-0.511961722488038</v>
      </c>
      <c r="I67" s="5">
        <v>-0.804222648752399</v>
      </c>
    </row>
    <row r="68">
      <c r="A68" s="2" t="s">
        <v>88</v>
      </c>
      <c r="B68" s="8" t="str">
        <f>HYPERLINK("https://www.suredividend.com/sure-analysis-research-database/","Alico Inc.")</f>
        <v>Alico Inc.</v>
      </c>
      <c r="C68" s="5">
        <v>0.033356258596974</v>
      </c>
      <c r="D68" s="5">
        <v>0.266116120333698</v>
      </c>
      <c r="E68" s="5">
        <v>0.16993899186688</v>
      </c>
      <c r="F68" s="5">
        <v>0.033356258596974</v>
      </c>
      <c r="G68" s="5">
        <v>0.165781500347212</v>
      </c>
      <c r="H68" s="5">
        <v>-0.098209623498766</v>
      </c>
      <c r="I68" s="5">
        <v>0.147047259873958</v>
      </c>
    </row>
    <row r="69">
      <c r="A69" s="2" t="s">
        <v>90</v>
      </c>
      <c r="B69" s="8" t="str">
        <f>HYPERLINK("https://www.suredividend.com/sure-analysis-ALE/","Allete, Inc.")</f>
        <v>Allete, Inc.</v>
      </c>
      <c r="C69" s="5">
        <v>-0.024198822759973</v>
      </c>
      <c r="D69" s="5">
        <v>0.149378800046992</v>
      </c>
      <c r="E69" s="5">
        <v>0.069137434679249</v>
      </c>
      <c r="F69" s="5">
        <v>-0.024198822759973</v>
      </c>
      <c r="G69" s="5">
        <v>0.025045601475735</v>
      </c>
      <c r="H69" s="5">
        <v>0.02498398462524</v>
      </c>
      <c r="I69" s="5">
        <v>-0.02922886482565</v>
      </c>
    </row>
    <row r="70">
      <c r="A70" s="2" t="s">
        <v>92</v>
      </c>
      <c r="B70" s="8" t="str">
        <f>HYPERLINK("https://www.suredividend.com/sure-analysis-research-database/","Alector Inc")</f>
        <v>Alector Inc</v>
      </c>
      <c r="C70" s="5">
        <v>-0.223057644110275</v>
      </c>
      <c r="D70" s="5">
        <v>0.208576998050682</v>
      </c>
      <c r="E70" s="5">
        <v>-0.026687598116169</v>
      </c>
      <c r="F70" s="5">
        <v>-0.223057644110275</v>
      </c>
      <c r="G70" s="5">
        <v>-0.323144104803493</v>
      </c>
      <c r="H70" s="5">
        <v>-0.577656675749318</v>
      </c>
      <c r="I70" s="5">
        <v>-0.655555555555555</v>
      </c>
    </row>
    <row r="71">
      <c r="A71" s="2" t="s">
        <v>93</v>
      </c>
      <c r="B71" s="8" t="str">
        <f>HYPERLINK("https://www.suredividend.com/sure-analysis-research-database/","Alexander &amp; Baldwin Inc.")</f>
        <v>Alexander &amp; Baldwin Inc.</v>
      </c>
      <c r="C71" s="5">
        <v>-0.064143007360672</v>
      </c>
      <c r="D71" s="5">
        <v>0.14954405724471</v>
      </c>
      <c r="E71" s="5">
        <v>-0.039649526029274</v>
      </c>
      <c r="F71" s="5">
        <v>-0.064143007360672</v>
      </c>
      <c r="G71" s="5">
        <v>-0.040063851932545</v>
      </c>
      <c r="H71" s="5">
        <v>-0.137438094222773</v>
      </c>
      <c r="I71" s="5">
        <v>-0.06567074867068</v>
      </c>
    </row>
    <row r="72">
      <c r="A72" s="2" t="s">
        <v>94</v>
      </c>
      <c r="B72" s="8" t="str">
        <f>HYPERLINK("https://www.suredividend.com/sure-analysis-research-database/","Alamo Group Inc.")</f>
        <v>Alamo Group Inc.</v>
      </c>
      <c r="C72" s="5">
        <v>0.033597024353388</v>
      </c>
      <c r="D72" s="5">
        <v>0.366964899425984</v>
      </c>
      <c r="E72" s="5">
        <v>0.137926893035291</v>
      </c>
      <c r="F72" s="5">
        <v>0.033597024353388</v>
      </c>
      <c r="G72" s="5">
        <v>0.41516325545598</v>
      </c>
      <c r="H72" s="5">
        <v>0.555185540652221</v>
      </c>
      <c r="I72" s="5">
        <v>1.59908743844282</v>
      </c>
    </row>
    <row r="73">
      <c r="A73" s="2" t="s">
        <v>95</v>
      </c>
      <c r="B73" s="8" t="str">
        <f>HYPERLINK("https://www.suredividend.com/sure-analysis-research-database/","Allegiant Travel")</f>
        <v>Allegiant Travel</v>
      </c>
      <c r="C73" s="5">
        <v>-0.027357462776903</v>
      </c>
      <c r="D73" s="5">
        <v>0.213837903164891</v>
      </c>
      <c r="E73" s="5">
        <v>-0.318806287498505</v>
      </c>
      <c r="F73" s="5">
        <v>-0.027357462776903</v>
      </c>
      <c r="G73" s="5">
        <v>-0.038064396410848</v>
      </c>
      <c r="H73" s="5">
        <v>-0.517155550427649</v>
      </c>
      <c r="I73" s="5">
        <v>-0.320261371557739</v>
      </c>
    </row>
    <row r="74">
      <c r="A74" s="2" t="s">
        <v>96</v>
      </c>
      <c r="B74" s="8" t="str">
        <f>HYPERLINK("https://www.suredividend.com/sure-analysis-research-database/","Alignment Healthcare Inc")</f>
        <v>Alignment Healthcare Inc</v>
      </c>
      <c r="C74" s="5">
        <v>-0.177700348432055</v>
      </c>
      <c r="D74" s="5">
        <v>0.035087719298245</v>
      </c>
      <c r="E74" s="5">
        <v>0.231304347826087</v>
      </c>
      <c r="F74" s="5">
        <v>-0.177700348432055</v>
      </c>
      <c r="G74" s="5">
        <v>-0.403538331929233</v>
      </c>
      <c r="H74" s="5">
        <v>0.084226646248085</v>
      </c>
      <c r="I74" s="5">
        <v>-0.590987868284228</v>
      </c>
    </row>
    <row r="75">
      <c r="A75" s="2" t="s">
        <v>97</v>
      </c>
      <c r="B75" s="8" t="str">
        <f>HYPERLINK("https://www.suredividend.com/sure-analysis-research-database/","Alight Inc.")</f>
        <v>Alight Inc.</v>
      </c>
      <c r="C75" s="5">
        <v>0.073856975381008</v>
      </c>
      <c r="D75" s="5">
        <v>0.400611620795107</v>
      </c>
      <c r="E75" s="5">
        <v>-0.066258919469928</v>
      </c>
      <c r="F75" s="5">
        <v>0.073856975381008</v>
      </c>
      <c r="G75" s="5">
        <v>-0.03273495248152</v>
      </c>
      <c r="H75" s="5">
        <v>-0.00542888165038</v>
      </c>
      <c r="I75" s="5">
        <v>-0.119230769230769</v>
      </c>
    </row>
    <row r="76">
      <c r="A76" s="2" t="s">
        <v>98</v>
      </c>
      <c r="B76" s="8" t="str">
        <f>HYPERLINK("https://www.suredividend.com/sure-analysis-research-database/","Alkermes plc")</f>
        <v>Alkermes plc</v>
      </c>
      <c r="C76" s="5">
        <v>0.020547945205479</v>
      </c>
      <c r="D76" s="5">
        <v>0.184518828451882</v>
      </c>
      <c r="E76" s="5">
        <v>-0.015646731571627</v>
      </c>
      <c r="F76" s="5">
        <v>0.020547945205479</v>
      </c>
      <c r="G76" s="5">
        <v>-0.02446588559614</v>
      </c>
      <c r="H76" s="5">
        <v>0.128787878787878</v>
      </c>
      <c r="I76" s="5">
        <v>-0.133190447030006</v>
      </c>
    </row>
    <row r="77">
      <c r="A77" s="2" t="s">
        <v>99</v>
      </c>
      <c r="B77" s="8" t="str">
        <f>HYPERLINK("https://www.suredividend.com/sure-analysis-research-database/","Alkami Technology Inc")</f>
        <v>Alkami Technology Inc</v>
      </c>
      <c r="C77" s="5">
        <v>0.079175257731958</v>
      </c>
      <c r="D77" s="5">
        <v>0.432402846195949</v>
      </c>
      <c r="E77" s="5">
        <v>0.583182093163944</v>
      </c>
      <c r="F77" s="5">
        <v>0.079175257731958</v>
      </c>
      <c r="G77" s="5">
        <v>0.597680097680097</v>
      </c>
      <c r="H77" s="5">
        <v>0.848163841807909</v>
      </c>
      <c r="I77" s="5">
        <v>-0.391395348837209</v>
      </c>
    </row>
    <row r="78">
      <c r="A78" s="2" t="s">
        <v>100</v>
      </c>
      <c r="B78" s="8" t="str">
        <f>HYPERLINK("https://www.suredividend.com/sure-analysis-research-database/","Allogene Therapeutics Inc")</f>
        <v>Allogene Therapeutics Inc</v>
      </c>
      <c r="C78" s="5">
        <v>0.102803738317757</v>
      </c>
      <c r="D78" s="5">
        <v>0.399209486166008</v>
      </c>
      <c r="E78" s="5">
        <v>-0.280487804878048</v>
      </c>
      <c r="F78" s="5">
        <v>0.102803738317757</v>
      </c>
      <c r="G78" s="5">
        <v>-0.553030303030303</v>
      </c>
      <c r="H78" s="5">
        <v>-0.666666666666666</v>
      </c>
      <c r="I78" s="5">
        <v>-0.881446751507032</v>
      </c>
    </row>
    <row r="79">
      <c r="A79" s="2" t="s">
        <v>101</v>
      </c>
      <c r="B79" s="8" t="str">
        <f>HYPERLINK("https://www.suredividend.com/sure-analysis-research-database/","Alpine Immune Sciences Inc")</f>
        <v>Alpine Immune Sciences Inc</v>
      </c>
      <c r="C79" s="5">
        <v>0.369359916054564</v>
      </c>
      <c r="D79" s="5">
        <v>1.80645161290322</v>
      </c>
      <c r="E79" s="5">
        <v>1.13934426229508</v>
      </c>
      <c r="F79" s="5">
        <v>0.369359916054564</v>
      </c>
      <c r="G79" s="5">
        <v>2.42070773263433</v>
      </c>
      <c r="H79" s="5">
        <v>2.23019801980198</v>
      </c>
      <c r="I79" s="5">
        <v>2.70212765957446</v>
      </c>
    </row>
    <row r="80">
      <c r="A80" s="2" t="s">
        <v>102</v>
      </c>
      <c r="B80" s="8" t="str">
        <f>HYPERLINK("https://www.suredividend.com/sure-analysis-research-database/","Alarm.com Holdings Inc")</f>
        <v>Alarm.com Holdings Inc</v>
      </c>
      <c r="C80" s="5">
        <v>-0.026617146394305</v>
      </c>
      <c r="D80" s="5">
        <v>0.178123244053193</v>
      </c>
      <c r="E80" s="5">
        <v>0.140319071791153</v>
      </c>
      <c r="F80" s="5">
        <v>-0.026617146394305</v>
      </c>
      <c r="G80" s="5">
        <v>0.191287878787878</v>
      </c>
      <c r="H80" s="5">
        <v>-0.113834883065652</v>
      </c>
      <c r="I80" s="5">
        <v>0.003349816557664</v>
      </c>
    </row>
    <row r="81">
      <c r="A81" s="2" t="s">
        <v>103</v>
      </c>
      <c r="B81" s="8" t="str">
        <f>HYPERLINK("https://www.suredividend.com/sure-analysis-ALRS/","Alerus Financial Corp")</f>
        <v>Alerus Financial Corp</v>
      </c>
      <c r="C81" s="5">
        <v>0.071907101384546</v>
      </c>
      <c r="D81" s="5">
        <v>0.406947978098509</v>
      </c>
      <c r="E81" s="5">
        <v>0.261557708380422</v>
      </c>
      <c r="F81" s="5">
        <v>0.071907101384546</v>
      </c>
      <c r="G81" s="5">
        <v>0.284727798297735</v>
      </c>
      <c r="H81" s="5">
        <v>-0.070703941764113</v>
      </c>
      <c r="I81" s="5">
        <v>-0.480512733931609</v>
      </c>
    </row>
    <row r="82">
      <c r="A82" s="2" t="s">
        <v>104</v>
      </c>
      <c r="B82" s="8" t="str">
        <f>HYPERLINK("https://www.suredividend.com/sure-analysis-research-database/","Alta Equipment Group Inc")</f>
        <v>Alta Equipment Group Inc</v>
      </c>
      <c r="C82" s="5">
        <v>-0.093775262732417</v>
      </c>
      <c r="D82" s="5">
        <v>0.2302323284424</v>
      </c>
      <c r="E82" s="5">
        <v>-0.301649005426081</v>
      </c>
      <c r="F82" s="5">
        <v>-0.093775262732417</v>
      </c>
      <c r="G82" s="5">
        <v>-0.313516558886929</v>
      </c>
      <c r="H82" s="5">
        <v>-0.168835405683949</v>
      </c>
      <c r="I82" s="5">
        <v>0.155670103092783</v>
      </c>
    </row>
    <row r="83">
      <c r="A83" s="2" t="s">
        <v>105</v>
      </c>
      <c r="B83" s="8" t="str">
        <f>HYPERLINK("https://www.suredividend.com/sure-analysis-research-database/","Alto Ingredients Inc")</f>
        <v>Alto Ingredients Inc</v>
      </c>
      <c r="C83" s="5">
        <v>-0.248120300751879</v>
      </c>
      <c r="D83" s="5">
        <v>-0.481865284974093</v>
      </c>
      <c r="E83" s="5">
        <v>-0.501246882793017</v>
      </c>
      <c r="F83" s="5">
        <v>-0.248120300751879</v>
      </c>
      <c r="G83" s="5">
        <v>-0.382716049382716</v>
      </c>
      <c r="H83" s="5">
        <v>-0.598393574297188</v>
      </c>
      <c r="I83" s="5">
        <v>0.428571428571428</v>
      </c>
    </row>
    <row r="84">
      <c r="A84" s="2" t="s">
        <v>106</v>
      </c>
      <c r="B84" s="8" t="str">
        <f>HYPERLINK("https://www.suredividend.com/sure-analysis-research-database/","Altair Engineering Inc")</f>
        <v>Altair Engineering Inc</v>
      </c>
      <c r="C84" s="5">
        <v>0.036244800950683</v>
      </c>
      <c r="D84" s="5">
        <v>0.465792570179862</v>
      </c>
      <c r="E84" s="5">
        <v>0.177423710504996</v>
      </c>
      <c r="F84" s="5">
        <v>0.036244800950683</v>
      </c>
      <c r="G84" s="5">
        <v>0.637251220428088</v>
      </c>
      <c r="H84" s="5">
        <v>0.458681833389093</v>
      </c>
      <c r="I84" s="5">
        <v>1.83946597199609</v>
      </c>
    </row>
    <row r="85">
      <c r="A85" s="2" t="s">
        <v>107</v>
      </c>
      <c r="B85" s="8" t="str">
        <f>HYPERLINK("https://www.suredividend.com/sure-analysis-research-database/","AlloVir Inc")</f>
        <v>AlloVir Inc</v>
      </c>
      <c r="C85" s="5">
        <v>0.040011768167107</v>
      </c>
      <c r="D85" s="5">
        <v>-0.472388059701492</v>
      </c>
      <c r="E85" s="5">
        <v>-0.764333333333333</v>
      </c>
      <c r="F85" s="5">
        <v>0.040011768167107</v>
      </c>
      <c r="G85" s="5">
        <v>-0.877043478260869</v>
      </c>
      <c r="H85" s="5">
        <v>-0.907581699346405</v>
      </c>
      <c r="I85" s="5">
        <v>-0.972154391492713</v>
      </c>
    </row>
    <row r="86">
      <c r="A86" s="2" t="s">
        <v>108</v>
      </c>
      <c r="B86" s="8" t="str">
        <f>HYPERLINK("https://www.suredividend.com/sure-analysis-research-database/","Alexander`s Inc.")</f>
        <v>Alexander`s Inc.</v>
      </c>
      <c r="C86" s="5">
        <v>0.062415133211593</v>
      </c>
      <c r="D86" s="5">
        <v>0.295519466764415</v>
      </c>
      <c r="E86" s="5">
        <v>0.25089585974971</v>
      </c>
      <c r="F86" s="5">
        <v>0.062415133211593</v>
      </c>
      <c r="G86" s="5">
        <v>0.031925566740434</v>
      </c>
      <c r="H86" s="5">
        <v>-0.016528732184606</v>
      </c>
      <c r="I86" s="5">
        <v>-0.031164562399364</v>
      </c>
    </row>
    <row r="87">
      <c r="A87" s="2" t="s">
        <v>109</v>
      </c>
      <c r="B87" s="8" t="str">
        <f>HYPERLINK("https://www.suredividend.com/sure-analysis-research-database/","Alx Oncology Holdings Inc")</f>
        <v>Alx Oncology Holdings Inc</v>
      </c>
      <c r="C87" s="5">
        <v>0.005372733378106</v>
      </c>
      <c r="D87" s="5">
        <v>1.23934181002243</v>
      </c>
      <c r="E87" s="5">
        <v>1.52020202020201</v>
      </c>
      <c r="F87" s="5">
        <v>0.005372733378106</v>
      </c>
      <c r="G87" s="5">
        <v>0.630718954248366</v>
      </c>
      <c r="H87" s="5">
        <v>-0.015131578947368</v>
      </c>
      <c r="I87" s="5">
        <v>-0.501</v>
      </c>
    </row>
    <row r="88">
      <c r="A88" s="2" t="s">
        <v>110</v>
      </c>
      <c r="B88" s="8" t="str">
        <f>HYPERLINK("https://www.suredividend.com/sure-analysis-research-database/","Amalgamated Financial Corp")</f>
        <v>Amalgamated Financial Corp</v>
      </c>
      <c r="C88" s="5">
        <v>-0.004083147735709</v>
      </c>
      <c r="D88" s="5">
        <v>0.549004664911551</v>
      </c>
      <c r="E88" s="5">
        <v>0.367112859421257</v>
      </c>
      <c r="F88" s="5">
        <v>-0.004083147735709</v>
      </c>
      <c r="G88" s="5">
        <v>0.227058398466977</v>
      </c>
      <c r="H88" s="5">
        <v>0.730878406275804</v>
      </c>
      <c r="I88" s="5">
        <v>0.575427326588492</v>
      </c>
    </row>
    <row r="89">
      <c r="A89" s="2" t="s">
        <v>111</v>
      </c>
      <c r="B89" s="8" t="str">
        <f>HYPERLINK("https://www.suredividend.com/sure-analysis-research-database/","Ambarella Inc")</f>
        <v>Ambarella Inc</v>
      </c>
      <c r="C89" s="5">
        <v>-0.077826725403817</v>
      </c>
      <c r="D89" s="5">
        <v>0.207950416755717</v>
      </c>
      <c r="E89" s="5">
        <v>-0.301618682812306</v>
      </c>
      <c r="F89" s="5">
        <v>-0.077826725403817</v>
      </c>
      <c r="G89" s="5">
        <v>-0.369899665551839</v>
      </c>
      <c r="H89" s="5">
        <v>-0.563552123552123</v>
      </c>
      <c r="I89" s="5">
        <v>0.522219229733369</v>
      </c>
    </row>
    <row r="90">
      <c r="A90" s="2" t="s">
        <v>112</v>
      </c>
      <c r="B90" s="8" t="str">
        <f>HYPERLINK("https://www.suredividend.com/sure-analysis-research-database/","AMBAC Financial Group Inc.")</f>
        <v>AMBAC Financial Group Inc.</v>
      </c>
      <c r="C90" s="5">
        <v>0.008495145631068</v>
      </c>
      <c r="D90" s="5">
        <v>0.414468085106383</v>
      </c>
      <c r="E90" s="5">
        <v>0.182076813655761</v>
      </c>
      <c r="F90" s="5">
        <v>0.008495145631068</v>
      </c>
      <c r="G90" s="5">
        <v>-0.026932084309133</v>
      </c>
      <c r="H90" s="5">
        <v>0.215801024140453</v>
      </c>
      <c r="I90" s="5">
        <v>-0.10307609282245</v>
      </c>
    </row>
    <row r="91">
      <c r="A91" s="2" t="s">
        <v>113</v>
      </c>
      <c r="B91" s="8" t="str">
        <f>HYPERLINK("https://www.suredividend.com/sure-analysis-research-database/","AMC Networks Inc")</f>
        <v>AMC Networks Inc</v>
      </c>
      <c r="C91" s="5">
        <v>-0.020755721128259</v>
      </c>
      <c r="D91" s="5">
        <v>0.648745519713261</v>
      </c>
      <c r="E91" s="5">
        <v>0.390778533635676</v>
      </c>
      <c r="F91" s="5">
        <v>-0.020755721128259</v>
      </c>
      <c r="G91" s="5">
        <v>0.007667031763417</v>
      </c>
      <c r="H91" s="5">
        <v>-0.541832669322709</v>
      </c>
      <c r="I91" s="5">
        <v>-0.715214363101687</v>
      </c>
    </row>
    <row r="92">
      <c r="A92" s="2" t="s">
        <v>115</v>
      </c>
      <c r="B92" s="8" t="str">
        <f>HYPERLINK("https://www.suredividend.com/sure-analysis-research-database/","Apollo Medical Holdings Inc")</f>
        <v>Apollo Medical Holdings Inc</v>
      </c>
      <c r="C92" s="5">
        <v>-0.063446475195822</v>
      </c>
      <c r="D92" s="5">
        <v>0.197263017356475</v>
      </c>
      <c r="E92" s="5">
        <v>0.0319332566168</v>
      </c>
      <c r="F92" s="5">
        <v>-0.063446475195822</v>
      </c>
      <c r="G92" s="5">
        <v>0.031043403276803</v>
      </c>
      <c r="H92" s="5">
        <v>-0.240685859441151</v>
      </c>
      <c r="I92" s="5">
        <v>0.912046908315564</v>
      </c>
    </row>
    <row r="93">
      <c r="A93" s="2" t="s">
        <v>116</v>
      </c>
      <c r="B93" s="8" t="str">
        <f>HYPERLINK("https://www.suredividend.com/sure-analysis-research-database/","Assetmark Financial Holdings Inc")</f>
        <v>Assetmark Financial Holdings Inc</v>
      </c>
      <c r="C93" s="5">
        <v>0.034056761268781</v>
      </c>
      <c r="D93" s="5">
        <v>0.336065573770491</v>
      </c>
      <c r="E93" s="5">
        <v>0.023801652892561</v>
      </c>
      <c r="F93" s="5">
        <v>0.034056761268781</v>
      </c>
      <c r="G93" s="5">
        <v>0.169561933534743</v>
      </c>
      <c r="H93" s="5">
        <v>0.320682302771855</v>
      </c>
      <c r="I93" s="5">
        <v>0.14534023668639</v>
      </c>
    </row>
    <row r="94">
      <c r="A94" s="2" t="s">
        <v>117</v>
      </c>
      <c r="B94" s="8" t="str">
        <f>HYPERLINK("https://www.suredividend.com/sure-analysis-research-database/","AMKOR Technology Inc.")</f>
        <v>AMKOR Technology Inc.</v>
      </c>
      <c r="C94" s="5">
        <v>-0.006311992786294</v>
      </c>
      <c r="D94" s="5">
        <v>0.600557726104196</v>
      </c>
      <c r="E94" s="5">
        <v>0.125354864623826</v>
      </c>
      <c r="F94" s="5">
        <v>-0.006311992786294</v>
      </c>
      <c r="G94" s="5">
        <v>0.125665235466967</v>
      </c>
      <c r="H94" s="5">
        <v>0.606265699473809</v>
      </c>
      <c r="I94" s="5">
        <v>3.38240674461146</v>
      </c>
    </row>
    <row r="95">
      <c r="A95" s="2" t="s">
        <v>118</v>
      </c>
      <c r="B95" s="8" t="str">
        <f>HYPERLINK("https://www.suredividend.com/sure-analysis-research-database/","Amylyx Pharmaceuticals Inc")</f>
        <v>Amylyx Pharmaceuticals Inc</v>
      </c>
      <c r="C95" s="5">
        <v>0.072690217391304</v>
      </c>
      <c r="D95" s="5">
        <v>0.003176620076238</v>
      </c>
      <c r="E95" s="5">
        <v>-0.299467613132209</v>
      </c>
      <c r="F95" s="5">
        <v>0.072690217391304</v>
      </c>
      <c r="G95" s="5">
        <v>-0.614219398973857</v>
      </c>
      <c r="H95" s="5">
        <v>-0.2105</v>
      </c>
      <c r="I95" s="5">
        <v>-0.12617598229109</v>
      </c>
    </row>
    <row r="96">
      <c r="A96" s="2" t="s">
        <v>119</v>
      </c>
      <c r="B96" s="8" t="str">
        <f>HYPERLINK("https://www.suredividend.com/sure-analysis-research-database/","AMN Healthcare Services Inc.")</f>
        <v>AMN Healthcare Services Inc.</v>
      </c>
      <c r="C96" s="5">
        <v>0.016426282051282</v>
      </c>
      <c r="D96" s="5">
        <v>0.005416116248348</v>
      </c>
      <c r="E96" s="5">
        <v>-0.285150746689208</v>
      </c>
      <c r="F96" s="5">
        <v>0.016426282051282</v>
      </c>
      <c r="G96" s="5">
        <v>-0.209821428571428</v>
      </c>
      <c r="H96" s="5">
        <v>-0.235152246005426</v>
      </c>
      <c r="I96" s="5">
        <v>0.190520882214922</v>
      </c>
    </row>
    <row r="97">
      <c r="A97" s="2" t="s">
        <v>120</v>
      </c>
      <c r="B97" s="8" t="str">
        <f>HYPERLINK("https://www.suredividend.com/sure-analysis-research-database/","American National Bankshares Inc.")</f>
        <v>American National Bankshares Inc.</v>
      </c>
      <c r="C97" s="5">
        <v>-0.01025641025641</v>
      </c>
      <c r="D97" s="5">
        <v>0.323132189818052</v>
      </c>
      <c r="E97" s="5">
        <v>0.239566447184193</v>
      </c>
      <c r="F97" s="5">
        <v>-0.01025641025641</v>
      </c>
      <c r="G97" s="5">
        <v>0.489919498028365</v>
      </c>
      <c r="H97" s="5">
        <v>0.41968552126733</v>
      </c>
      <c r="I97" s="5">
        <v>0.807650952903668</v>
      </c>
    </row>
    <row r="98">
      <c r="A98" s="2" t="s">
        <v>121</v>
      </c>
      <c r="B98" s="8" t="str">
        <f>HYPERLINK("https://www.suredividend.com/sure-analysis-research-database/","Amphastar Pharmaceuticals Inc")</f>
        <v>Amphastar Pharmaceuticals Inc</v>
      </c>
      <c r="C98" s="5">
        <v>-0.104446240905416</v>
      </c>
      <c r="D98" s="5">
        <v>0.240815412186379</v>
      </c>
      <c r="E98" s="5">
        <v>-0.089429557783988</v>
      </c>
      <c r="F98" s="5">
        <v>-0.104446240905416</v>
      </c>
      <c r="G98" s="5">
        <v>0.811907098462544</v>
      </c>
      <c r="H98" s="5">
        <v>1.12547966231772</v>
      </c>
      <c r="I98" s="5">
        <v>1.50860507246376</v>
      </c>
    </row>
    <row r="99">
      <c r="A99" s="2" t="s">
        <v>122</v>
      </c>
      <c r="B99" s="8" t="str">
        <f>HYPERLINK("https://www.suredividend.com/sure-analysis-research-database/","Amplitude Inc")</f>
        <v>Amplitude Inc</v>
      </c>
      <c r="C99" s="5">
        <v>0.066037735849056</v>
      </c>
      <c r="D99" s="5">
        <v>0.353293413173652</v>
      </c>
      <c r="E99" s="5">
        <v>0.221621621621621</v>
      </c>
      <c r="F99" s="5">
        <v>0.066037735849056</v>
      </c>
      <c r="G99" s="5">
        <v>-0.083783783783783</v>
      </c>
      <c r="H99" s="5">
        <v>-0.617597292724196</v>
      </c>
      <c r="I99" s="5">
        <v>-0.752554744525547</v>
      </c>
    </row>
    <row r="100">
      <c r="A100" s="2" t="s">
        <v>123</v>
      </c>
      <c r="B100" s="8" t="str">
        <f>HYPERLINK("https://www.suredividend.com/sure-analysis-research-database/","Altus Power Inc")</f>
        <v>Altus Power Inc</v>
      </c>
      <c r="C100" s="5">
        <v>-0.172767203513909</v>
      </c>
      <c r="D100" s="5">
        <v>0.167355371900826</v>
      </c>
      <c r="E100" s="5">
        <v>-0.142640364188163</v>
      </c>
      <c r="F100" s="5">
        <v>-0.172767203513909</v>
      </c>
      <c r="G100" s="5">
        <v>-0.284810126582278</v>
      </c>
      <c r="H100" s="5">
        <v>-0.195156695156695</v>
      </c>
      <c r="I100" s="5">
        <v>-0.461391801715919</v>
      </c>
    </row>
    <row r="101">
      <c r="A101" s="2" t="s">
        <v>124</v>
      </c>
      <c r="B101" s="8" t="str">
        <f>HYPERLINK("https://www.suredividend.com/sure-analysis-research-database/","Amplify Energy Corp.")</f>
        <v>Amplify Energy Corp.</v>
      </c>
      <c r="C101" s="5">
        <v>0.052276559865092</v>
      </c>
      <c r="D101" s="5">
        <v>-0.11864406779661</v>
      </c>
      <c r="E101" s="5">
        <v>-0.106017191977077</v>
      </c>
      <c r="F101" s="5">
        <v>0.052276559865092</v>
      </c>
      <c r="G101" s="5">
        <v>-0.313531353135313</v>
      </c>
      <c r="H101" s="5">
        <v>0.733333333333333</v>
      </c>
      <c r="I101" s="5">
        <v>-0.357363542739444</v>
      </c>
    </row>
    <row r="102">
      <c r="A102" s="2" t="s">
        <v>126</v>
      </c>
      <c r="B102" s="8" t="str">
        <f>HYPERLINK("https://www.suredividend.com/sure-analysis-research-database/","Alpha Metallurgical Resources Inc")</f>
        <v>Alpha Metallurgical Resources Inc</v>
      </c>
      <c r="C102" s="5">
        <v>0.16706007317361</v>
      </c>
      <c r="D102" s="5">
        <v>0.798156746133672</v>
      </c>
      <c r="E102" s="5">
        <v>1.33604870301872</v>
      </c>
      <c r="F102" s="5">
        <v>0.16706007317361</v>
      </c>
      <c r="G102" s="5">
        <v>1.42049878650728</v>
      </c>
      <c r="H102" s="5">
        <v>5.42944338517005</v>
      </c>
      <c r="I102" s="5">
        <v>5.10966944701884</v>
      </c>
    </row>
    <row r="103">
      <c r="A103" s="2" t="s">
        <v>127</v>
      </c>
      <c r="B103" s="8" t="str">
        <f>HYPERLINK("https://www.suredividend.com/sure-analysis-research-database/","Ameresco Inc.")</f>
        <v>Ameresco Inc.</v>
      </c>
      <c r="C103" s="5">
        <v>-0.280707293969055</v>
      </c>
      <c r="D103" s="5">
        <v>-0.164343360234776</v>
      </c>
      <c r="E103" s="5">
        <v>-0.603274120515499</v>
      </c>
      <c r="F103" s="5">
        <v>-0.280707293969055</v>
      </c>
      <c r="G103" s="5">
        <v>-0.647259213378755</v>
      </c>
      <c r="H103" s="5">
        <v>-0.505963999132509</v>
      </c>
      <c r="I103" s="5">
        <v>0.556010928961748</v>
      </c>
    </row>
    <row r="104">
      <c r="A104" s="2" t="s">
        <v>128</v>
      </c>
      <c r="B104" s="8" t="str">
        <f>HYPERLINK("https://www.suredividend.com/sure-analysis-research-database/","A-Mark Precious Metals Inc")</f>
        <v>A-Mark Precious Metals Inc</v>
      </c>
      <c r="C104" s="5">
        <v>-0.06062795739027</v>
      </c>
      <c r="D104" s="5">
        <v>0.024369165071952</v>
      </c>
      <c r="E104" s="5">
        <v>-0.248500864450441</v>
      </c>
      <c r="F104" s="5">
        <v>-0.06062795739027</v>
      </c>
      <c r="G104" s="5">
        <v>-0.200852122231948</v>
      </c>
      <c r="H104" s="5">
        <v>0.104745195866114</v>
      </c>
      <c r="I104" s="5">
        <v>4.72896569931561</v>
      </c>
    </row>
    <row r="105">
      <c r="A105" s="2" t="s">
        <v>129</v>
      </c>
      <c r="B105" s="8" t="str">
        <f>HYPERLINK("https://www.suredividend.com/sure-analysis-research-database/","Amyris Inc")</f>
        <v>Amyris Inc</v>
      </c>
      <c r="C105" s="5">
        <v>0.0</v>
      </c>
      <c r="D105" s="5">
        <v>0.0</v>
      </c>
      <c r="E105" s="5">
        <v>0.0</v>
      </c>
      <c r="F105" s="5">
        <v>0.0</v>
      </c>
      <c r="G105" s="5">
        <v>0.0</v>
      </c>
      <c r="H105" s="5">
        <v>0.0</v>
      </c>
      <c r="I105" s="5">
        <v>0.0</v>
      </c>
    </row>
    <row r="106">
      <c r="A106" s="2" t="s">
        <v>131</v>
      </c>
      <c r="B106" s="8" t="str">
        <f>HYPERLINK("https://www.suredividend.com/sure-analysis-research-database/","Amneal Pharmaceuticals Inc")</f>
        <v>Amneal Pharmaceuticals Inc</v>
      </c>
      <c r="C106" s="5">
        <v>-0.051070840197693</v>
      </c>
      <c r="D106" s="5">
        <v>0.527851458885941</v>
      </c>
      <c r="E106" s="5">
        <v>0.822784810126582</v>
      </c>
      <c r="F106" s="5">
        <v>-0.051070840197693</v>
      </c>
      <c r="G106" s="5">
        <v>1.69158878504672</v>
      </c>
      <c r="H106" s="5">
        <v>0.321100917431192</v>
      </c>
      <c r="I106" s="5">
        <v>-0.528641571194762</v>
      </c>
    </row>
    <row r="107">
      <c r="A107" s="2" t="s">
        <v>132</v>
      </c>
      <c r="B107" s="8" t="str">
        <f>HYPERLINK("https://www.suredividend.com/sure-analysis-research-database/","Amerisafe Inc")</f>
        <v>Amerisafe Inc</v>
      </c>
      <c r="C107" s="5">
        <v>0.041898247114151</v>
      </c>
      <c r="D107" s="5">
        <v>0.116220697489076</v>
      </c>
      <c r="E107" s="5">
        <v>0.076135362549871</v>
      </c>
      <c r="F107" s="5">
        <v>0.041898247114151</v>
      </c>
      <c r="G107" s="5">
        <v>0.071503160208848</v>
      </c>
      <c r="H107" s="5">
        <v>0.136143777899509</v>
      </c>
      <c r="I107" s="5">
        <v>0.268362500813219</v>
      </c>
    </row>
    <row r="108">
      <c r="A108" s="2" t="s">
        <v>133</v>
      </c>
      <c r="B108" s="8" t="str">
        <f>HYPERLINK("https://www.suredividend.com/sure-analysis-research-database/","American Software Inc.")</f>
        <v>American Software Inc.</v>
      </c>
      <c r="C108" s="5">
        <v>0.028318584070796</v>
      </c>
      <c r="D108" s="5">
        <v>0.109774033961759</v>
      </c>
      <c r="E108" s="5">
        <v>0.079343848111612</v>
      </c>
      <c r="F108" s="5">
        <v>0.028318584070796</v>
      </c>
      <c r="G108" s="5">
        <v>-0.171402696863167</v>
      </c>
      <c r="H108" s="5">
        <v>-0.450237504967733</v>
      </c>
      <c r="I108" s="5">
        <v>0.238555090120337</v>
      </c>
    </row>
    <row r="109">
      <c r="A109" s="2" t="s">
        <v>134</v>
      </c>
      <c r="B109" s="8" t="str">
        <f>HYPERLINK("https://www.suredividend.com/sure-analysis-research-database/","Amerant Bancorp Inc")</f>
        <v>Amerant Bancorp Inc</v>
      </c>
      <c r="C109" s="5">
        <v>-0.022792022792022</v>
      </c>
      <c r="D109" s="5">
        <v>0.368317271799898</v>
      </c>
      <c r="E109" s="5">
        <v>0.218200452575928</v>
      </c>
      <c r="F109" s="5">
        <v>-0.022792022792022</v>
      </c>
      <c r="G109" s="5">
        <v>-0.082179527366417</v>
      </c>
      <c r="H109" s="5">
        <v>-0.265506650514542</v>
      </c>
      <c r="I109" s="5">
        <v>0.846482761802954</v>
      </c>
    </row>
    <row r="110">
      <c r="A110" s="2" t="s">
        <v>135</v>
      </c>
      <c r="B110" s="8" t="str">
        <f>HYPERLINK("https://www.suredividend.com/sure-analysis-research-database/","Aemetis Inc")</f>
        <v>Aemetis Inc</v>
      </c>
      <c r="C110" s="5">
        <v>-0.290076335877862</v>
      </c>
      <c r="D110" s="5">
        <v>-0.136890951276101</v>
      </c>
      <c r="E110" s="5">
        <v>-0.458120903131828</v>
      </c>
      <c r="F110" s="5">
        <v>-0.290076335877862</v>
      </c>
      <c r="G110" s="5">
        <v>-0.136890951276101</v>
      </c>
      <c r="H110" s="5">
        <v>-0.570438799076212</v>
      </c>
      <c r="I110" s="5">
        <v>2.68316831683168</v>
      </c>
    </row>
    <row r="111">
      <c r="A111" s="2" t="s">
        <v>136</v>
      </c>
      <c r="B111" s="8" t="str">
        <f>HYPERLINK("https://www.suredividend.com/sure-analysis-research-database/","American Woodmark Corp.")</f>
        <v>American Woodmark Corp.</v>
      </c>
      <c r="C111" s="5">
        <v>0.01357027463651</v>
      </c>
      <c r="D111" s="5">
        <v>0.431330798479087</v>
      </c>
      <c r="E111" s="5">
        <v>0.226188925081433</v>
      </c>
      <c r="F111" s="5">
        <v>0.01357027463651</v>
      </c>
      <c r="G111" s="5">
        <v>0.740843507214206</v>
      </c>
      <c r="H111" s="5">
        <v>0.575590155700653</v>
      </c>
      <c r="I111" s="5">
        <v>0.397327394209354</v>
      </c>
    </row>
    <row r="112">
      <c r="A112" s="2" t="s">
        <v>137</v>
      </c>
      <c r="B112" s="8" t="str">
        <f>HYPERLINK("https://www.suredividend.com/sure-analysis-research-database/","American Well Corporation")</f>
        <v>American Well Corporation</v>
      </c>
      <c r="C112" s="5">
        <v>-0.228187919463087</v>
      </c>
      <c r="D112" s="5">
        <v>0.064814814814814</v>
      </c>
      <c r="E112" s="5">
        <v>-0.508547008547008</v>
      </c>
      <c r="F112" s="5">
        <v>-0.228187919463087</v>
      </c>
      <c r="G112" s="5">
        <v>-0.713930348258706</v>
      </c>
      <c r="H112" s="5">
        <v>-0.745011086474501</v>
      </c>
      <c r="I112" s="5">
        <v>-0.95015171218032</v>
      </c>
    </row>
    <row r="113">
      <c r="A113" s="2" t="s">
        <v>138</v>
      </c>
      <c r="B113" s="8" t="str">
        <f>HYPERLINK("https://www.suredividend.com/sure-analysis-research-database/","AnaptysBio Inc")</f>
        <v>AnaptysBio Inc</v>
      </c>
      <c r="C113" s="5">
        <v>0.11204481792717</v>
      </c>
      <c r="D113" s="5">
        <v>0.456880733944954</v>
      </c>
      <c r="E113" s="5">
        <v>0.391355140186915</v>
      </c>
      <c r="F113" s="5">
        <v>0.11204481792717</v>
      </c>
      <c r="G113" s="5">
        <v>-0.012028204064703</v>
      </c>
      <c r="H113" s="5">
        <v>-0.23849104859335</v>
      </c>
      <c r="I113" s="5">
        <v>-0.61549636803874</v>
      </c>
    </row>
    <row r="114">
      <c r="A114" s="2" t="s">
        <v>139</v>
      </c>
      <c r="B114" s="8" t="str">
        <f>HYPERLINK("https://www.suredividend.com/sure-analysis-ANDE/","Andersons Inc.")</f>
        <v>Andersons Inc.</v>
      </c>
      <c r="C114" s="5">
        <v>-0.083941605839416</v>
      </c>
      <c r="D114" s="5">
        <v>0.075958023144018</v>
      </c>
      <c r="E114" s="5">
        <v>0.078333094658456</v>
      </c>
      <c r="F114" s="5">
        <v>-0.083941605839416</v>
      </c>
      <c r="G114" s="5">
        <v>0.499334387693568</v>
      </c>
      <c r="H114" s="5">
        <v>0.439672243086377</v>
      </c>
      <c r="I114" s="5">
        <v>0.743528337710622</v>
      </c>
    </row>
    <row r="115">
      <c r="A115" s="2" t="s">
        <v>140</v>
      </c>
      <c r="B115" s="8" t="str">
        <f>HYPERLINK("https://www.suredividend.com/sure-analysis-research-database/","Abercrombie &amp; Fitch Co.")</f>
        <v>Abercrombie &amp; Fitch Co.</v>
      </c>
      <c r="C115" s="5">
        <v>0.190886420312854</v>
      </c>
      <c r="D115" s="5">
        <v>0.7891689373297</v>
      </c>
      <c r="E115" s="5">
        <v>1.62781390695347</v>
      </c>
      <c r="F115" s="5">
        <v>0.190886420312854</v>
      </c>
      <c r="G115" s="5">
        <v>2.8469425119004</v>
      </c>
      <c r="H115" s="5">
        <v>1.87914497122499</v>
      </c>
      <c r="I115" s="5">
        <v>4.25560152275376</v>
      </c>
    </row>
    <row r="116">
      <c r="A116" s="2" t="s">
        <v>141</v>
      </c>
      <c r="B116" s="8" t="str">
        <f>HYPERLINK("https://www.suredividend.com/sure-analysis-research-database/","Angiodynamic Inc")</f>
        <v>Angiodynamic Inc</v>
      </c>
      <c r="C116" s="5">
        <v>-0.213010204081632</v>
      </c>
      <c r="D116" s="5">
        <v>-0.029874213836478</v>
      </c>
      <c r="E116" s="5">
        <v>-0.285879629629629</v>
      </c>
      <c r="F116" s="5">
        <v>-0.213010204081632</v>
      </c>
      <c r="G116" s="5">
        <v>-0.525019245573518</v>
      </c>
      <c r="H116" s="5">
        <v>-0.706330318895763</v>
      </c>
      <c r="I116" s="5">
        <v>-0.701788303528274</v>
      </c>
    </row>
    <row r="117">
      <c r="A117" s="2" t="s">
        <v>142</v>
      </c>
      <c r="B117" s="8" t="str">
        <f>HYPERLINK("https://www.suredividend.com/sure-analysis-research-database/","Anika Therapeutics Inc.")</f>
        <v>Anika Therapeutics Inc.</v>
      </c>
      <c r="C117" s="5">
        <v>0.106796116504854</v>
      </c>
      <c r="D117" s="5">
        <v>0.353480841878035</v>
      </c>
      <c r="E117" s="5">
        <v>0.043695380774032</v>
      </c>
      <c r="F117" s="5">
        <v>0.106796116504854</v>
      </c>
      <c r="G117" s="5">
        <v>-0.181996086105675</v>
      </c>
      <c r="H117" s="5">
        <v>-0.19897796231236</v>
      </c>
      <c r="I117" s="5">
        <v>-0.322528363047001</v>
      </c>
    </row>
    <row r="118">
      <c r="A118" s="2" t="s">
        <v>143</v>
      </c>
      <c r="B118" s="8" t="str">
        <f>HYPERLINK("https://www.suredividend.com/sure-analysis-research-database/","ANI Pharmaceuticals Inc")</f>
        <v>ANI Pharmaceuticals Inc</v>
      </c>
      <c r="C118" s="5">
        <v>-0.002176278563656</v>
      </c>
      <c r="D118" s="5">
        <v>-0.065557065217391</v>
      </c>
      <c r="E118" s="5">
        <v>0.050802139037433</v>
      </c>
      <c r="F118" s="5">
        <v>-0.002176278563656</v>
      </c>
      <c r="G118" s="5">
        <v>0.261637239165329</v>
      </c>
      <c r="H118" s="5">
        <v>0.397865853658536</v>
      </c>
      <c r="I118" s="5">
        <v>0.044220914784589</v>
      </c>
    </row>
    <row r="119">
      <c r="A119" s="2" t="s">
        <v>144</v>
      </c>
      <c r="B119" s="8" t="str">
        <f>HYPERLINK("https://www.suredividend.com/sure-analysis-research-database/","AN2 Therapeutics Inc")</f>
        <v>AN2 Therapeutics Inc</v>
      </c>
      <c r="C119" s="5">
        <v>-0.02440214738897</v>
      </c>
      <c r="D119" s="5">
        <v>0.37577426015141</v>
      </c>
      <c r="E119" s="5">
        <v>1.42009685230024</v>
      </c>
      <c r="F119" s="5">
        <v>-0.02440214738897</v>
      </c>
      <c r="G119" s="5">
        <v>0.590294351630867</v>
      </c>
      <c r="H119" s="5">
        <v>0.298051948051947</v>
      </c>
      <c r="I119" s="5">
        <v>0.298051948051947</v>
      </c>
    </row>
    <row r="120">
      <c r="A120" s="2" t="s">
        <v>145</v>
      </c>
      <c r="B120" s="8" t="str">
        <f>HYPERLINK("https://www.suredividend.com/sure-analysis-research-database/","Angel Oak Mortgage REIT Inc")</f>
        <v>Angel Oak Mortgage REIT Inc</v>
      </c>
      <c r="C120" s="5">
        <v>0.045283018867924</v>
      </c>
      <c r="D120" s="5">
        <v>0.376979096761365</v>
      </c>
      <c r="E120" s="5">
        <v>0.245139684894253</v>
      </c>
      <c r="F120" s="5">
        <v>0.045283018867924</v>
      </c>
      <c r="G120" s="5">
        <v>0.608034366655056</v>
      </c>
      <c r="H120" s="5">
        <v>-0.135185763346862</v>
      </c>
      <c r="I120" s="5">
        <v>-0.197438757623607</v>
      </c>
    </row>
    <row r="121">
      <c r="A121" s="2" t="s">
        <v>146</v>
      </c>
      <c r="B121" s="8" t="str">
        <f>HYPERLINK("https://www.suredividend.com/sure-analysis-research-database/","Artivion Inc")</f>
        <v>Artivion Inc</v>
      </c>
      <c r="C121" s="5">
        <v>-0.035234899328859</v>
      </c>
      <c r="D121" s="5">
        <v>0.399026763990267</v>
      </c>
      <c r="E121" s="5">
        <v>0.009953161592505</v>
      </c>
      <c r="F121" s="5">
        <v>-0.035234899328859</v>
      </c>
      <c r="G121" s="5">
        <v>0.379999999999999</v>
      </c>
      <c r="H121" s="5">
        <v>-0.002313475997686</v>
      </c>
      <c r="I121" s="5">
        <v>-0.352477477477477</v>
      </c>
    </row>
    <row r="122">
      <c r="A122" s="2" t="s">
        <v>147</v>
      </c>
      <c r="B122" s="8" t="str">
        <f>HYPERLINK("https://www.suredividend.com/sure-analysis-research-database/","Alpha &amp; Omega Semiconductor Ltd")</f>
        <v>Alpha &amp; Omega Semiconductor Ltd</v>
      </c>
      <c r="C122" s="5">
        <v>0.05794320798158</v>
      </c>
      <c r="D122" s="5">
        <v>0.148271553519366</v>
      </c>
      <c r="E122" s="5">
        <v>-0.123370429252782</v>
      </c>
      <c r="F122" s="5">
        <v>0.05794320798158</v>
      </c>
      <c r="G122" s="5">
        <v>-0.186005314437555</v>
      </c>
      <c r="H122" s="5">
        <v>-0.321604330708661</v>
      </c>
      <c r="I122" s="5">
        <v>1.3624678663239</v>
      </c>
    </row>
    <row r="123">
      <c r="A123" s="2" t="s">
        <v>148</v>
      </c>
      <c r="B123" s="8" t="str">
        <f>HYPERLINK("https://www.suredividend.com/sure-analysis-APAM/","Artisan Partners Asset Management Inc")</f>
        <v>Artisan Partners Asset Management Inc</v>
      </c>
      <c r="C123" s="5">
        <v>-0.034404708012675</v>
      </c>
      <c r="D123" s="5">
        <v>0.346658922167786</v>
      </c>
      <c r="E123" s="5">
        <v>0.07256805376417</v>
      </c>
      <c r="F123" s="5">
        <v>-0.034404708012675</v>
      </c>
      <c r="G123" s="5">
        <v>0.253470844902816</v>
      </c>
      <c r="H123" s="5">
        <v>0.176470588235293</v>
      </c>
      <c r="I123" s="5">
        <v>1.75563594083069</v>
      </c>
    </row>
    <row r="124">
      <c r="A124" s="2" t="s">
        <v>149</v>
      </c>
      <c r="B124" s="8" t="str">
        <f>HYPERLINK("https://www.suredividend.com/sure-analysis-research-database/","American Public Education Inc")</f>
        <v>American Public Education Inc</v>
      </c>
      <c r="C124" s="5">
        <v>0.101554404145077</v>
      </c>
      <c r="D124" s="5">
        <v>1.56144578313253</v>
      </c>
      <c r="E124" s="5">
        <v>1.20082815734989</v>
      </c>
      <c r="F124" s="5">
        <v>0.101554404145077</v>
      </c>
      <c r="G124" s="5">
        <v>-0.125822368421052</v>
      </c>
      <c r="H124" s="5">
        <v>-0.495371469261808</v>
      </c>
      <c r="I124" s="5">
        <v>-0.638926630434782</v>
      </c>
    </row>
    <row r="125">
      <c r="A125" s="2" t="s">
        <v>150</v>
      </c>
      <c r="B125" s="8" t="str">
        <f>HYPERLINK("https://www.suredividend.com/sure-analysis-research-database/","APi Group Corporation")</f>
        <v>APi Group Corporation</v>
      </c>
      <c r="C125" s="5">
        <v>-0.065606936416185</v>
      </c>
      <c r="D125" s="5">
        <v>0.27033398821218</v>
      </c>
      <c r="E125" s="5">
        <v>0.142806645457759</v>
      </c>
      <c r="F125" s="5">
        <v>-0.065606936416185</v>
      </c>
      <c r="G125" s="5">
        <v>0.500928505106778</v>
      </c>
      <c r="H125" s="5">
        <v>0.485753676470588</v>
      </c>
      <c r="I125" s="5">
        <v>2.10865384615384</v>
      </c>
    </row>
    <row r="126">
      <c r="A126" s="2" t="s">
        <v>151</v>
      </c>
      <c r="B126" s="8" t="str">
        <f>HYPERLINK("https://www.suredividend.com/sure-analysis-research-database/","Applied Digital Corporation")</f>
        <v>Applied Digital Corporation</v>
      </c>
      <c r="C126" s="5">
        <v>-0.189910979228486</v>
      </c>
      <c r="D126" s="5">
        <v>0.135135135135135</v>
      </c>
      <c r="E126" s="5">
        <v>-0.419457735247208</v>
      </c>
      <c r="F126" s="5">
        <v>-0.189910979228486</v>
      </c>
      <c r="G126" s="5">
        <v>0.706249999999999</v>
      </c>
      <c r="H126" s="5">
        <v>1091.0</v>
      </c>
      <c r="I126" s="5">
        <v>1091.0</v>
      </c>
    </row>
    <row r="127">
      <c r="A127" s="2" t="s">
        <v>152</v>
      </c>
      <c r="B127" s="8" t="str">
        <f>HYPERLINK("https://www.suredividend.com/sure-analysis-APLE/","Apple Hospitality REIT Inc")</f>
        <v>Apple Hospitality REIT Inc</v>
      </c>
      <c r="C127" s="5">
        <v>0.005420316507767</v>
      </c>
      <c r="D127" s="5">
        <v>0.135354473788477</v>
      </c>
      <c r="E127" s="5">
        <v>0.108724366586169</v>
      </c>
      <c r="F127" s="5">
        <v>0.005420316507767</v>
      </c>
      <c r="G127" s="5">
        <v>0.00774300734282</v>
      </c>
      <c r="H127" s="5">
        <v>0.191269755940221</v>
      </c>
      <c r="I127" s="5">
        <v>0.273670577596579</v>
      </c>
    </row>
    <row r="128">
      <c r="A128" s="2" t="s">
        <v>153</v>
      </c>
      <c r="B128" s="8" t="str">
        <f>HYPERLINK("https://www.suredividend.com/sure-analysis-research-database/","Apellis Pharmaceuticals Inc")</f>
        <v>Apellis Pharmaceuticals Inc</v>
      </c>
      <c r="C128" s="5">
        <v>0.091881055796859</v>
      </c>
      <c r="D128" s="5">
        <v>0.374842238115271</v>
      </c>
      <c r="E128" s="5">
        <v>1.04122423485321</v>
      </c>
      <c r="F128" s="5">
        <v>0.091881055796859</v>
      </c>
      <c r="G128" s="5">
        <v>0.238582527951487</v>
      </c>
      <c r="H128" s="5">
        <v>0.693703031873542</v>
      </c>
      <c r="I128" s="5">
        <v>4.09828393135725</v>
      </c>
    </row>
    <row r="129">
      <c r="A129" s="2" t="s">
        <v>154</v>
      </c>
      <c r="B129" s="8" t="str">
        <f>HYPERLINK("https://www.suredividend.com/sure-analysis-APOG/","Apogee Enterprises Inc.")</f>
        <v>Apogee Enterprises Inc.</v>
      </c>
      <c r="C129" s="5">
        <v>0.030992122056164</v>
      </c>
      <c r="D129" s="5">
        <v>0.33104336625161</v>
      </c>
      <c r="E129" s="5">
        <v>0.172833933077958</v>
      </c>
      <c r="F129" s="5">
        <v>0.030992122056164</v>
      </c>
      <c r="G129" s="5">
        <v>0.265614307751191</v>
      </c>
      <c r="H129" s="5">
        <v>0.303822091372693</v>
      </c>
      <c r="I129" s="5">
        <v>0.865254506729753</v>
      </c>
    </row>
    <row r="130">
      <c r="A130" s="2" t="s">
        <v>155</v>
      </c>
      <c r="B130" s="8" t="str">
        <f>HYPERLINK("https://www.suredividend.com/sure-analysis-research-database/","Appfolio Inc")</f>
        <v>Appfolio Inc</v>
      </c>
      <c r="C130" s="5">
        <v>0.325848533825906</v>
      </c>
      <c r="D130" s="5">
        <v>0.222145365542194</v>
      </c>
      <c r="E130" s="5">
        <v>0.28039467082892</v>
      </c>
      <c r="F130" s="5">
        <v>0.325848533825906</v>
      </c>
      <c r="G130" s="5">
        <v>1.16668238845391</v>
      </c>
      <c r="H130" s="5">
        <v>1.05944588899847</v>
      </c>
      <c r="I130" s="5">
        <v>2.81608240571523</v>
      </c>
    </row>
    <row r="131">
      <c r="A131" s="2" t="s">
        <v>156</v>
      </c>
      <c r="B131" s="8" t="str">
        <f>HYPERLINK("https://www.suredividend.com/sure-analysis-research-database/","AppHarvest Inc")</f>
        <v>AppHarvest Inc</v>
      </c>
      <c r="C131" s="5">
        <v>0.0</v>
      </c>
      <c r="D131" s="5">
        <v>0.0</v>
      </c>
      <c r="E131" s="5">
        <v>0.0</v>
      </c>
      <c r="F131" s="5">
        <v>0.0</v>
      </c>
      <c r="G131" s="5">
        <v>0.0</v>
      </c>
      <c r="H131" s="5">
        <v>0.0</v>
      </c>
      <c r="I131" s="5">
        <v>0.0</v>
      </c>
    </row>
    <row r="132">
      <c r="A132" s="2" t="s">
        <v>157</v>
      </c>
      <c r="B132" s="8" t="str">
        <f>HYPERLINK("https://www.suredividend.com/sure-analysis-research-database/","Appian Corp")</f>
        <v>Appian Corp</v>
      </c>
      <c r="C132" s="5">
        <v>-0.064790228359001</v>
      </c>
      <c r="D132" s="5">
        <v>-0.119059529764882</v>
      </c>
      <c r="E132" s="5">
        <v>-0.292202572347266</v>
      </c>
      <c r="F132" s="5">
        <v>-0.064790228359001</v>
      </c>
      <c r="G132" s="5">
        <v>-0.157012924844423</v>
      </c>
      <c r="H132" s="5">
        <v>-0.320470769824426</v>
      </c>
      <c r="I132" s="5">
        <v>0.112444725205306</v>
      </c>
    </row>
    <row r="133">
      <c r="A133" s="2" t="s">
        <v>158</v>
      </c>
      <c r="B133" s="8" t="str">
        <f>HYPERLINK("https://www.suredividend.com/sure-analysis-research-database/","Digital Turbine Inc")</f>
        <v>Digital Turbine Inc</v>
      </c>
      <c r="C133" s="5">
        <v>-0.123906705539358</v>
      </c>
      <c r="D133" s="5">
        <v>0.265263157894736</v>
      </c>
      <c r="E133" s="5">
        <v>-0.437265917602996</v>
      </c>
      <c r="F133" s="5">
        <v>-0.123906705539358</v>
      </c>
      <c r="G133" s="5">
        <v>-0.662927650028042</v>
      </c>
      <c r="H133" s="5">
        <v>-0.849862603047714</v>
      </c>
      <c r="I133" s="5">
        <v>1.82159624413145</v>
      </c>
    </row>
    <row r="134">
      <c r="A134" s="2" t="s">
        <v>159</v>
      </c>
      <c r="B134" s="8" t="str">
        <f>HYPERLINK("https://www.suredividend.com/sure-analysis-research-database/","ArcBest Corp")</f>
        <v>ArcBest Corp</v>
      </c>
      <c r="C134" s="5">
        <v>0.025788203976374</v>
      </c>
      <c r="D134" s="5">
        <v>0.208297281698573</v>
      </c>
      <c r="E134" s="5">
        <v>0.036968764795368</v>
      </c>
      <c r="F134" s="5">
        <v>0.025788203976374</v>
      </c>
      <c r="G134" s="5">
        <v>0.482556426956052</v>
      </c>
      <c r="H134" s="5">
        <v>0.459063742780705</v>
      </c>
      <c r="I134" s="5">
        <v>2.22321783316952</v>
      </c>
    </row>
    <row r="135">
      <c r="A135" s="2" t="s">
        <v>160</v>
      </c>
      <c r="B135" s="8" t="str">
        <f>HYPERLINK("https://www.suredividend.com/sure-analysis-research-database/","Arch Resources Inc")</f>
        <v>Arch Resources Inc</v>
      </c>
      <c r="C135" s="5">
        <v>0.076593949620344</v>
      </c>
      <c r="D135" s="5">
        <v>0.168257912634057</v>
      </c>
      <c r="E135" s="5">
        <v>0.445752126951037</v>
      </c>
      <c r="F135" s="5">
        <v>0.076593949620344</v>
      </c>
      <c r="G135" s="5">
        <v>0.220472790595835</v>
      </c>
      <c r="H135" s="5">
        <v>0.847691858985895</v>
      </c>
      <c r="I135" s="5">
        <v>1.18775908076155</v>
      </c>
    </row>
    <row r="136">
      <c r="A136" s="2" t="s">
        <v>161</v>
      </c>
      <c r="B136" s="8" t="str">
        <f>HYPERLINK("https://www.suredividend.com/sure-analysis-research-database/","Arcturus Therapeutics Holdings Inc")</f>
        <v>Arcturus Therapeutics Holdings Inc</v>
      </c>
      <c r="C136" s="5">
        <v>0.066603235014272</v>
      </c>
      <c r="D136" s="5">
        <v>0.826724606192286</v>
      </c>
      <c r="E136" s="5">
        <v>-0.020675596971461</v>
      </c>
      <c r="F136" s="5">
        <v>0.066603235014272</v>
      </c>
      <c r="G136" s="5">
        <v>0.633317144244779</v>
      </c>
      <c r="H136" s="5">
        <v>0.508071748878923</v>
      </c>
      <c r="I136" s="5">
        <v>3.84582132564841</v>
      </c>
    </row>
    <row r="137">
      <c r="A137" s="2" t="s">
        <v>162</v>
      </c>
      <c r="B137" s="8" t="str">
        <f>HYPERLINK("https://www.suredividend.com/sure-analysis-research-database/","Arena Group Holdings Inc (The)")</f>
        <v>Arena Group Holdings Inc (The)</v>
      </c>
      <c r="C137" s="5">
        <v>-0.508403361344537</v>
      </c>
      <c r="D137" s="5">
        <v>-0.644376899696048</v>
      </c>
      <c r="E137" s="5">
        <v>-0.70076726342711</v>
      </c>
      <c r="F137" s="5">
        <v>-0.508403361344537</v>
      </c>
      <c r="G137" s="5">
        <v>-0.874058127018299</v>
      </c>
      <c r="H137" s="5">
        <v>4.31818181818181</v>
      </c>
      <c r="I137" s="5">
        <v>4.31818181818181</v>
      </c>
    </row>
    <row r="138">
      <c r="A138" s="2" t="s">
        <v>163</v>
      </c>
      <c r="B138" s="8" t="str">
        <f>HYPERLINK("https://www.suredividend.com/sure-analysis-research-database/","Argo Group International Holdings Ltd")</f>
        <v>Argo Group International Holdings Ltd</v>
      </c>
      <c r="C138" s="5">
        <v>0.009084791386271</v>
      </c>
      <c r="D138" s="5">
        <v>0.009764309764309</v>
      </c>
      <c r="E138" s="5">
        <v>0.022851296043656</v>
      </c>
      <c r="F138" s="5">
        <v>0.160154738878143</v>
      </c>
      <c r="G138" s="5">
        <v>0.169930560973706</v>
      </c>
      <c r="H138" s="5">
        <v>-0.46999901033493</v>
      </c>
      <c r="I138" s="5">
        <v>-0.500329892235203</v>
      </c>
    </row>
    <row r="139">
      <c r="A139" s="2" t="s">
        <v>164</v>
      </c>
      <c r="B139" s="8" t="str">
        <f>HYPERLINK("https://www.suredividend.com/sure-analysis-ARI/","Apollo Commercial Real Estate Finance Inc")</f>
        <v>Apollo Commercial Real Estate Finance Inc</v>
      </c>
      <c r="C139" s="5">
        <v>0.014480408858603</v>
      </c>
      <c r="D139" s="5">
        <v>0.312917521000066</v>
      </c>
      <c r="E139" s="5">
        <v>0.066430279098503</v>
      </c>
      <c r="F139" s="5">
        <v>0.014480408858603</v>
      </c>
      <c r="G139" s="5">
        <v>0.132150801346033</v>
      </c>
      <c r="H139" s="5">
        <v>0.161294096998771</v>
      </c>
      <c r="I139" s="5">
        <v>0.218252304041406</v>
      </c>
    </row>
    <row r="140">
      <c r="A140" s="2" t="s">
        <v>165</v>
      </c>
      <c r="B140" s="8" t="str">
        <f>HYPERLINK("https://www.suredividend.com/sure-analysis-research-database/","Aris Water Solutions Inc")</f>
        <v>Aris Water Solutions Inc</v>
      </c>
      <c r="C140" s="5">
        <v>0.045292014302741</v>
      </c>
      <c r="D140" s="5">
        <v>0.076760632550829</v>
      </c>
      <c r="E140" s="5">
        <v>-0.167971158863431</v>
      </c>
      <c r="F140" s="5">
        <v>0.045292014302741</v>
      </c>
      <c r="G140" s="5">
        <v>-0.410511315897373</v>
      </c>
      <c r="H140" s="5">
        <v>-0.158147348212143</v>
      </c>
      <c r="I140" s="5">
        <v>-0.344254940519362</v>
      </c>
    </row>
    <row r="141">
      <c r="A141" s="2" t="s">
        <v>166</v>
      </c>
      <c r="B141" s="8" t="str">
        <f>HYPERLINK("https://www.suredividend.com/sure-analysis-research-database/","ARKO Corp")</f>
        <v>ARKO Corp</v>
      </c>
      <c r="C141" s="5">
        <v>-0.035151515151515</v>
      </c>
      <c r="D141" s="5">
        <v>0.053202609190383</v>
      </c>
      <c r="E141" s="5">
        <v>-0.011708031734601</v>
      </c>
      <c r="F141" s="5">
        <v>-0.035151515151515</v>
      </c>
      <c r="G141" s="5">
        <v>-0.011376620795866</v>
      </c>
      <c r="H141" s="5">
        <v>0.054849524920157</v>
      </c>
      <c r="I141" s="5">
        <v>-0.195959595959596</v>
      </c>
    </row>
    <row r="142">
      <c r="A142" s="2" t="s">
        <v>167</v>
      </c>
      <c r="B142" s="8" t="str">
        <f>HYPERLINK("https://www.suredividend.com/sure-analysis-research-database/","American Realty Investors Inc.")</f>
        <v>American Realty Investors Inc.</v>
      </c>
      <c r="C142" s="5">
        <v>0.271108558299827</v>
      </c>
      <c r="D142" s="5">
        <v>0.842631140716069</v>
      </c>
      <c r="E142" s="5">
        <v>0.172760996290407</v>
      </c>
      <c r="F142" s="5">
        <v>0.271108558299827</v>
      </c>
      <c r="G142" s="5">
        <v>-0.195272727272727</v>
      </c>
      <c r="H142" s="5">
        <v>0.586379928315412</v>
      </c>
      <c r="I142" s="5">
        <v>0.682889733840304</v>
      </c>
    </row>
    <row r="143">
      <c r="A143" s="2" t="s">
        <v>168</v>
      </c>
      <c r="B143" s="8" t="str">
        <f>HYPERLINK("https://www.suredividend.com/sure-analysis-research-database/","Arlo Technologies Inc")</f>
        <v>Arlo Technologies Inc</v>
      </c>
      <c r="C143" s="5">
        <v>-0.046218487394957</v>
      </c>
      <c r="D143" s="5">
        <v>0.114110429447852</v>
      </c>
      <c r="E143" s="5">
        <v>-0.187835420393559</v>
      </c>
      <c r="F143" s="5">
        <v>-0.046218487394957</v>
      </c>
      <c r="G143" s="5">
        <v>1.44086021505376</v>
      </c>
      <c r="H143" s="5">
        <v>0.096618357487922</v>
      </c>
      <c r="I143" s="5">
        <v>0.28067700987306</v>
      </c>
    </row>
    <row r="144">
      <c r="A144" s="2" t="s">
        <v>169</v>
      </c>
      <c r="B144" s="8" t="str">
        <f>HYPERLINK("https://www.suredividend.com/sure-analysis-research-database/","Arconic Corporation")</f>
        <v>Arconic Corporation</v>
      </c>
      <c r="C144" s="5">
        <v>0.008406186953597</v>
      </c>
      <c r="D144" s="5">
        <v>0.03951473136915</v>
      </c>
      <c r="E144" s="5">
        <v>0.243366500829187</v>
      </c>
      <c r="F144" s="5">
        <v>0.417296786389413</v>
      </c>
      <c r="G144" s="5">
        <v>0.096927578639356</v>
      </c>
      <c r="H144" s="5">
        <v>-0.145827399601253</v>
      </c>
      <c r="I144" s="5">
        <v>3.33381502890173</v>
      </c>
    </row>
    <row r="145">
      <c r="A145" s="2" t="s">
        <v>170</v>
      </c>
      <c r="B145" s="8" t="str">
        <f>HYPERLINK("https://www.suredividend.com/sure-analysis-research-database/","Archrock Inc")</f>
        <v>Archrock Inc</v>
      </c>
      <c r="C145" s="5">
        <v>0.076623376623376</v>
      </c>
      <c r="D145" s="5">
        <v>0.339906255050913</v>
      </c>
      <c r="E145" s="5">
        <v>0.472835163273282</v>
      </c>
      <c r="F145" s="5">
        <v>0.076623376623376</v>
      </c>
      <c r="G145" s="5">
        <v>0.824363728392072</v>
      </c>
      <c r="H145" s="5">
        <v>1.23510380156376</v>
      </c>
      <c r="I145" s="5">
        <v>1.47407296873834</v>
      </c>
    </row>
    <row r="146">
      <c r="A146" s="2" t="s">
        <v>171</v>
      </c>
      <c r="B146" s="8" t="str">
        <f>HYPERLINK("https://www.suredividend.com/sure-analysis-AROW/","Arrow Financial Corp.")</f>
        <v>Arrow Financial Corp.</v>
      </c>
      <c r="C146" s="5">
        <v>-0.025411596277738</v>
      </c>
      <c r="D146" s="5">
        <v>0.336035169666163</v>
      </c>
      <c r="E146" s="5">
        <v>0.437546193643754</v>
      </c>
      <c r="F146" s="5">
        <v>-0.025411596277738</v>
      </c>
      <c r="G146" s="5">
        <v>-0.07969758112214</v>
      </c>
      <c r="H146" s="5">
        <v>-0.080067567567567</v>
      </c>
      <c r="I146" s="5">
        <v>0.231753269370824</v>
      </c>
    </row>
    <row r="147">
      <c r="A147" s="2" t="s">
        <v>172</v>
      </c>
      <c r="B147" s="8" t="str">
        <f>HYPERLINK("https://www.suredividend.com/sure-analysis-research-database/","Arcutis Biotherapeutics Inc")</f>
        <v>Arcutis Biotherapeutics Inc</v>
      </c>
      <c r="C147" s="5">
        <v>0.876160990712074</v>
      </c>
      <c r="D147" s="5">
        <v>1.59528907922912</v>
      </c>
      <c r="E147" s="5">
        <v>-0.441988950276243</v>
      </c>
      <c r="F147" s="5">
        <v>0.876160990712074</v>
      </c>
      <c r="G147" s="5">
        <v>-0.634057971014492</v>
      </c>
      <c r="H147" s="5">
        <v>-0.586912065439672</v>
      </c>
      <c r="I147" s="5">
        <v>-0.722018348623853</v>
      </c>
    </row>
    <row r="148">
      <c r="A148" s="2" t="s">
        <v>173</v>
      </c>
      <c r="B148" s="8" t="str">
        <f>HYPERLINK("https://www.suredividend.com/sure-analysis-ARR/","ARMOUR Residential REIT Inc")</f>
        <v>ARMOUR Residential REIT Inc</v>
      </c>
      <c r="C148" s="5">
        <v>0.062609051039816</v>
      </c>
      <c r="D148" s="5">
        <v>0.56944078998282</v>
      </c>
      <c r="E148" s="5">
        <v>-0.122017109410175</v>
      </c>
      <c r="F148" s="5">
        <v>0.062609051039816</v>
      </c>
      <c r="G148" s="5">
        <v>-0.198520345252774</v>
      </c>
      <c r="H148" s="5">
        <v>-0.354323137709375</v>
      </c>
      <c r="I148" s="5">
        <v>-0.608524438267315</v>
      </c>
    </row>
    <row r="149">
      <c r="A149" s="2" t="s">
        <v>174</v>
      </c>
      <c r="B149" s="8" t="str">
        <f>HYPERLINK("https://www.suredividend.com/sure-analysis-research-database/","Array Technologies Inc")</f>
        <v>Array Technologies Inc</v>
      </c>
      <c r="C149" s="5">
        <v>-0.191666666666666</v>
      </c>
      <c r="D149" s="5">
        <v>-0.204452255418863</v>
      </c>
      <c r="E149" s="5">
        <v>-0.287513116474291</v>
      </c>
      <c r="F149" s="5">
        <v>-0.191666666666666</v>
      </c>
      <c r="G149" s="5">
        <v>-0.399646330680813</v>
      </c>
      <c r="H149" s="5">
        <v>0.410176531671858</v>
      </c>
      <c r="I149" s="5">
        <v>-0.627434842249657</v>
      </c>
    </row>
    <row r="150">
      <c r="A150" s="2" t="s">
        <v>175</v>
      </c>
      <c r="B150" s="8" t="str">
        <f>HYPERLINK("https://www.suredividend.com/sure-analysis-ARTNA/","Artesian Resources Corp.")</f>
        <v>Artesian Resources Corp.</v>
      </c>
      <c r="C150" s="5">
        <v>-0.099155609167671</v>
      </c>
      <c r="D150" s="5">
        <v>-0.047784198419943</v>
      </c>
      <c r="E150" s="5">
        <v>-0.168355642664647</v>
      </c>
      <c r="F150" s="5">
        <v>-0.099155609167671</v>
      </c>
      <c r="G150" s="5">
        <v>-0.325492377919358</v>
      </c>
      <c r="H150" s="5">
        <v>-0.183839408272642</v>
      </c>
      <c r="I150" s="5">
        <v>0.245596712211785</v>
      </c>
    </row>
    <row r="151">
      <c r="A151" s="2" t="s">
        <v>176</v>
      </c>
      <c r="B151" s="8" t="str">
        <f>HYPERLINK("https://www.suredividend.com/sure-analysis-research-database/","Arvinas Inc")</f>
        <v>Arvinas Inc</v>
      </c>
      <c r="C151" s="5">
        <v>-0.03935860058309</v>
      </c>
      <c r="D151" s="5">
        <v>1.78646934460887</v>
      </c>
      <c r="E151" s="5">
        <v>0.763603925066904</v>
      </c>
      <c r="F151" s="5">
        <v>-0.03935860058309</v>
      </c>
      <c r="G151" s="5">
        <v>0.244962216624684</v>
      </c>
      <c r="H151" s="5">
        <v>-0.4</v>
      </c>
      <c r="I151" s="5">
        <v>1.29217391304347</v>
      </c>
    </row>
    <row r="152">
      <c r="A152" s="2" t="s">
        <v>177</v>
      </c>
      <c r="B152" s="8" t="str">
        <f>HYPERLINK("https://www.suredividend.com/sure-analysis-research-database/","Arrowhead Pharmaceuticals Inc.")</f>
        <v>Arrowhead Pharmaceuticals Inc.</v>
      </c>
      <c r="C152" s="5">
        <v>0.124183006535947</v>
      </c>
      <c r="D152" s="5">
        <v>0.457627118644067</v>
      </c>
      <c r="E152" s="5">
        <v>-0.020779960148021</v>
      </c>
      <c r="F152" s="5">
        <v>0.124183006535947</v>
      </c>
      <c r="G152" s="5">
        <v>0.023504909253198</v>
      </c>
      <c r="H152" s="5">
        <v>-0.313236174885206</v>
      </c>
      <c r="I152" s="5">
        <v>1.6060606060606</v>
      </c>
    </row>
    <row r="153">
      <c r="A153" s="2" t="s">
        <v>178</v>
      </c>
      <c r="B153" s="8" t="str">
        <f>HYPERLINK("https://www.suredividend.com/sure-analysis-research-database/","Asana Inc")</f>
        <v>Asana Inc</v>
      </c>
      <c r="C153" s="5">
        <v>0.007364544976327</v>
      </c>
      <c r="D153" s="5">
        <v>0.059767570558937</v>
      </c>
      <c r="E153" s="5">
        <v>-0.179871520342612</v>
      </c>
      <c r="F153" s="5">
        <v>0.007364544976327</v>
      </c>
      <c r="G153" s="5">
        <v>0.232303732303732</v>
      </c>
      <c r="H153" s="5">
        <v>-0.601041666666666</v>
      </c>
      <c r="I153" s="5">
        <v>-0.335069444444444</v>
      </c>
    </row>
    <row r="154">
      <c r="A154" s="2" t="s">
        <v>179</v>
      </c>
      <c r="B154" s="8" t="str">
        <f>HYPERLINK("https://www.suredividend.com/sure-analysis-ASB/","Associated Banc-Corp.")</f>
        <v>Associated Banc-Corp.</v>
      </c>
      <c r="C154" s="5">
        <v>0.028517999064983</v>
      </c>
      <c r="D154" s="5">
        <v>0.386123642228886</v>
      </c>
      <c r="E154" s="5">
        <v>0.173953180612696</v>
      </c>
      <c r="F154" s="5">
        <v>0.028517999064983</v>
      </c>
      <c r="G154" s="5">
        <v>0.049553224275211</v>
      </c>
      <c r="H154" s="5">
        <v>-0.002109178327625</v>
      </c>
      <c r="I154" s="5">
        <v>0.20870487272887</v>
      </c>
    </row>
    <row r="155">
      <c r="A155" s="2" t="s">
        <v>180</v>
      </c>
      <c r="B155" s="8" t="str">
        <f>HYPERLINK("https://www.suredividend.com/sure-analysis-research-database/","Ardmore Shipping Corp")</f>
        <v>Ardmore Shipping Corp</v>
      </c>
      <c r="C155" s="5">
        <v>0.165365507452093</v>
      </c>
      <c r="D155" s="5">
        <v>0.187815129089896</v>
      </c>
      <c r="E155" s="5">
        <v>0.244731495800357</v>
      </c>
      <c r="F155" s="5">
        <v>0.165365507452093</v>
      </c>
      <c r="G155" s="5">
        <v>0.262921486586266</v>
      </c>
      <c r="H155" s="5">
        <v>4.38466583590214</v>
      </c>
      <c r="I155" s="5">
        <v>2.26935329722841</v>
      </c>
    </row>
    <row r="156">
      <c r="A156" s="2" t="s">
        <v>181</v>
      </c>
      <c r="B156" s="8" t="str">
        <f>HYPERLINK("https://www.suredividend.com/sure-analysis-research-database/","ASGN Inc")</f>
        <v>ASGN Inc</v>
      </c>
      <c r="C156" s="5">
        <v>-6.23895185608E-4</v>
      </c>
      <c r="D156" s="5">
        <v>0.18756950451007</v>
      </c>
      <c r="E156" s="5">
        <v>0.219670050761421</v>
      </c>
      <c r="F156" s="5">
        <v>-6.23895185608E-4</v>
      </c>
      <c r="G156" s="5">
        <v>0.064694804475462</v>
      </c>
      <c r="H156" s="5">
        <v>-0.140724184175234</v>
      </c>
      <c r="I156" s="5">
        <v>0.575573770491803</v>
      </c>
    </row>
    <row r="157">
      <c r="A157" s="2" t="s">
        <v>182</v>
      </c>
      <c r="B157" s="8" t="str">
        <f>HYPERLINK("https://www.suredividend.com/sure-analysis-research-database/","AdvanSix Inc")</f>
        <v>AdvanSix Inc</v>
      </c>
      <c r="C157" s="5">
        <v>-0.120160213618157</v>
      </c>
      <c r="D157" s="5">
        <v>-0.044903312765178</v>
      </c>
      <c r="E157" s="5">
        <v>-0.32165006819527</v>
      </c>
      <c r="F157" s="5">
        <v>-0.120160213618157</v>
      </c>
      <c r="G157" s="5">
        <v>-0.379485839518465</v>
      </c>
      <c r="H157" s="5">
        <v>-0.338680421578687</v>
      </c>
      <c r="I157" s="5">
        <v>-0.102491641187326</v>
      </c>
    </row>
    <row r="158">
      <c r="A158" s="2" t="s">
        <v>183</v>
      </c>
      <c r="B158" s="8" t="str">
        <f>HYPERLINK("https://www.suredividend.com/sure-analysis-research-database/","AerSale Corp")</f>
        <v>AerSale Corp</v>
      </c>
      <c r="C158" s="5">
        <v>-0.202048050413548</v>
      </c>
      <c r="D158" s="5">
        <v>-0.314614343707713</v>
      </c>
      <c r="E158" s="5">
        <v>-0.318304172274562</v>
      </c>
      <c r="F158" s="5">
        <v>-0.202048050413548</v>
      </c>
      <c r="G158" s="5">
        <v>-0.438936582664081</v>
      </c>
      <c r="H158" s="5">
        <v>-0.234315948601662</v>
      </c>
      <c r="I158" s="5">
        <v>0.046487603305785</v>
      </c>
    </row>
    <row r="159">
      <c r="A159" s="2" t="s">
        <v>184</v>
      </c>
      <c r="B159" s="8" t="str">
        <f>HYPERLINK("https://www.suredividend.com/sure-analysis-research-database/","Academy Sports and Outdoors Inc")</f>
        <v>Academy Sports and Outdoors Inc</v>
      </c>
      <c r="C159" s="5">
        <v>-0.007424242424242</v>
      </c>
      <c r="D159" s="5">
        <v>0.518818887049582</v>
      </c>
      <c r="E159" s="5">
        <v>0.12366874156305</v>
      </c>
      <c r="F159" s="5">
        <v>-0.007424242424242</v>
      </c>
      <c r="G159" s="5">
        <v>0.188972376492794</v>
      </c>
      <c r="H159" s="5">
        <v>0.769756108103435</v>
      </c>
      <c r="I159" s="5">
        <v>4.13079573934837</v>
      </c>
    </row>
    <row r="160">
      <c r="A160" s="2" t="s">
        <v>185</v>
      </c>
      <c r="B160" s="8" t="str">
        <f>HYPERLINK("https://www.suredividend.com/sure-analysis-research-database/","Aspen Aerogels Inc.")</f>
        <v>Aspen Aerogels Inc.</v>
      </c>
      <c r="C160" s="5">
        <v>-0.23574144486692</v>
      </c>
      <c r="D160" s="5">
        <v>0.603723404255319</v>
      </c>
      <c r="E160" s="5">
        <v>0.509386733416771</v>
      </c>
      <c r="F160" s="5">
        <v>-0.23574144486692</v>
      </c>
      <c r="G160" s="5">
        <v>0.235655737704918</v>
      </c>
      <c r="H160" s="5">
        <v>-0.567276641550053</v>
      </c>
      <c r="I160" s="5">
        <v>3.41758241758241</v>
      </c>
    </row>
    <row r="161">
      <c r="A161" s="2" t="s">
        <v>186</v>
      </c>
      <c r="B161" s="8" t="str">
        <f>HYPERLINK("https://www.suredividend.com/sure-analysis-research-database/","Astec Industries Inc.")</f>
        <v>Astec Industries Inc.</v>
      </c>
      <c r="C161" s="5">
        <v>-0.024462365591397</v>
      </c>
      <c r="D161" s="5">
        <v>-0.063561202687778</v>
      </c>
      <c r="E161" s="5">
        <v>-0.237950845834663</v>
      </c>
      <c r="F161" s="5">
        <v>-0.024462365591397</v>
      </c>
      <c r="G161" s="5">
        <v>-0.152714512186295</v>
      </c>
      <c r="H161" s="5">
        <v>-0.404949300171841</v>
      </c>
      <c r="I161" s="5">
        <v>0.055107487803317</v>
      </c>
    </row>
    <row r="162">
      <c r="A162" s="2" t="s">
        <v>187</v>
      </c>
      <c r="B162" s="8" t="str">
        <f>HYPERLINK("https://www.suredividend.com/sure-analysis-research-database/","Astra Space Inc")</f>
        <v>Astra Space Inc</v>
      </c>
      <c r="C162" s="5">
        <v>0.039473684210526</v>
      </c>
      <c r="D162" s="5">
        <v>2.26716294458229</v>
      </c>
      <c r="E162" s="5">
        <v>-0.60813492063492</v>
      </c>
      <c r="F162" s="5">
        <v>0.039473684210526</v>
      </c>
      <c r="G162" s="5">
        <v>-0.74412955465587</v>
      </c>
      <c r="H162" s="5">
        <v>-0.96367816091954</v>
      </c>
      <c r="I162" s="5">
        <v>-0.763</v>
      </c>
    </row>
    <row r="163">
      <c r="A163" s="2" t="s">
        <v>188</v>
      </c>
      <c r="B163" s="8" t="str">
        <f>HYPERLINK("https://www.suredividend.com/sure-analysis-research-database/","Alphatec Holdings Inc")</f>
        <v>Alphatec Holdings Inc</v>
      </c>
      <c r="C163" s="5">
        <v>0.103242885506287</v>
      </c>
      <c r="D163" s="5">
        <v>0.745549738219895</v>
      </c>
      <c r="E163" s="5">
        <v>-0.046883933676386</v>
      </c>
      <c r="F163" s="5">
        <v>0.103242885506287</v>
      </c>
      <c r="G163" s="5">
        <v>0.288253477588871</v>
      </c>
      <c r="H163" s="5">
        <v>0.731048805815161</v>
      </c>
      <c r="I163" s="5">
        <v>9.5173501577287</v>
      </c>
    </row>
    <row r="164">
      <c r="A164" s="2" t="s">
        <v>189</v>
      </c>
      <c r="B164" s="8" t="str">
        <f>HYPERLINK("https://www.suredividend.com/sure-analysis-research-database/","A10 Networks Inc")</f>
        <v>A10 Networks Inc</v>
      </c>
      <c r="C164" s="5">
        <v>0.046317388003037</v>
      </c>
      <c r="D164" s="5">
        <v>0.282230224529864</v>
      </c>
      <c r="E164" s="5">
        <v>-0.107640103094118</v>
      </c>
      <c r="F164" s="5">
        <v>0.046317388003037</v>
      </c>
      <c r="G164" s="5">
        <v>-0.078285530821917</v>
      </c>
      <c r="H164" s="5">
        <v>-0.002519037553927</v>
      </c>
      <c r="I164" s="5">
        <v>1.17336445650116</v>
      </c>
    </row>
    <row r="165">
      <c r="A165" s="2" t="s">
        <v>190</v>
      </c>
      <c r="B165" s="8" t="str">
        <f>HYPERLINK("https://www.suredividend.com/sure-analysis-research-database/","Aterian Inc")</f>
        <v>Aterian Inc</v>
      </c>
      <c r="C165" s="5">
        <v>-0.138593974175035</v>
      </c>
      <c r="D165" s="5">
        <v>0.112263801407929</v>
      </c>
      <c r="E165" s="5">
        <v>-0.371966527196652</v>
      </c>
      <c r="F165" s="5">
        <v>-0.138593974175035</v>
      </c>
      <c r="G165" s="5">
        <v>-0.779264705882353</v>
      </c>
      <c r="H165" s="5">
        <v>-0.892014388489208</v>
      </c>
      <c r="I165" s="5">
        <v>-0.96998</v>
      </c>
    </row>
    <row r="166">
      <c r="A166" s="2" t="s">
        <v>191</v>
      </c>
      <c r="B166" s="8" t="str">
        <f>HYPERLINK("https://www.suredividend.com/sure-analysis-research-database/","Anterix Inc")</f>
        <v>Anterix Inc</v>
      </c>
      <c r="C166" s="5">
        <v>-0.081632653061224</v>
      </c>
      <c r="D166" s="5">
        <v>0.042234332425068</v>
      </c>
      <c r="E166" s="5">
        <v>0.085876508161816</v>
      </c>
      <c r="F166" s="5">
        <v>-0.081632653061224</v>
      </c>
      <c r="G166" s="5">
        <v>-0.155862068965517</v>
      </c>
      <c r="H166" s="5">
        <v>-0.377542717656631</v>
      </c>
      <c r="I166" s="5">
        <v>-0.204368174726989</v>
      </c>
    </row>
    <row r="167">
      <c r="A167" s="2" t="s">
        <v>192</v>
      </c>
      <c r="B167" s="8" t="str">
        <f>HYPERLINK("https://www.suredividend.com/sure-analysis-research-database/","Adtalem Global Education Inc")</f>
        <v>Adtalem Global Education Inc</v>
      </c>
      <c r="C167" s="5">
        <v>-0.005428329092451</v>
      </c>
      <c r="D167" s="5">
        <v>0.173069227691076</v>
      </c>
      <c r="E167" s="5">
        <v>0.366029822926374</v>
      </c>
      <c r="F167" s="5">
        <v>-0.005428329092451</v>
      </c>
      <c r="G167" s="5">
        <v>0.532810457516339</v>
      </c>
      <c r="H167" s="5">
        <v>1.05863764044943</v>
      </c>
      <c r="I167" s="5">
        <v>0.201434426229508</v>
      </c>
    </row>
    <row r="168">
      <c r="A168" s="2" t="s">
        <v>193</v>
      </c>
      <c r="B168" s="8" t="str">
        <f>HYPERLINK("https://www.suredividend.com/sure-analysis-research-database/","Athira Pharma Inc")</f>
        <v>Athira Pharma Inc</v>
      </c>
      <c r="C168" s="5">
        <v>0.349794238683127</v>
      </c>
      <c r="D168" s="5">
        <v>1.11612903225806</v>
      </c>
      <c r="E168" s="5">
        <v>0.146853146853146</v>
      </c>
      <c r="F168" s="5">
        <v>0.349794238683127</v>
      </c>
      <c r="G168" s="5">
        <v>-0.201946472019464</v>
      </c>
      <c r="H168" s="5">
        <v>-0.672</v>
      </c>
      <c r="I168" s="5">
        <v>-0.808299240210403</v>
      </c>
    </row>
    <row r="169">
      <c r="A169" s="2" t="s">
        <v>194</v>
      </c>
      <c r="B169" s="8" t="str">
        <f>HYPERLINK("https://www.suredividend.com/sure-analysis-research-database/","ATI Inc")</f>
        <v>ATI Inc</v>
      </c>
      <c r="C169" s="5">
        <v>-0.083791510886298</v>
      </c>
      <c r="D169" s="5">
        <v>0.10827347698856</v>
      </c>
      <c r="E169" s="5">
        <v>-0.11380557328228</v>
      </c>
      <c r="F169" s="5">
        <v>-0.083791510886298</v>
      </c>
      <c r="G169" s="5">
        <v>0.150828729281767</v>
      </c>
      <c r="H169" s="5">
        <v>1.26290059750135</v>
      </c>
      <c r="I169" s="5">
        <v>0.59984639016897</v>
      </c>
    </row>
    <row r="170">
      <c r="A170" s="2" t="s">
        <v>195</v>
      </c>
      <c r="B170" s="8" t="str">
        <f>HYPERLINK("https://www.suredividend.com/sure-analysis-research-database/","ATI Physical Therapy Inc")</f>
        <v>ATI Physical Therapy Inc</v>
      </c>
      <c r="C170" s="5">
        <v>0.050488599348534</v>
      </c>
      <c r="D170" s="5">
        <v>-0.118852459016393</v>
      </c>
      <c r="E170" s="5">
        <v>-0.032983508245877</v>
      </c>
      <c r="F170" s="5">
        <v>0.050488599348534</v>
      </c>
      <c r="G170" s="5">
        <v>-0.717229285401139</v>
      </c>
      <c r="H170" s="5">
        <v>-0.95728476821192</v>
      </c>
      <c r="I170" s="5">
        <v>-0.355</v>
      </c>
    </row>
    <row r="171">
      <c r="A171" s="2" t="s">
        <v>196</v>
      </c>
      <c r="B171" s="8" t="str">
        <f>HYPERLINK("https://www.suredividend.com/sure-analysis-research-database/","Atkore Inc")</f>
        <v>Atkore Inc</v>
      </c>
      <c r="C171" s="5">
        <v>-0.016062499999999</v>
      </c>
      <c r="D171" s="5">
        <v>0.277633501055023</v>
      </c>
      <c r="E171" s="5">
        <v>2.54145752589E-4</v>
      </c>
      <c r="F171" s="5">
        <v>-0.016062499999999</v>
      </c>
      <c r="G171" s="5">
        <v>0.235423369693164</v>
      </c>
      <c r="H171" s="5">
        <v>0.630047628908676</v>
      </c>
      <c r="I171" s="5">
        <v>6.10103743797925</v>
      </c>
    </row>
    <row r="172">
      <c r="A172" s="2" t="s">
        <v>197</v>
      </c>
      <c r="B172" s="8" t="str">
        <f>HYPERLINK("https://www.suredividend.com/sure-analysis-research-database/","Atlanticus Holdings Corp")</f>
        <v>Atlanticus Holdings Corp</v>
      </c>
      <c r="C172" s="5">
        <v>-0.052754072924747</v>
      </c>
      <c r="D172" s="5">
        <v>0.278980446927374</v>
      </c>
      <c r="E172" s="5">
        <v>-0.084707646176911</v>
      </c>
      <c r="F172" s="5">
        <v>-0.052754072924747</v>
      </c>
      <c r="G172" s="5">
        <v>0.168793873643905</v>
      </c>
      <c r="H172" s="5">
        <v>-0.428727386150966</v>
      </c>
      <c r="I172" s="5">
        <v>9.61739130434782</v>
      </c>
    </row>
    <row r="173">
      <c r="A173" s="2" t="s">
        <v>198</v>
      </c>
      <c r="B173" s="8" t="str">
        <f>HYPERLINK("https://www.suredividend.com/sure-analysis-research-database/","ATN International Inc")</f>
        <v>ATN International Inc</v>
      </c>
      <c r="C173" s="5">
        <v>-0.026687195278419</v>
      </c>
      <c r="D173" s="5">
        <v>0.369180621383475</v>
      </c>
      <c r="E173" s="5">
        <v>0.100492073439639</v>
      </c>
      <c r="F173" s="5">
        <v>-0.026687195278419</v>
      </c>
      <c r="G173" s="5">
        <v>-0.172464650299226</v>
      </c>
      <c r="H173" s="5">
        <v>0.007351300819053</v>
      </c>
      <c r="I173" s="5">
        <v>-0.429972077197981</v>
      </c>
    </row>
    <row r="174">
      <c r="A174" s="2" t="s">
        <v>199</v>
      </c>
      <c r="B174" s="8" t="str">
        <f>HYPERLINK("https://www.suredividend.com/sure-analysis-research-database/","Atomera Inc")</f>
        <v>Atomera Inc</v>
      </c>
      <c r="C174" s="5">
        <v>0.20114122681883</v>
      </c>
      <c r="D174" s="5">
        <v>0.332278481012658</v>
      </c>
      <c r="E174" s="5">
        <v>0.040791100123609</v>
      </c>
      <c r="F174" s="5">
        <v>0.20114122681883</v>
      </c>
      <c r="G174" s="5">
        <v>0.187588152327221</v>
      </c>
      <c r="H174" s="5">
        <v>-0.326938449240607</v>
      </c>
      <c r="I174" s="5">
        <v>1.23342175066312</v>
      </c>
    </row>
    <row r="175">
      <c r="A175" s="2" t="s">
        <v>200</v>
      </c>
      <c r="B175" s="8" t="str">
        <f>HYPERLINK("https://www.suredividend.com/sure-analysis-research-database/","Atara Biotherapeutics Inc")</f>
        <v>Atara Biotherapeutics Inc</v>
      </c>
      <c r="C175" s="5">
        <v>0.19773790951638</v>
      </c>
      <c r="D175" s="5">
        <v>-0.50864</v>
      </c>
      <c r="E175" s="5">
        <v>-0.701844660194174</v>
      </c>
      <c r="F175" s="5">
        <v>0.19773790951638</v>
      </c>
      <c r="G175" s="5">
        <v>-0.883453510436432</v>
      </c>
      <c r="H175" s="5">
        <v>-0.958667563930013</v>
      </c>
      <c r="I175" s="5">
        <v>-0.982238288027761</v>
      </c>
    </row>
    <row r="176">
      <c r="A176" s="2" t="s">
        <v>201</v>
      </c>
      <c r="B176" s="8" t="str">
        <f>HYPERLINK("https://www.suredividend.com/sure-analysis-research-database/","Atricure Inc")</f>
        <v>Atricure Inc</v>
      </c>
      <c r="C176" s="5">
        <v>-0.041748388904454</v>
      </c>
      <c r="D176" s="5">
        <v>0.025794841031793</v>
      </c>
      <c r="E176" s="5">
        <v>-0.382113821138211</v>
      </c>
      <c r="F176" s="5">
        <v>-0.041748388904454</v>
      </c>
      <c r="G176" s="5">
        <v>-0.210161662817551</v>
      </c>
      <c r="H176" s="5">
        <v>-0.439895185063871</v>
      </c>
      <c r="I176" s="5">
        <v>0.156577612445045</v>
      </c>
    </row>
    <row r="177">
      <c r="A177" s="2" t="s">
        <v>202</v>
      </c>
      <c r="B177" s="8" t="str">
        <f>HYPERLINK("https://www.suredividend.com/sure-analysis-ATRI/","Atrion Corp.")</f>
        <v>Atrion Corp.</v>
      </c>
      <c r="C177" s="5">
        <v>-0.115604952612265</v>
      </c>
      <c r="D177" s="5">
        <v>-0.009126389626292</v>
      </c>
      <c r="E177" s="5">
        <v>-0.392999490300766</v>
      </c>
      <c r="F177" s="5">
        <v>-0.115604952612265</v>
      </c>
      <c r="G177" s="5">
        <v>-0.469070251673379</v>
      </c>
      <c r="H177" s="5">
        <v>-0.424098107551999</v>
      </c>
      <c r="I177" s="5">
        <v>-0.529845809073611</v>
      </c>
    </row>
    <row r="178">
      <c r="A178" s="2" t="s">
        <v>203</v>
      </c>
      <c r="B178" s="8" t="str">
        <f>HYPERLINK("https://www.suredividend.com/sure-analysis-research-database/","Astronics Corp.")</f>
        <v>Astronics Corp.</v>
      </c>
      <c r="C178" s="5">
        <v>0.001148105625717</v>
      </c>
      <c r="D178" s="5">
        <v>0.178378378378378</v>
      </c>
      <c r="E178" s="5">
        <v>-0.138339920948616</v>
      </c>
      <c r="F178" s="5">
        <v>0.001148105625717</v>
      </c>
      <c r="G178" s="5">
        <v>0.179972936400541</v>
      </c>
      <c r="H178" s="5">
        <v>0.460636515912898</v>
      </c>
      <c r="I178" s="5">
        <v>-0.432661027976577</v>
      </c>
    </row>
    <row r="179">
      <c r="A179" s="2" t="s">
        <v>204</v>
      </c>
      <c r="B179" s="8" t="str">
        <f>HYPERLINK("https://www.suredividend.com/sure-analysis-research-database/","Air Transport Services Group Inc")</f>
        <v>Air Transport Services Group Inc</v>
      </c>
      <c r="C179" s="5">
        <v>-0.070982396365701</v>
      </c>
      <c r="D179" s="5">
        <v>-0.135763338615953</v>
      </c>
      <c r="E179" s="5">
        <v>-0.170805879371515</v>
      </c>
      <c r="F179" s="5">
        <v>-0.070982396365701</v>
      </c>
      <c r="G179" s="5">
        <v>-0.409386281588447</v>
      </c>
      <c r="H179" s="5">
        <v>-0.372699386503067</v>
      </c>
      <c r="I179" s="5">
        <v>-0.306779661016949</v>
      </c>
    </row>
    <row r="180">
      <c r="A180" s="2" t="s">
        <v>205</v>
      </c>
      <c r="B180" s="8" t="str">
        <f>HYPERLINK("https://www.suredividend.com/sure-analysis-research-database/","Atlantic Union Bankshares Corp")</f>
        <v>Atlantic Union Bankshares Corp</v>
      </c>
      <c r="C180" s="5">
        <v>-0.018336070060207</v>
      </c>
      <c r="D180" s="5">
        <v>0.291453794613122</v>
      </c>
      <c r="E180" s="5">
        <v>0.172609259919123</v>
      </c>
      <c r="F180" s="5">
        <v>-0.018336070060207</v>
      </c>
      <c r="G180" s="5">
        <v>-0.023751656791689</v>
      </c>
      <c r="H180" s="5">
        <v>-0.040667975373489</v>
      </c>
      <c r="I180" s="5">
        <v>0.122400127666365</v>
      </c>
    </row>
    <row r="181">
      <c r="A181" s="2" t="s">
        <v>206</v>
      </c>
      <c r="B181" s="8" t="str">
        <f>HYPERLINK("https://www.suredividend.com/sure-analysis-research-database/","Aurinia Pharmaceuticals Inc")</f>
        <v>Aurinia Pharmaceuticals Inc</v>
      </c>
      <c r="C181" s="5">
        <v>-0.10678531701891</v>
      </c>
      <c r="D181" s="5">
        <v>0.11682892906815</v>
      </c>
      <c r="E181" s="5">
        <v>-0.345558272208639</v>
      </c>
      <c r="F181" s="5">
        <v>-0.10678531701891</v>
      </c>
      <c r="G181" s="5">
        <v>-0.143009605122732</v>
      </c>
      <c r="H181" s="5">
        <v>-0.487555839183152</v>
      </c>
      <c r="I181" s="5">
        <v>0.274603174603174</v>
      </c>
    </row>
    <row r="182">
      <c r="A182" s="2" t="s">
        <v>207</v>
      </c>
      <c r="B182" s="8" t="str">
        <f>HYPERLINK("https://www.suredividend.com/sure-analysis-research-database/","Aura Biosciences Inc")</f>
        <v>Aura Biosciences Inc</v>
      </c>
      <c r="C182" s="5">
        <v>-0.100451467268622</v>
      </c>
      <c r="D182" s="5">
        <v>0.099310344827586</v>
      </c>
      <c r="E182" s="5">
        <v>-0.323429541595925</v>
      </c>
      <c r="F182" s="5">
        <v>-0.100451467268622</v>
      </c>
      <c r="G182" s="5">
        <v>-0.208540218470705</v>
      </c>
      <c r="H182" s="5">
        <v>-0.550985915492957</v>
      </c>
      <c r="I182" s="5">
        <v>-0.461486486486486</v>
      </c>
    </row>
    <row r="183">
      <c r="A183" s="2" t="s">
        <v>208</v>
      </c>
      <c r="B183" s="8" t="str">
        <f>HYPERLINK("https://www.suredividend.com/sure-analysis-AVA/","Avista Corp.")</f>
        <v>Avista Corp.</v>
      </c>
      <c r="C183" s="5">
        <v>-0.042809177392277</v>
      </c>
      <c r="D183" s="5">
        <v>0.089029169173566</v>
      </c>
      <c r="E183" s="5">
        <v>-0.098096802343208</v>
      </c>
      <c r="F183" s="5">
        <v>-0.042809177392277</v>
      </c>
      <c r="G183" s="5">
        <v>-0.101000173440481</v>
      </c>
      <c r="H183" s="5">
        <v>-0.159269417165551</v>
      </c>
      <c r="I183" s="5">
        <v>0.021346469622331</v>
      </c>
    </row>
    <row r="184">
      <c r="A184" s="2" t="s">
        <v>209</v>
      </c>
      <c r="B184" s="8" t="str">
        <f>HYPERLINK("https://www.suredividend.com/sure-analysis-research-database/","Aveanna Healthcare Holdings Inc")</f>
        <v>Aveanna Healthcare Holdings Inc</v>
      </c>
      <c r="C184" s="5">
        <v>-0.061567164179104</v>
      </c>
      <c r="D184" s="5">
        <v>1.09583333333333</v>
      </c>
      <c r="E184" s="5">
        <v>0.453757225433526</v>
      </c>
      <c r="F184" s="5">
        <v>-0.061567164179104</v>
      </c>
      <c r="G184" s="5">
        <v>0.980314960629921</v>
      </c>
      <c r="H184" s="5">
        <v>-0.529906542056074</v>
      </c>
      <c r="I184" s="5">
        <v>-0.781873373807458</v>
      </c>
    </row>
    <row r="185">
      <c r="A185" s="2" t="s">
        <v>210</v>
      </c>
      <c r="B185" s="8" t="str">
        <f>HYPERLINK("https://www.suredividend.com/sure-analysis-research-database/","AeroVironment Inc.")</f>
        <v>AeroVironment Inc.</v>
      </c>
      <c r="C185" s="5">
        <v>-0.017137416693113</v>
      </c>
      <c r="D185" s="5">
        <v>0.087334328096199</v>
      </c>
      <c r="E185" s="5">
        <v>0.303588340524044</v>
      </c>
      <c r="F185" s="5">
        <v>-0.017137416693113</v>
      </c>
      <c r="G185" s="5">
        <v>0.398194130925507</v>
      </c>
      <c r="H185" s="5">
        <v>1.30345853477129</v>
      </c>
      <c r="I185" s="5">
        <v>0.624655737704918</v>
      </c>
    </row>
    <row r="186">
      <c r="A186" s="2" t="s">
        <v>211</v>
      </c>
      <c r="B186" s="8" t="str">
        <f>HYPERLINK("https://www.suredividend.com/sure-analysis-research-database/","American Vanguard Corp.")</f>
        <v>American Vanguard Corp.</v>
      </c>
      <c r="C186" s="5">
        <v>-0.005469462169553</v>
      </c>
      <c r="D186" s="5">
        <v>0.173749327595481</v>
      </c>
      <c r="E186" s="5">
        <v>-0.386634133726127</v>
      </c>
      <c r="F186" s="5">
        <v>-0.005469462169553</v>
      </c>
      <c r="G186" s="5">
        <v>-0.509098108385378</v>
      </c>
      <c r="H186" s="5">
        <v>-0.267259038369836</v>
      </c>
      <c r="I186" s="5">
        <v>-0.345966393103572</v>
      </c>
    </row>
    <row r="187">
      <c r="A187" s="2" t="s">
        <v>212</v>
      </c>
      <c r="B187" s="8" t="str">
        <f>HYPERLINK("https://www.suredividend.com/sure-analysis-research-database/","AvidXchange Holdings Inc")</f>
        <v>AvidXchange Holdings Inc</v>
      </c>
      <c r="C187" s="5">
        <v>-0.076674737691686</v>
      </c>
      <c r="D187" s="5">
        <v>0.330232558139534</v>
      </c>
      <c r="E187" s="5">
        <v>-0.066884176182708</v>
      </c>
      <c r="F187" s="5">
        <v>-0.076674737691686</v>
      </c>
      <c r="G187" s="5">
        <v>0.003508771929824</v>
      </c>
      <c r="H187" s="5">
        <v>0.268292682926829</v>
      </c>
      <c r="I187" s="5">
        <v>-0.541299117882919</v>
      </c>
    </row>
    <row r="188">
      <c r="A188" s="2" t="s">
        <v>213</v>
      </c>
      <c r="B188" s="8" t="str">
        <f>HYPERLINK("https://www.suredividend.com/sure-analysis-research-database/","Avid Technology, Inc.")</f>
        <v>Avid Technology, Inc.</v>
      </c>
      <c r="C188" s="5">
        <v>0.0</v>
      </c>
      <c r="D188" s="5">
        <v>0.0</v>
      </c>
      <c r="E188" s="5">
        <v>0.0</v>
      </c>
      <c r="F188" s="5">
        <v>0.0</v>
      </c>
      <c r="G188" s="5">
        <v>0.0</v>
      </c>
      <c r="H188" s="5">
        <v>0.0</v>
      </c>
      <c r="I188" s="5">
        <v>0.0</v>
      </c>
    </row>
    <row r="189">
      <c r="A189" s="2" t="s">
        <v>214</v>
      </c>
      <c r="B189" s="8" t="str">
        <f>HYPERLINK("https://www.suredividend.com/sure-analysis-research-database/","Atea Pharmaceuticals Inc")</f>
        <v>Atea Pharmaceuticals Inc</v>
      </c>
      <c r="C189" s="5">
        <v>0.288524590163934</v>
      </c>
      <c r="D189" s="5">
        <v>0.275974025974026</v>
      </c>
      <c r="E189" s="5">
        <v>0.155882352941176</v>
      </c>
      <c r="F189" s="5">
        <v>0.288524590163934</v>
      </c>
      <c r="G189" s="5">
        <v>-0.145652173913043</v>
      </c>
      <c r="H189" s="5">
        <v>-0.422058823529411</v>
      </c>
      <c r="I189" s="5">
        <v>-0.870468029004614</v>
      </c>
    </row>
    <row r="190">
      <c r="A190" s="2" t="s">
        <v>215</v>
      </c>
      <c r="B190" s="8" t="str">
        <f>HYPERLINK("https://www.suredividend.com/sure-analysis-research-database/","Avanos Medical Inc")</f>
        <v>Avanos Medical Inc</v>
      </c>
      <c r="C190" s="5">
        <v>-0.128399465002229</v>
      </c>
      <c r="D190" s="5">
        <v>0.09769792251544</v>
      </c>
      <c r="E190" s="5">
        <v>-0.198441984419844</v>
      </c>
      <c r="F190" s="5">
        <v>-0.128399465002229</v>
      </c>
      <c r="G190" s="5">
        <v>-0.354146019160885</v>
      </c>
      <c r="H190" s="5">
        <v>-0.336613505259586</v>
      </c>
      <c r="I190" s="5">
        <v>-0.560871518418688</v>
      </c>
    </row>
    <row r="191">
      <c r="A191" s="2" t="s">
        <v>216</v>
      </c>
      <c r="B191" s="8" t="str">
        <f>HYPERLINK("https://www.suredividend.com/sure-analysis-AVNT/","Avient Corp")</f>
        <v>Avient Corp</v>
      </c>
      <c r="C191" s="5">
        <v>-0.102477748376232</v>
      </c>
      <c r="D191" s="5">
        <v>0.204776481833094</v>
      </c>
      <c r="E191" s="5">
        <v>-0.057618864798237</v>
      </c>
      <c r="F191" s="5">
        <v>-0.102477748376232</v>
      </c>
      <c r="G191" s="5">
        <v>-0.038838052842009</v>
      </c>
      <c r="H191" s="5">
        <v>-0.207207590068314</v>
      </c>
      <c r="I191" s="5">
        <v>0.19246614527568</v>
      </c>
    </row>
    <row r="192">
      <c r="A192" s="2" t="s">
        <v>217</v>
      </c>
      <c r="B192" s="8" t="str">
        <f>HYPERLINK("https://www.suredividend.com/sure-analysis-research-database/","Aviat Networks Inc")</f>
        <v>Aviat Networks Inc</v>
      </c>
      <c r="C192" s="5">
        <v>-0.033374157991426</v>
      </c>
      <c r="D192" s="5">
        <v>0.239984289080911</v>
      </c>
      <c r="E192" s="5">
        <v>0.039170506912442</v>
      </c>
      <c r="F192" s="5">
        <v>-0.033374157991426</v>
      </c>
      <c r="G192" s="5">
        <v>0.013808606294155</v>
      </c>
      <c r="H192" s="5">
        <v>0.102689486552567</v>
      </c>
      <c r="I192" s="5">
        <v>3.61212563915266</v>
      </c>
    </row>
    <row r="193">
      <c r="A193" s="2" t="s">
        <v>218</v>
      </c>
      <c r="B193" s="8" t="str">
        <f>HYPERLINK("https://www.suredividend.com/sure-analysis-research-database/","Mission Produce Inc")</f>
        <v>Mission Produce Inc</v>
      </c>
      <c r="C193" s="5">
        <v>0.026759167492566</v>
      </c>
      <c r="D193" s="5">
        <v>0.112781954887217</v>
      </c>
      <c r="E193" s="5">
        <v>-0.111492281303602</v>
      </c>
      <c r="F193" s="5">
        <v>0.026759167492566</v>
      </c>
      <c r="G193" s="5">
        <v>-0.167871485943775</v>
      </c>
      <c r="H193" s="5">
        <v>-0.23991195891416</v>
      </c>
      <c r="I193" s="5">
        <v>-0.1712</v>
      </c>
    </row>
    <row r="194">
      <c r="A194" s="2" t="s">
        <v>219</v>
      </c>
      <c r="B194" s="8" t="str">
        <f>HYPERLINK("https://www.suredividend.com/sure-analysis-research-database/","AvePoint Inc")</f>
        <v>AvePoint Inc</v>
      </c>
      <c r="C194" s="5">
        <v>-0.034104750304506</v>
      </c>
      <c r="D194" s="5">
        <v>0.086301369863013</v>
      </c>
      <c r="E194" s="5">
        <v>0.319467554076539</v>
      </c>
      <c r="F194" s="5">
        <v>-0.034104750304506</v>
      </c>
      <c r="G194" s="5">
        <v>0.754424778761062</v>
      </c>
      <c r="H194" s="5">
        <v>0.449725776965265</v>
      </c>
      <c r="I194" s="5">
        <v>-0.189161554192229</v>
      </c>
    </row>
    <row r="195">
      <c r="A195" s="2" t="s">
        <v>220</v>
      </c>
      <c r="B195" s="8" t="str">
        <f>HYPERLINK("https://www.suredividend.com/sure-analysis-research-database/","Avantax Inc")</f>
        <v>Avantax Inc</v>
      </c>
      <c r="C195" s="5">
        <v>0.0</v>
      </c>
      <c r="D195" s="5">
        <v>0.0</v>
      </c>
      <c r="E195" s="5">
        <v>0.0</v>
      </c>
      <c r="F195" s="5">
        <v>0.0</v>
      </c>
      <c r="G195" s="5">
        <v>0.0</v>
      </c>
      <c r="H195" s="5">
        <v>0.0</v>
      </c>
      <c r="I195" s="5">
        <v>0.0</v>
      </c>
    </row>
    <row r="196">
      <c r="A196" s="2" t="s">
        <v>221</v>
      </c>
      <c r="B196" s="8" t="str">
        <f>HYPERLINK("https://www.suredividend.com/sure-analysis-research-database/","Aerovate Therapeutics Inc")</f>
        <v>Aerovate Therapeutics Inc</v>
      </c>
      <c r="C196" s="5">
        <v>-0.200397702165267</v>
      </c>
      <c r="D196" s="5">
        <v>0.888830897703548</v>
      </c>
      <c r="E196" s="5">
        <v>0.039345203905801</v>
      </c>
      <c r="F196" s="5">
        <v>-0.200397702165267</v>
      </c>
      <c r="G196" s="5">
        <v>-0.236819907212146</v>
      </c>
      <c r="H196" s="5">
        <v>0.791584158415841</v>
      </c>
      <c r="I196" s="5">
        <v>-0.207402540516863</v>
      </c>
    </row>
    <row r="197">
      <c r="A197" s="2" t="s">
        <v>222</v>
      </c>
      <c r="B197" s="8" t="str">
        <f>HYPERLINK("https://www.suredividend.com/sure-analysis-research-database/","Anavex Life Sciences Corporation")</f>
        <v>Anavex Life Sciences Corporation</v>
      </c>
      <c r="C197" s="5">
        <v>-0.274973147153598</v>
      </c>
      <c r="D197" s="5">
        <v>0.298076923076923</v>
      </c>
      <c r="E197" s="5">
        <v>-0.148802017654476</v>
      </c>
      <c r="F197" s="5">
        <v>-0.274973147153598</v>
      </c>
      <c r="G197" s="5">
        <v>-0.360795454545454</v>
      </c>
      <c r="H197" s="5">
        <v>-0.445357436318816</v>
      </c>
      <c r="I197" s="5">
        <v>2.75</v>
      </c>
    </row>
    <row r="198">
      <c r="A198" s="2" t="s">
        <v>223</v>
      </c>
      <c r="B198" s="8" t="str">
        <f>HYPERLINK("https://www.suredividend.com/sure-analysis-AWR/","American States Water Co.")</f>
        <v>American States Water Co.</v>
      </c>
      <c r="C198" s="5">
        <v>-0.05645361850286</v>
      </c>
      <c r="D198" s="5">
        <v>-0.016214057715096</v>
      </c>
      <c r="E198" s="5">
        <v>-0.129415166166053</v>
      </c>
      <c r="F198" s="5">
        <v>-0.05645361850286</v>
      </c>
      <c r="G198" s="5">
        <v>-0.187517667314825</v>
      </c>
      <c r="H198" s="5">
        <v>-0.130415848709776</v>
      </c>
      <c r="I198" s="5">
        <v>0.270445074346485</v>
      </c>
    </row>
    <row r="199">
      <c r="A199" s="2" t="s">
        <v>224</v>
      </c>
      <c r="B199" s="8" t="str">
        <f>HYPERLINK("https://www.suredividend.com/sure-analysis-research-database/","Axos Financial Inc.")</f>
        <v>Axos Financial Inc.</v>
      </c>
      <c r="C199" s="5">
        <v>0.041758241758241</v>
      </c>
      <c r="D199" s="5">
        <v>0.632137733142037</v>
      </c>
      <c r="E199" s="5">
        <v>0.167727366043933</v>
      </c>
      <c r="F199" s="5">
        <v>0.041758241758241</v>
      </c>
      <c r="G199" s="5">
        <v>0.187473903966597</v>
      </c>
      <c r="H199" s="5">
        <v>0.11137162954279</v>
      </c>
      <c r="I199" s="5">
        <v>0.988811188811188</v>
      </c>
    </row>
    <row r="200">
      <c r="A200" s="2" t="s">
        <v>225</v>
      </c>
      <c r="B200" s="8" t="str">
        <f>HYPERLINK("https://www.suredividend.com/sure-analysis-research-database/","BioXcel Therapeutics Inc")</f>
        <v>BioXcel Therapeutics Inc</v>
      </c>
      <c r="C200" s="5">
        <v>0.162711864406779</v>
      </c>
      <c r="D200" s="5">
        <v>0.132013201320132</v>
      </c>
      <c r="E200" s="5">
        <v>-0.641962421711899</v>
      </c>
      <c r="F200" s="5">
        <v>0.162711864406779</v>
      </c>
      <c r="G200" s="5">
        <v>-0.891661402400505</v>
      </c>
      <c r="H200" s="5">
        <v>-0.77998717126363</v>
      </c>
      <c r="I200" s="5">
        <v>-0.391843971631205</v>
      </c>
    </row>
    <row r="201">
      <c r="A201" s="2" t="s">
        <v>226</v>
      </c>
      <c r="B201" s="8" t="str">
        <f>HYPERLINK("https://www.suredividend.com/sure-analysis-research-database/","Peabody Energy Corp.")</f>
        <v>Peabody Energy Corp.</v>
      </c>
      <c r="C201" s="5">
        <v>0.094983552631578</v>
      </c>
      <c r="D201" s="5">
        <v>0.076498932798654</v>
      </c>
      <c r="E201" s="5">
        <v>0.242273692067268</v>
      </c>
      <c r="F201" s="5">
        <v>0.094983552631578</v>
      </c>
      <c r="G201" s="5">
        <v>-0.013020128755842</v>
      </c>
      <c r="H201" s="5">
        <v>1.39495647168861</v>
      </c>
      <c r="I201" s="5">
        <v>-0.167830703703356</v>
      </c>
    </row>
    <row r="202">
      <c r="A202" s="2" t="s">
        <v>227</v>
      </c>
      <c r="B202" s="8" t="str">
        <f>HYPERLINK("https://www.suredividend.com/sure-analysis-research-database/","First Busey Corp.")</f>
        <v>First Busey Corp.</v>
      </c>
      <c r="C202" s="5">
        <v>0.014908116822315</v>
      </c>
      <c r="D202" s="5">
        <v>0.319543320506645</v>
      </c>
      <c r="E202" s="5">
        <v>0.200849698703776</v>
      </c>
      <c r="F202" s="5">
        <v>0.014908116822315</v>
      </c>
      <c r="G202" s="5">
        <v>0.183097789462694</v>
      </c>
      <c r="H202" s="5">
        <v>0.028881313402283</v>
      </c>
      <c r="I202" s="5">
        <v>0.22464618876155</v>
      </c>
    </row>
    <row r="203">
      <c r="A203" s="2" t="s">
        <v>228</v>
      </c>
      <c r="B203" s="8" t="str">
        <f>HYPERLINK("https://www.suredividend.com/sure-analysis-research-database/","BrightView Holdings Inc")</f>
        <v>BrightView Holdings Inc</v>
      </c>
      <c r="C203" s="5">
        <v>0.065320665083135</v>
      </c>
      <c r="D203" s="5">
        <v>0.346846846846846</v>
      </c>
      <c r="E203" s="5">
        <v>0.151476251604621</v>
      </c>
      <c r="F203" s="5">
        <v>0.065320665083135</v>
      </c>
      <c r="G203" s="5">
        <v>0.101965601965601</v>
      </c>
      <c r="H203" s="5">
        <v>-0.3094688221709</v>
      </c>
      <c r="I203" s="5">
        <v>-0.378378378378378</v>
      </c>
    </row>
    <row r="204">
      <c r="A204" s="2" t="s">
        <v>229</v>
      </c>
      <c r="B204" s="8" t="str">
        <f>HYPERLINK("https://www.suredividend.com/sure-analysis-research-database/","Bluegreen Vacations Holding Corporation")</f>
        <v>Bluegreen Vacations Holding Corporation</v>
      </c>
      <c r="C204" s="5">
        <v>-6.66222518321E-4</v>
      </c>
      <c r="D204" s="5">
        <v>1.18734779704912</v>
      </c>
      <c r="E204" s="5">
        <v>1.07299713926394</v>
      </c>
      <c r="F204" s="5">
        <v>-0.001597444089456</v>
      </c>
      <c r="G204" s="5">
        <v>1.72637054647371</v>
      </c>
      <c r="H204" s="5">
        <v>1.39556915529037</v>
      </c>
      <c r="I204" s="5">
        <v>1.54668930390492</v>
      </c>
    </row>
    <row r="205">
      <c r="A205" s="2" t="s">
        <v>230</v>
      </c>
      <c r="B205" s="8" t="str">
        <f>HYPERLINK("https://www.suredividend.com/sure-analysis-research-database/","Bioventus Inc")</f>
        <v>Bioventus Inc</v>
      </c>
      <c r="C205" s="5">
        <v>-0.087286527514231</v>
      </c>
      <c r="D205" s="5">
        <v>0.462006079027355</v>
      </c>
      <c r="E205" s="5">
        <v>0.402332361516034</v>
      </c>
      <c r="F205" s="5">
        <v>-0.087286527514231</v>
      </c>
      <c r="G205" s="5">
        <v>1.27962085308056</v>
      </c>
      <c r="H205" s="5">
        <v>-0.614891913530824</v>
      </c>
      <c r="I205" s="5">
        <v>-0.749609578344612</v>
      </c>
    </row>
    <row r="206">
      <c r="A206" s="2" t="s">
        <v>231</v>
      </c>
      <c r="B206" s="8" t="str">
        <f>HYPERLINK("https://www.suredividend.com/sure-analysis-research-database/","Babcock &amp; Wilcox Enterprises Inc")</f>
        <v>Babcock &amp; Wilcox Enterprises Inc</v>
      </c>
      <c r="C206" s="5">
        <v>-0.027397260273972</v>
      </c>
      <c r="D206" s="5">
        <v>-0.395744680851063</v>
      </c>
      <c r="E206" s="5">
        <v>-0.734082397003745</v>
      </c>
      <c r="F206" s="5">
        <v>-0.027397260273972</v>
      </c>
      <c r="G206" s="5">
        <v>-0.781538461538461</v>
      </c>
      <c r="H206" s="5">
        <v>-0.790251107828655</v>
      </c>
      <c r="I206" s="5">
        <v>-0.716170297821307</v>
      </c>
    </row>
    <row r="207">
      <c r="A207" s="2" t="s">
        <v>232</v>
      </c>
      <c r="B207" s="8" t="str">
        <f>HYPERLINK("https://www.suredividend.com/sure-analysis-research-database/","Bridgewater Bancshares Inc")</f>
        <v>Bridgewater Bancshares Inc</v>
      </c>
      <c r="C207" s="5">
        <v>-0.005917159763313</v>
      </c>
      <c r="D207" s="5">
        <v>0.476923076923077</v>
      </c>
      <c r="E207" s="5">
        <v>0.235294117647058</v>
      </c>
      <c r="F207" s="5">
        <v>-0.005917159763313</v>
      </c>
      <c r="G207" s="5">
        <v>-0.109933774834437</v>
      </c>
      <c r="H207" s="5">
        <v>-0.252918287937743</v>
      </c>
      <c r="I207" s="5">
        <v>0.21190261496844</v>
      </c>
    </row>
    <row r="208">
      <c r="A208" s="2" t="s">
        <v>233</v>
      </c>
      <c r="B208" s="8" t="str">
        <f>HYPERLINK("https://www.suredividend.com/sure-analysis-research-database/","Bankwell Financial Group Inc")</f>
        <v>Bankwell Financial Group Inc</v>
      </c>
      <c r="C208" s="5">
        <v>-0.008283631544068</v>
      </c>
      <c r="D208" s="5">
        <v>0.278043947972978</v>
      </c>
      <c r="E208" s="5">
        <v>0.116120539526627</v>
      </c>
      <c r="F208" s="5">
        <v>-0.008283631544068</v>
      </c>
      <c r="G208" s="5">
        <v>0.063686118416376</v>
      </c>
      <c r="H208" s="5">
        <v>-0.035660892875554</v>
      </c>
      <c r="I208" s="5">
        <v>0.216374934466936</v>
      </c>
    </row>
    <row r="209">
      <c r="A209" s="2" t="s">
        <v>234</v>
      </c>
      <c r="B209" s="8" t="str">
        <f>HYPERLINK("https://www.suredividend.com/sure-analysis-research-database/","Bluelinx Hldgs Inc")</f>
        <v>Bluelinx Hldgs Inc</v>
      </c>
      <c r="C209" s="5">
        <v>-0.009001853322742</v>
      </c>
      <c r="D209" s="5">
        <v>0.620112537873322</v>
      </c>
      <c r="E209" s="5">
        <v>0.210282388445785</v>
      </c>
      <c r="F209" s="5">
        <v>-0.009001853322742</v>
      </c>
      <c r="G209" s="5">
        <v>0.33250266998932</v>
      </c>
      <c r="H209" s="5">
        <v>0.594575404714569</v>
      </c>
      <c r="I209" s="5">
        <v>3.05525460455037</v>
      </c>
    </row>
    <row r="210">
      <c r="A210" s="2" t="s">
        <v>235</v>
      </c>
      <c r="B210" s="8" t="str">
        <f>HYPERLINK("https://www.suredividend.com/sure-analysis-BXMT/","Blackstone Mortgage Trust Inc")</f>
        <v>Blackstone Mortgage Trust Inc</v>
      </c>
      <c r="C210" s="5">
        <v>0.005171603196991</v>
      </c>
      <c r="D210" s="5">
        <v>0.130027114308215</v>
      </c>
      <c r="E210" s="5">
        <v>-0.018374486919312</v>
      </c>
      <c r="F210" s="5">
        <v>0.005171603196991</v>
      </c>
      <c r="G210" s="5">
        <v>0.015705910857316</v>
      </c>
      <c r="H210" s="5">
        <v>-0.130194221365163</v>
      </c>
      <c r="I210" s="5">
        <v>0.00747833544599</v>
      </c>
    </row>
    <row r="211">
      <c r="A211" s="2" t="s">
        <v>236</v>
      </c>
      <c r="B211" s="8" t="str">
        <f>HYPERLINK("https://www.suredividend.com/sure-analysis-research-database/","Byline Bancorp Inc")</f>
        <v>Byline Bancorp Inc</v>
      </c>
      <c r="C211" s="5">
        <v>-0.036926994906621</v>
      </c>
      <c r="D211" s="5">
        <v>0.217516352494862</v>
      </c>
      <c r="E211" s="5">
        <v>0.033157573605077</v>
      </c>
      <c r="F211" s="5">
        <v>-0.036926994906621</v>
      </c>
      <c r="G211" s="5">
        <v>-0.04795471805781</v>
      </c>
      <c r="H211" s="5">
        <v>-0.110889932954282</v>
      </c>
      <c r="I211" s="5">
        <v>0.290208855757038</v>
      </c>
    </row>
    <row r="212">
      <c r="A212" s="2" t="s">
        <v>237</v>
      </c>
      <c r="B212" s="8" t="str">
        <f>HYPERLINK("https://www.suredividend.com/sure-analysis-research-database/","Beyond Meat Inc")</f>
        <v>Beyond Meat Inc</v>
      </c>
      <c r="C212" s="5">
        <v>-0.203370786516854</v>
      </c>
      <c r="D212" s="5">
        <v>0.187604690117253</v>
      </c>
      <c r="E212" s="5">
        <v>-0.553245116572148</v>
      </c>
      <c r="F212" s="5">
        <v>-0.203370786516854</v>
      </c>
      <c r="G212" s="5">
        <v>-0.61696380334954</v>
      </c>
      <c r="H212" s="5">
        <v>-0.874602051644853</v>
      </c>
      <c r="I212" s="5">
        <v>-0.892167300380228</v>
      </c>
    </row>
    <row r="213">
      <c r="A213" s="2" t="s">
        <v>238</v>
      </c>
      <c r="B213" s="8" t="str">
        <f>HYPERLINK("https://www.suredividend.com/sure-analysis-research-database/","Beazer Homes USA Inc.")</f>
        <v>Beazer Homes USA Inc.</v>
      </c>
      <c r="C213" s="5">
        <v>-0.035513465522343</v>
      </c>
      <c r="D213" s="5">
        <v>0.390951771233461</v>
      </c>
      <c r="E213" s="5">
        <v>-0.080158058142816</v>
      </c>
      <c r="F213" s="5">
        <v>-0.035513465522343</v>
      </c>
      <c r="G213" s="5">
        <v>1.05226700251889</v>
      </c>
      <c r="H213" s="5">
        <v>0.832958380202474</v>
      </c>
      <c r="I213" s="5">
        <v>1.78547008547008</v>
      </c>
    </row>
    <row r="214">
      <c r="A214" s="2" t="s">
        <v>239</v>
      </c>
      <c r="B214" s="8" t="str">
        <f>HYPERLINK("https://www.suredividend.com/sure-analysis-research-database/","Camden National Corp.")</f>
        <v>Camden National Corp.</v>
      </c>
      <c r="C214" s="5">
        <v>0.022453180617985</v>
      </c>
      <c r="D214" s="5">
        <v>0.375576205458403</v>
      </c>
      <c r="E214" s="5">
        <v>0.136363636363636</v>
      </c>
      <c r="F214" s="5">
        <v>0.022453180617985</v>
      </c>
      <c r="G214" s="5">
        <v>0.004853227289248</v>
      </c>
      <c r="H214" s="5">
        <v>-0.125853803698382</v>
      </c>
      <c r="I214" s="5">
        <v>0.194595092628776</v>
      </c>
    </row>
    <row r="215">
      <c r="A215" s="2" t="s">
        <v>240</v>
      </c>
      <c r="B215" s="8" t="str">
        <f>HYPERLINK("https://www.suredividend.com/sure-analysis-research-database/","Cadence Bank")</f>
        <v>Cadence Bank</v>
      </c>
      <c r="C215" s="5">
        <v>0.013518080432578</v>
      </c>
      <c r="D215" s="5">
        <v>0.446437442424651</v>
      </c>
      <c r="E215" s="5">
        <v>0.233927873439075</v>
      </c>
      <c r="F215" s="5">
        <v>0.013518080432578</v>
      </c>
      <c r="G215" s="5">
        <v>0.197760240270943</v>
      </c>
      <c r="H215" s="5">
        <v>0.04981272097175</v>
      </c>
      <c r="I215" s="5">
        <v>0.1086466304388</v>
      </c>
    </row>
    <row r="216">
      <c r="A216" s="2" t="s">
        <v>241</v>
      </c>
      <c r="B216" s="8" t="str">
        <f>HYPERLINK("https://www.suredividend.com/sure-analysis-CAKE/","Cheesecake Factory Inc.")</f>
        <v>Cheesecake Factory Inc.</v>
      </c>
      <c r="C216" s="5">
        <v>-0.00457012282205</v>
      </c>
      <c r="D216" s="5">
        <v>0.184664962471445</v>
      </c>
      <c r="E216" s="5">
        <v>-0.027674314140712</v>
      </c>
      <c r="F216" s="5">
        <v>-0.00457012282205</v>
      </c>
      <c r="G216" s="5">
        <v>-0.04755918251335</v>
      </c>
      <c r="H216" s="5">
        <v>0.081599463700466</v>
      </c>
      <c r="I216" s="5">
        <v>-0.121491322048425</v>
      </c>
    </row>
    <row r="217">
      <c r="A217" s="2" t="s">
        <v>242</v>
      </c>
      <c r="B217" s="8" t="str">
        <f>HYPERLINK("https://www.suredividend.com/sure-analysis-research-database/","Caleres Inc")</f>
        <v>Caleres Inc</v>
      </c>
      <c r="C217" s="5">
        <v>0.030914415880247</v>
      </c>
      <c r="D217" s="5">
        <v>0.256459781785299</v>
      </c>
      <c r="E217" s="5">
        <v>0.171541309034698</v>
      </c>
      <c r="F217" s="5">
        <v>0.030914415880247</v>
      </c>
      <c r="G217" s="5">
        <v>0.275069730375879</v>
      </c>
      <c r="H217" s="5">
        <v>0.404865588775265</v>
      </c>
      <c r="I217" s="5">
        <v>0.162675474814203</v>
      </c>
    </row>
    <row r="218">
      <c r="A218" s="2" t="s">
        <v>243</v>
      </c>
      <c r="B218" s="8" t="str">
        <f>HYPERLINK("https://www.suredividend.com/sure-analysis-research-database/","Cal-Maine Foods, Inc.")</f>
        <v>Cal-Maine Foods, Inc.</v>
      </c>
      <c r="C218" s="5">
        <v>-0.040772866384476</v>
      </c>
      <c r="D218" s="5">
        <v>0.208615360193314</v>
      </c>
      <c r="E218" s="5">
        <v>0.230567197415768</v>
      </c>
      <c r="F218" s="5">
        <v>-0.040772866384476</v>
      </c>
      <c r="G218" s="5">
        <v>0.077382672083237</v>
      </c>
      <c r="H218" s="5">
        <v>0.590519242375005</v>
      </c>
      <c r="I218" s="5">
        <v>0.50470888883399</v>
      </c>
    </row>
    <row r="219">
      <c r="A219" s="2" t="s">
        <v>244</v>
      </c>
      <c r="B219" s="8" t="str">
        <f>HYPERLINK("https://www.suredividend.com/sure-analysis-research-database/","Calix Inc")</f>
        <v>Calix Inc</v>
      </c>
      <c r="C219" s="5">
        <v>0.015106431677729</v>
      </c>
      <c r="D219" s="5">
        <v>0.355854478752674</v>
      </c>
      <c r="E219" s="5">
        <v>0.004302536231884</v>
      </c>
      <c r="F219" s="5">
        <v>0.015106431677729</v>
      </c>
      <c r="G219" s="5">
        <v>-0.132093933463796</v>
      </c>
      <c r="H219" s="5">
        <v>-0.052350427350427</v>
      </c>
      <c r="I219" s="5">
        <v>3.11410018552875</v>
      </c>
    </row>
    <row r="220">
      <c r="A220" s="2" t="s">
        <v>245</v>
      </c>
      <c r="B220" s="8" t="str">
        <f>HYPERLINK("https://www.suredividend.com/sure-analysis-research-database/","Cara Therapeutics Inc")</f>
        <v>Cara Therapeutics Inc</v>
      </c>
      <c r="C220" s="5">
        <v>-0.17900403768506</v>
      </c>
      <c r="D220" s="5">
        <v>-0.424528301886792</v>
      </c>
      <c r="E220" s="5">
        <v>-0.813455657492354</v>
      </c>
      <c r="F220" s="5">
        <v>-0.17900403768506</v>
      </c>
      <c r="G220" s="5">
        <v>-0.949166666666666</v>
      </c>
      <c r="H220" s="5">
        <v>-0.944696282864914</v>
      </c>
      <c r="I220" s="5">
        <v>-0.958446866485013</v>
      </c>
    </row>
    <row r="221">
      <c r="A221" s="2" t="s">
        <v>246</v>
      </c>
      <c r="B221" s="8" t="str">
        <f>HYPERLINK("https://www.suredividend.com/sure-analysis-research-database/","Carter Bankshares Inc")</f>
        <v>Carter Bankshares Inc</v>
      </c>
      <c r="C221" s="5">
        <v>0.02004008016032</v>
      </c>
      <c r="D221" s="5">
        <v>0.391978122151321</v>
      </c>
      <c r="E221" s="5">
        <v>0.017321785476348</v>
      </c>
      <c r="F221" s="5">
        <v>0.02004008016032</v>
      </c>
      <c r="G221" s="5">
        <v>-0.050963331261653</v>
      </c>
      <c r="H221" s="5">
        <v>-0.010369410239792</v>
      </c>
      <c r="I221" s="5">
        <v>0.785964912280701</v>
      </c>
    </row>
    <row r="222">
      <c r="A222" s="2" t="s">
        <v>247</v>
      </c>
      <c r="B222" s="8" t="str">
        <f>HYPERLINK("https://www.suredividend.com/sure-analysis-research-database/","CarGurus Inc")</f>
        <v>CarGurus Inc</v>
      </c>
      <c r="C222" s="5">
        <v>-0.012417218543046</v>
      </c>
      <c r="D222" s="5">
        <v>0.403529411764705</v>
      </c>
      <c r="E222" s="5">
        <v>0.074774774774774</v>
      </c>
      <c r="F222" s="5">
        <v>-0.012417218543046</v>
      </c>
      <c r="G222" s="5">
        <v>0.382387022016222</v>
      </c>
      <c r="H222" s="5">
        <v>-0.215647600262984</v>
      </c>
      <c r="I222" s="5">
        <v>-0.408527516113039</v>
      </c>
    </row>
    <row r="223">
      <c r="A223" s="2" t="s">
        <v>248</v>
      </c>
      <c r="B223" s="8" t="str">
        <f>HYPERLINK("https://www.suredividend.com/sure-analysis-research-database/","Cars.com")</f>
        <v>Cars.com</v>
      </c>
      <c r="C223" s="5">
        <v>-0.023721665788086</v>
      </c>
      <c r="D223" s="5">
        <v>0.21522309711286</v>
      </c>
      <c r="E223" s="5">
        <v>-0.176888888888888</v>
      </c>
      <c r="F223" s="5">
        <v>-0.023721665788086</v>
      </c>
      <c r="G223" s="5">
        <v>0.13064713064713</v>
      </c>
      <c r="H223" s="5">
        <v>0.247138047138047</v>
      </c>
      <c r="I223" s="5">
        <v>-0.288239815526518</v>
      </c>
    </row>
    <row r="224">
      <c r="A224" s="2" t="s">
        <v>249</v>
      </c>
      <c r="B224" s="8" t="str">
        <f>HYPERLINK("https://www.suredividend.com/sure-analysis-research-database/","Casa Systems Inc")</f>
        <v>Casa Systems Inc</v>
      </c>
      <c r="C224" s="5">
        <v>-0.288679245283018</v>
      </c>
      <c r="D224" s="5">
        <v>-0.388978930307941</v>
      </c>
      <c r="E224" s="5">
        <v>-0.654128440366972</v>
      </c>
      <c r="F224" s="5">
        <v>-0.288679245283018</v>
      </c>
      <c r="G224" s="5">
        <v>-0.8821875</v>
      </c>
      <c r="H224" s="5">
        <v>-0.907823960880195</v>
      </c>
      <c r="I224" s="5">
        <v>-0.967722602739726</v>
      </c>
    </row>
    <row r="225">
      <c r="A225" s="2" t="s">
        <v>250</v>
      </c>
      <c r="B225" s="8" t="str">
        <f>HYPERLINK("https://www.suredividend.com/sure-analysis-research-database/","Pathward Financial Inc")</f>
        <v>Pathward Financial Inc</v>
      </c>
      <c r="C225" s="5">
        <v>0.020215378802191</v>
      </c>
      <c r="D225" s="5">
        <v>0.18934086288882</v>
      </c>
      <c r="E225" s="5">
        <v>0.017328495371155</v>
      </c>
      <c r="F225" s="5">
        <v>0.020215378802191</v>
      </c>
      <c r="G225" s="5">
        <v>0.103522689652635</v>
      </c>
      <c r="H225" s="5">
        <v>-0.056085973087962</v>
      </c>
      <c r="I225" s="5">
        <v>1.28847498569703</v>
      </c>
    </row>
    <row r="226">
      <c r="A226" s="2" t="s">
        <v>251</v>
      </c>
      <c r="B226" s="8" t="str">
        <f>HYPERLINK("https://www.suredividend.com/sure-analysis-CASS/","Cass Information Systems Inc")</f>
        <v>Cass Information Systems Inc</v>
      </c>
      <c r="C226" s="5">
        <v>-0.008879023307436</v>
      </c>
      <c r="D226" s="5">
        <v>0.219219153618882</v>
      </c>
      <c r="E226" s="5">
        <v>0.197895567115687</v>
      </c>
      <c r="F226" s="5">
        <v>-0.008879023307436</v>
      </c>
      <c r="G226" s="5">
        <v>-0.03049016159221</v>
      </c>
      <c r="H226" s="5">
        <v>0.204780265888124</v>
      </c>
      <c r="I226" s="5">
        <v>0.018401941464126</v>
      </c>
    </row>
    <row r="227">
      <c r="A227" s="2" t="s">
        <v>252</v>
      </c>
      <c r="B227" s="8" t="str">
        <f>HYPERLINK("https://www.suredividend.com/sure-analysis-CATC/","Cambridge Bancorp")</f>
        <v>Cambridge Bancorp</v>
      </c>
      <c r="C227" s="5">
        <v>0.04178674351585</v>
      </c>
      <c r="D227" s="5">
        <v>0.348291977010036</v>
      </c>
      <c r="E227" s="5">
        <v>0.248719759997098</v>
      </c>
      <c r="F227" s="5">
        <v>0.04178674351585</v>
      </c>
      <c r="G227" s="5">
        <v>-0.012373336538908</v>
      </c>
      <c r="H227" s="5">
        <v>-0.092695635150702</v>
      </c>
      <c r="I227" s="5">
        <v>0.184467260047083</v>
      </c>
    </row>
    <row r="228">
      <c r="A228" s="2" t="s">
        <v>253</v>
      </c>
      <c r="B228" s="8" t="str">
        <f>HYPERLINK("https://www.suredividend.com/sure-analysis-research-database/","Cato Corp.")</f>
        <v>Cato Corp.</v>
      </c>
      <c r="C228" s="5">
        <v>-0.005602240896358</v>
      </c>
      <c r="D228" s="5">
        <v>0.043641869147888</v>
      </c>
      <c r="E228" s="5">
        <v>-0.110186484860637</v>
      </c>
      <c r="F228" s="5">
        <v>-0.005602240896358</v>
      </c>
      <c r="G228" s="5">
        <v>-0.234542612258099</v>
      </c>
      <c r="H228" s="5">
        <v>-0.490052431228901</v>
      </c>
      <c r="I228" s="5">
        <v>-0.37577478657652</v>
      </c>
    </row>
    <row r="229">
      <c r="A229" s="2" t="s">
        <v>254</v>
      </c>
      <c r="B229" s="8" t="str">
        <f>HYPERLINK("https://www.suredividend.com/sure-analysis-research-database/","Cathay General Bancorp")</f>
        <v>Cathay General Bancorp</v>
      </c>
      <c r="C229" s="5">
        <v>-0.0201929549024</v>
      </c>
      <c r="D229" s="5">
        <v>0.329295020090101</v>
      </c>
      <c r="E229" s="5">
        <v>0.185373784971512</v>
      </c>
      <c r="F229" s="5">
        <v>-0.0201929549024</v>
      </c>
      <c r="G229" s="5">
        <v>0.106942789789866</v>
      </c>
      <c r="H229" s="5">
        <v>0.081634017848075</v>
      </c>
      <c r="I229" s="5">
        <v>0.442296577394222</v>
      </c>
    </row>
    <row r="230">
      <c r="A230" s="2" t="s">
        <v>255</v>
      </c>
      <c r="B230" s="8" t="str">
        <f>HYPERLINK("https://www.suredividend.com/sure-analysis-research-database/","Colony Bankcorp, Inc.")</f>
        <v>Colony Bankcorp, Inc.</v>
      </c>
      <c r="C230" s="5">
        <v>-0.033834586466165</v>
      </c>
      <c r="D230" s="5">
        <v>0.365829808039794</v>
      </c>
      <c r="E230" s="5">
        <v>0.243107284511947</v>
      </c>
      <c r="F230" s="5">
        <v>-0.033834586466165</v>
      </c>
      <c r="G230" s="5">
        <v>0.079441882345035</v>
      </c>
      <c r="H230" s="5">
        <v>-0.162730086333279</v>
      </c>
      <c r="I230" s="5">
        <v>-0.029654073565058</v>
      </c>
    </row>
    <row r="231">
      <c r="A231" s="2" t="s">
        <v>256</v>
      </c>
      <c r="B231" s="8" t="str">
        <f>HYPERLINK("https://www.suredividend.com/sure-analysis-research-database/","CBL&amp; Associates Properties, Inc.")</f>
        <v>CBL&amp; Associates Properties, Inc.</v>
      </c>
      <c r="C231" s="5">
        <v>-0.023751023751023</v>
      </c>
      <c r="D231" s="5">
        <v>0.20536143146782</v>
      </c>
      <c r="E231" s="5">
        <v>0.135043516349578</v>
      </c>
      <c r="F231" s="5">
        <v>-0.023751023751023</v>
      </c>
      <c r="G231" s="5">
        <v>-0.006902527316429</v>
      </c>
      <c r="H231" s="5">
        <v>-0.028975944345332</v>
      </c>
      <c r="I231" s="5">
        <v>-0.059076126424805</v>
      </c>
    </row>
    <row r="232">
      <c r="A232" s="2" t="s">
        <v>257</v>
      </c>
      <c r="B232" s="8" t="str">
        <f>HYPERLINK("https://www.suredividend.com/sure-analysis-research-database/","Capital Bancorp Inc")</f>
        <v>Capital Bancorp Inc</v>
      </c>
      <c r="C232" s="5">
        <v>-0.051239669421487</v>
      </c>
      <c r="D232" s="5">
        <v>0.156063543213917</v>
      </c>
      <c r="E232" s="5">
        <v>0.153768844221105</v>
      </c>
      <c r="F232" s="5">
        <v>-0.051239669421487</v>
      </c>
      <c r="G232" s="5">
        <v>0.09223070043575</v>
      </c>
      <c r="H232" s="5">
        <v>-0.070147942054341</v>
      </c>
      <c r="I232" s="5">
        <v>1.06218901004149</v>
      </c>
    </row>
    <row r="233">
      <c r="A233" s="2" t="s">
        <v>258</v>
      </c>
      <c r="B233" s="8" t="str">
        <f>HYPERLINK("https://www.suredividend.com/sure-analysis-CBRL/","Cracker Barrel Old Country Store Inc")</f>
        <v>Cracker Barrel Old Country Store Inc</v>
      </c>
      <c r="C233" s="5">
        <v>0.041171311120269</v>
      </c>
      <c r="D233" s="5">
        <v>0.241928723816606</v>
      </c>
      <c r="E233" s="5">
        <v>-0.112242426972872</v>
      </c>
      <c r="F233" s="5">
        <v>0.041171311120269</v>
      </c>
      <c r="G233" s="5">
        <v>-0.212404873057492</v>
      </c>
      <c r="H233" s="5">
        <v>-0.219046467825051</v>
      </c>
      <c r="I233" s="5">
        <v>-0.417104528495838</v>
      </c>
    </row>
    <row r="234">
      <c r="A234" s="2" t="s">
        <v>259</v>
      </c>
      <c r="B234" s="8" t="str">
        <f>HYPERLINK("https://www.suredividend.com/sure-analysis-research-database/","Cabot Corp.")</f>
        <v>Cabot Corp.</v>
      </c>
      <c r="C234" s="5">
        <v>-0.106586826347305</v>
      </c>
      <c r="D234" s="5">
        <v>0.142029597855556</v>
      </c>
      <c r="E234" s="5">
        <v>0.076045863209472</v>
      </c>
      <c r="F234" s="5">
        <v>-0.106586826347305</v>
      </c>
      <c r="G234" s="5">
        <v>0.02897119432383</v>
      </c>
      <c r="H234" s="5">
        <v>0.398517496466212</v>
      </c>
      <c r="I234" s="5">
        <v>0.819982727241676</v>
      </c>
    </row>
    <row r="235">
      <c r="A235" s="2" t="s">
        <v>260</v>
      </c>
      <c r="B235" s="8" t="str">
        <f>HYPERLINK("https://www.suredividend.com/sure-analysis-CBU/","Community Bank System, Inc.")</f>
        <v>Community Bank System, Inc.</v>
      </c>
      <c r="C235" s="5">
        <v>-0.054308194204567</v>
      </c>
      <c r="D235" s="5">
        <v>0.286358285238464</v>
      </c>
      <c r="E235" s="5">
        <v>-0.044740938317169</v>
      </c>
      <c r="F235" s="5">
        <v>-0.054308194204567</v>
      </c>
      <c r="G235" s="5">
        <v>-0.085402066753771</v>
      </c>
      <c r="H235" s="5">
        <v>-0.265120357418735</v>
      </c>
      <c r="I235" s="5">
        <v>-0.062891610712092</v>
      </c>
    </row>
    <row r="236">
      <c r="A236" s="2" t="s">
        <v>261</v>
      </c>
      <c r="B236" s="8" t="str">
        <f>HYPERLINK("https://www.suredividend.com/sure-analysis-research-database/","Cbiz Inc")</f>
        <v>Cbiz Inc</v>
      </c>
      <c r="C236" s="5">
        <v>0.046652819939287</v>
      </c>
      <c r="D236" s="5">
        <v>0.306541683286797</v>
      </c>
      <c r="E236" s="5">
        <v>0.251863175998471</v>
      </c>
      <c r="F236" s="5">
        <v>0.046652819939287</v>
      </c>
      <c r="G236" s="5">
        <v>0.394720034064296</v>
      </c>
      <c r="H236" s="5">
        <v>0.736284124039226</v>
      </c>
      <c r="I236" s="5">
        <v>2.35948717948718</v>
      </c>
    </row>
    <row r="237">
      <c r="A237" s="2" t="s">
        <v>262</v>
      </c>
      <c r="B237" s="8" t="str">
        <f>HYPERLINK("https://www.suredividend.com/sure-analysis-research-database/","Coastal Financial Corp")</f>
        <v>Coastal Financial Corp</v>
      </c>
      <c r="C237" s="5">
        <v>-0.037829317721233</v>
      </c>
      <c r="D237" s="5">
        <v>0.098175276278591</v>
      </c>
      <c r="E237" s="5">
        <v>-0.069671238841715</v>
      </c>
      <c r="F237" s="5">
        <v>-0.037829317721233</v>
      </c>
      <c r="G237" s="5">
        <v>-0.035440180586907</v>
      </c>
      <c r="H237" s="5">
        <v>-0.090076660988075</v>
      </c>
      <c r="I237" s="5">
        <v>1.78371335504885</v>
      </c>
    </row>
    <row r="238">
      <c r="A238" s="2" t="s">
        <v>263</v>
      </c>
      <c r="B238" s="8" t="str">
        <f>HYPERLINK("https://www.suredividend.com/sure-analysis-research-database/","Capital City Bank Group, Inc.")</f>
        <v>Capital City Bank Group, Inc.</v>
      </c>
      <c r="C238" s="5">
        <v>0.021066938498131</v>
      </c>
      <c r="D238" s="5">
        <v>0.093637974895458</v>
      </c>
      <c r="E238" s="5">
        <v>-0.026670208010779</v>
      </c>
      <c r="F238" s="5">
        <v>0.021066938498131</v>
      </c>
      <c r="G238" s="5">
        <v>-0.016273230519427</v>
      </c>
      <c r="H238" s="5">
        <v>0.161675905952574</v>
      </c>
      <c r="I238" s="5">
        <v>0.452062605401383</v>
      </c>
    </row>
    <row r="239">
      <c r="A239" s="2" t="s">
        <v>264</v>
      </c>
      <c r="B239" s="8" t="str">
        <f>HYPERLINK("https://www.suredividend.com/sure-analysis-research-database/","C4 Therapeutics Inc")</f>
        <v>C4 Therapeutics Inc</v>
      </c>
      <c r="C239" s="5">
        <v>0.120353982300884</v>
      </c>
      <c r="D239" s="5">
        <v>3.55395683453237</v>
      </c>
      <c r="E239" s="5">
        <v>0.683510638297872</v>
      </c>
      <c r="F239" s="5">
        <v>0.120353982300884</v>
      </c>
      <c r="G239" s="5">
        <v>-0.192602040816326</v>
      </c>
      <c r="H239" s="5">
        <v>-0.716524854455888</v>
      </c>
      <c r="I239" s="5">
        <v>-0.75166732051785</v>
      </c>
    </row>
    <row r="240">
      <c r="A240" s="2" t="s">
        <v>265</v>
      </c>
      <c r="B240" s="8" t="str">
        <f>HYPERLINK("https://www.suredividend.com/sure-analysis-research-database/","Chase Corp.")</f>
        <v>Chase Corp.</v>
      </c>
      <c r="C240" s="5">
        <v>0.006473513854898</v>
      </c>
      <c r="D240" s="5">
        <v>0.011825396825396</v>
      </c>
      <c r="E240" s="5">
        <v>0.14217882099982</v>
      </c>
      <c r="F240" s="5">
        <v>0.477973568281938</v>
      </c>
      <c r="G240" s="5">
        <v>0.33252226009321</v>
      </c>
      <c r="H240" s="5">
        <v>0.191369509575156</v>
      </c>
      <c r="I240" s="5">
        <v>0.203191018489069</v>
      </c>
    </row>
    <row r="241">
      <c r="A241" s="2" t="s">
        <v>266</v>
      </c>
      <c r="B241" s="8" t="str">
        <f>HYPERLINK("https://www.suredividend.com/sure-analysis-research-database/","CNB Financial Corp (PA)")</f>
        <v>CNB Financial Corp (PA)</v>
      </c>
      <c r="C241" s="5">
        <v>-0.002213368747233</v>
      </c>
      <c r="D241" s="5">
        <v>0.285062713797035</v>
      </c>
      <c r="E241" s="5">
        <v>0.197681153259616</v>
      </c>
      <c r="F241" s="5">
        <v>-0.002213368747233</v>
      </c>
      <c r="G241" s="5">
        <v>0.00653308743084</v>
      </c>
      <c r="H241" s="5">
        <v>-0.076452824931676</v>
      </c>
      <c r="I241" s="5">
        <v>0.055910805050008</v>
      </c>
    </row>
    <row r="242">
      <c r="A242" s="2" t="s">
        <v>267</v>
      </c>
      <c r="B242" s="8" t="str">
        <f>HYPERLINK("https://www.suredividend.com/sure-analysis-research-database/","Clear Channel Outdoor Holdings Inc.")</f>
        <v>Clear Channel Outdoor Holdings Inc.</v>
      </c>
      <c r="C242" s="5">
        <v>0.0</v>
      </c>
      <c r="D242" s="5">
        <v>0.516666666666666</v>
      </c>
      <c r="E242" s="5">
        <v>0.083333333333333</v>
      </c>
      <c r="F242" s="5">
        <v>0.0</v>
      </c>
      <c r="G242" s="5">
        <v>0.016759776536312</v>
      </c>
      <c r="H242" s="5">
        <v>-0.391304347826087</v>
      </c>
      <c r="I242" s="5">
        <v>-0.591011235955056</v>
      </c>
    </row>
    <row r="243">
      <c r="A243" s="2" t="s">
        <v>268</v>
      </c>
      <c r="B243" s="8" t="str">
        <f>HYPERLINK("https://www.suredividend.com/sure-analysis-CCOI/","Cogent Communications Holdings Inc")</f>
        <v>Cogent Communications Holdings Inc</v>
      </c>
      <c r="C243" s="5">
        <v>0.013410465422035</v>
      </c>
      <c r="D243" s="5">
        <v>0.249673719724838</v>
      </c>
      <c r="E243" s="5">
        <v>0.328656261042688</v>
      </c>
      <c r="F243" s="5">
        <v>0.013410465422035</v>
      </c>
      <c r="G243" s="5">
        <v>0.235317780210234</v>
      </c>
      <c r="H243" s="5">
        <v>0.4046878815601</v>
      </c>
      <c r="I243" s="5">
        <v>1.17164076080678</v>
      </c>
    </row>
    <row r="244">
      <c r="A244" s="2" t="s">
        <v>269</v>
      </c>
      <c r="B244" s="8" t="str">
        <f>HYPERLINK("https://www.suredividend.com/sure-analysis-research-database/","Cross Country Healthcares, Inc.")</f>
        <v>Cross Country Healthcares, Inc.</v>
      </c>
      <c r="C244" s="5">
        <v>-0.028268551236749</v>
      </c>
      <c r="D244" s="5">
        <v>-0.044309296264118</v>
      </c>
      <c r="E244" s="5">
        <v>-0.140289175459163</v>
      </c>
      <c r="F244" s="5">
        <v>-0.028268551236749</v>
      </c>
      <c r="G244" s="5">
        <v>-0.193843898864052</v>
      </c>
      <c r="H244" s="5">
        <v>0.091269841269841</v>
      </c>
      <c r="I244" s="5">
        <v>1.35798499464094</v>
      </c>
    </row>
    <row r="245">
      <c r="A245" s="2" t="s">
        <v>270</v>
      </c>
      <c r="B245" s="8" t="str">
        <f>HYPERLINK("https://www.suredividend.com/sure-analysis-research-database/","Century Communities Inc")</f>
        <v>Century Communities Inc</v>
      </c>
      <c r="C245" s="5">
        <v>-0.030283080974325</v>
      </c>
      <c r="D245" s="5">
        <v>0.457115017781155</v>
      </c>
      <c r="E245" s="5">
        <v>0.133002842121861</v>
      </c>
      <c r="F245" s="5">
        <v>-0.030283080974325</v>
      </c>
      <c r="G245" s="5">
        <v>0.468123383494492</v>
      </c>
      <c r="H245" s="5">
        <v>0.440807556496023</v>
      </c>
      <c r="I245" s="5">
        <v>3.11410376963253</v>
      </c>
    </row>
    <row r="246">
      <c r="A246" s="2" t="s">
        <v>271</v>
      </c>
      <c r="B246" s="8" t="str">
        <f>HYPERLINK("https://www.suredividend.com/sure-analysis-research-database/","Consensus Cloud Solutions Inc")</f>
        <v>Consensus Cloud Solutions Inc</v>
      </c>
      <c r="C246" s="5">
        <v>-0.218237314002289</v>
      </c>
      <c r="D246" s="5">
        <v>0.003919647231749</v>
      </c>
      <c r="E246" s="5">
        <v>-0.372819100091827</v>
      </c>
      <c r="F246" s="5">
        <v>-0.218237314002289</v>
      </c>
      <c r="G246" s="5">
        <v>-0.655282637954239</v>
      </c>
      <c r="H246" s="5">
        <v>-0.629073135409123</v>
      </c>
      <c r="I246" s="5">
        <v>-0.684186189889025</v>
      </c>
    </row>
    <row r="247">
      <c r="A247" s="2" t="s">
        <v>272</v>
      </c>
      <c r="B247" s="8" t="str">
        <f>HYPERLINK("https://www.suredividend.com/sure-analysis-research-database/","Coeur Mining Inc")</f>
        <v>Coeur Mining Inc</v>
      </c>
      <c r="C247" s="5">
        <v>-0.095092024539877</v>
      </c>
      <c r="D247" s="5">
        <v>0.156862745098039</v>
      </c>
      <c r="E247" s="5">
        <v>-0.003378378378378</v>
      </c>
      <c r="F247" s="5">
        <v>-0.095092024539877</v>
      </c>
      <c r="G247" s="5">
        <v>-0.255050505050504</v>
      </c>
      <c r="H247" s="5">
        <v>-0.340044742729306</v>
      </c>
      <c r="I247" s="5">
        <v>-0.395491803278688</v>
      </c>
    </row>
    <row r="248">
      <c r="A248" s="2" t="s">
        <v>273</v>
      </c>
      <c r="B248" s="8" t="str">
        <f>HYPERLINK("https://www.suredividend.com/sure-analysis-research-database/","Cardlytics Inc")</f>
        <v>Cardlytics Inc</v>
      </c>
      <c r="C248" s="5">
        <v>-0.219326818675352</v>
      </c>
      <c r="D248" s="5">
        <v>-0.38389031705227</v>
      </c>
      <c r="E248" s="5">
        <v>-0.346957311534968</v>
      </c>
      <c r="F248" s="5">
        <v>-0.219326818675352</v>
      </c>
      <c r="G248" s="5">
        <v>0.005594405594405</v>
      </c>
      <c r="H248" s="5">
        <v>-0.881274768824306</v>
      </c>
      <c r="I248" s="5">
        <v>-0.603638368246968</v>
      </c>
    </row>
    <row r="249">
      <c r="A249" s="2" t="s">
        <v>274</v>
      </c>
      <c r="B249" s="8" t="str">
        <f>HYPERLINK("https://www.suredividend.com/sure-analysis-research-database/","Avid Bioservices Inc")</f>
        <v>Avid Bioservices Inc</v>
      </c>
      <c r="C249" s="5">
        <v>0.129230769230769</v>
      </c>
      <c r="D249" s="5">
        <v>0.189627228525121</v>
      </c>
      <c r="E249" s="5">
        <v>-0.43840856924254</v>
      </c>
      <c r="F249" s="5">
        <v>0.129230769230769</v>
      </c>
      <c r="G249" s="5">
        <v>-0.552165954850518</v>
      </c>
      <c r="H249" s="5">
        <v>-0.578886976477337</v>
      </c>
      <c r="I249" s="5">
        <v>0.957333333333333</v>
      </c>
    </row>
    <row r="250">
      <c r="A250" s="2" t="s">
        <v>275</v>
      </c>
      <c r="B250" s="8" t="str">
        <f>HYPERLINK("https://www.suredividend.com/sure-analysis-research-database/","Caredx Inc")</f>
        <v>Caredx Inc</v>
      </c>
      <c r="C250" s="5">
        <v>-0.176666666666666</v>
      </c>
      <c r="D250" s="5">
        <v>0.976</v>
      </c>
      <c r="E250" s="5">
        <v>-0.114695340501792</v>
      </c>
      <c r="F250" s="5">
        <v>-0.176666666666666</v>
      </c>
      <c r="G250" s="5">
        <v>-0.353403141361256</v>
      </c>
      <c r="H250" s="5">
        <v>-0.743443261490522</v>
      </c>
      <c r="I250" s="5">
        <v>-0.629823904083926</v>
      </c>
    </row>
    <row r="251">
      <c r="A251" s="2" t="s">
        <v>276</v>
      </c>
      <c r="B251" s="8" t="str">
        <f>HYPERLINK("https://www.suredividend.com/sure-analysis-research-database/","Cadre Holdings Inc")</f>
        <v>Cadre Holdings Inc</v>
      </c>
      <c r="C251" s="5">
        <v>0.022499239890544</v>
      </c>
      <c r="D251" s="5">
        <v>0.213969858316036</v>
      </c>
      <c r="E251" s="5">
        <v>0.461087626156205</v>
      </c>
      <c r="F251" s="5">
        <v>0.022499239890544</v>
      </c>
      <c r="G251" s="5">
        <v>0.511630520283178</v>
      </c>
      <c r="H251" s="5">
        <v>0.60239000543183</v>
      </c>
      <c r="I251" s="5">
        <v>1.26739482200647</v>
      </c>
    </row>
    <row r="252">
      <c r="A252" s="2" t="s">
        <v>277</v>
      </c>
      <c r="B252" s="8" t="str">
        <f>HYPERLINK("https://www.suredividend.com/sure-analysis-research-database/","Codexis Inc.")</f>
        <v>Codexis Inc.</v>
      </c>
      <c r="C252" s="5">
        <v>-0.065573770491803</v>
      </c>
      <c r="D252" s="5">
        <v>0.838709677419354</v>
      </c>
      <c r="E252" s="5">
        <v>-0.231805929919137</v>
      </c>
      <c r="F252" s="5">
        <v>-0.065573770491803</v>
      </c>
      <c r="G252" s="5">
        <v>-0.5662100456621</v>
      </c>
      <c r="H252" s="5">
        <v>-0.848323576370409</v>
      </c>
      <c r="I252" s="5">
        <v>-0.832254267216009</v>
      </c>
    </row>
    <row r="253">
      <c r="A253" s="2" t="s">
        <v>278</v>
      </c>
      <c r="B253" s="8" t="str">
        <f>HYPERLINK("https://www.suredividend.com/sure-analysis-research-database/","Consol Energy Inc")</f>
        <v>Consol Energy Inc</v>
      </c>
      <c r="C253" s="5">
        <v>-0.06813886402069</v>
      </c>
      <c r="D253" s="5">
        <v>-0.096886146727079</v>
      </c>
      <c r="E253" s="5">
        <v>0.299126334766329</v>
      </c>
      <c r="F253" s="5">
        <v>-0.06813886402069</v>
      </c>
      <c r="G253" s="5">
        <v>0.705101836515534</v>
      </c>
      <c r="H253" s="5">
        <v>3.81412582094</v>
      </c>
      <c r="I253" s="5">
        <v>1.98894142721315</v>
      </c>
    </row>
    <row r="254">
      <c r="A254" s="2" t="s">
        <v>279</v>
      </c>
      <c r="B254" s="8" t="str">
        <f>HYPERLINK("https://www.suredividend.com/sure-analysis-research-database/","Celsius Holdings Inc")</f>
        <v>Celsius Holdings Inc</v>
      </c>
      <c r="C254" s="5">
        <v>-0.044754218635363</v>
      </c>
      <c r="D254" s="5">
        <v>-0.022399588536846</v>
      </c>
      <c r="E254" s="5">
        <v>0.059397884458909</v>
      </c>
      <c r="F254" s="5">
        <v>-0.044754218635363</v>
      </c>
      <c r="G254" s="5">
        <v>0.577703726143592</v>
      </c>
      <c r="H254" s="5">
        <v>2.46813880546325</v>
      </c>
      <c r="I254" s="5">
        <v>41.4553680606505</v>
      </c>
    </row>
    <row r="255">
      <c r="A255" s="2" t="s">
        <v>280</v>
      </c>
      <c r="B255" s="8" t="str">
        <f>HYPERLINK("https://www.suredividend.com/sure-analysis-research-database/","PhenomeX Inc")</f>
        <v>PhenomeX Inc</v>
      </c>
      <c r="C255" s="5">
        <v>0.0</v>
      </c>
      <c r="D255" s="5">
        <v>0.0</v>
      </c>
      <c r="E255" s="5">
        <v>0.0</v>
      </c>
      <c r="F255" s="5">
        <v>0.0</v>
      </c>
      <c r="G255" s="5">
        <v>0.0</v>
      </c>
      <c r="H255" s="5">
        <v>0.0</v>
      </c>
      <c r="I255" s="5">
        <v>0.0</v>
      </c>
    </row>
    <row r="256">
      <c r="A256" s="2" t="s">
        <v>281</v>
      </c>
      <c r="B256" s="8" t="str">
        <f>HYPERLINK("https://www.suredividend.com/sure-analysis-research-database/","Celularity Inc")</f>
        <v>Celularity Inc</v>
      </c>
      <c r="C256" s="5">
        <v>0.293451899757477</v>
      </c>
      <c r="D256" s="5">
        <v>0.531100478468899</v>
      </c>
      <c r="E256" s="5">
        <v>-0.185336048879837</v>
      </c>
      <c r="F256" s="5">
        <v>0.293451899757477</v>
      </c>
      <c r="G256" s="5">
        <v>-0.695238095238095</v>
      </c>
      <c r="H256" s="5">
        <v>-0.924882629107981</v>
      </c>
      <c r="I256" s="5">
        <v>-0.96734693877551</v>
      </c>
    </row>
    <row r="257">
      <c r="A257" s="2" t="s">
        <v>282</v>
      </c>
      <c r="B257" s="8" t="str">
        <f>HYPERLINK("https://www.suredividend.com/sure-analysis-research-database/","Cenntro Electric Group Limited")</f>
        <v>Cenntro Electric Group Limited</v>
      </c>
      <c r="C257" s="5">
        <v>-0.125</v>
      </c>
      <c r="D257" s="5">
        <v>-0.207048458149779</v>
      </c>
      <c r="E257" s="5">
        <v>-0.656582174979558</v>
      </c>
      <c r="F257" s="5">
        <v>-0.125</v>
      </c>
      <c r="G257" s="5">
        <v>-0.81216457960644</v>
      </c>
      <c r="H257" s="5">
        <v>-0.920253164556962</v>
      </c>
      <c r="I257" s="5">
        <v>-0.998987951807228</v>
      </c>
    </row>
    <row r="258">
      <c r="A258" s="2" t="s">
        <v>283</v>
      </c>
      <c r="B258" s="8" t="str">
        <f t="shared" ref="B258:B259" si="1">HYPERLINK("https://www.suredividend.com/sure-analysis-research-database/","Central Garden &amp; Pet Co.")</f>
        <v>Central Garden &amp; Pet Co.</v>
      </c>
      <c r="C258" s="5">
        <v>-0.028138096188385</v>
      </c>
      <c r="D258" s="5">
        <v>0.146961846443711</v>
      </c>
      <c r="E258" s="5">
        <v>0.210840377921432</v>
      </c>
      <c r="F258" s="5">
        <v>-0.028138096188385</v>
      </c>
      <c r="G258" s="5">
        <v>0.18003392294645</v>
      </c>
      <c r="H258" s="5">
        <v>0.075767616523083</v>
      </c>
      <c r="I258" s="5">
        <v>0.251928020565552</v>
      </c>
    </row>
    <row r="259">
      <c r="A259" s="2" t="s">
        <v>284</v>
      </c>
      <c r="B259" s="8" t="str">
        <f t="shared" si="1"/>
        <v>Central Garden &amp; Pet Co.</v>
      </c>
      <c r="C259" s="5">
        <v>-0.022706630336058</v>
      </c>
      <c r="D259" s="5">
        <v>0.117051648066441</v>
      </c>
      <c r="E259" s="5">
        <v>0.132035770647027</v>
      </c>
      <c r="F259" s="5">
        <v>-0.022706630336058</v>
      </c>
      <c r="G259" s="5">
        <v>0.105858170606371</v>
      </c>
      <c r="H259" s="5">
        <v>0.008907641819034</v>
      </c>
      <c r="I259" s="5">
        <v>0.226210826210826</v>
      </c>
    </row>
    <row r="260">
      <c r="A260" s="2" t="s">
        <v>285</v>
      </c>
      <c r="B260" s="8" t="str">
        <f>HYPERLINK("https://www.suredividend.com/sure-analysis-research-database/","Century Aluminum Co.")</f>
        <v>Century Aluminum Co.</v>
      </c>
      <c r="C260" s="5">
        <v>-0.014003294892915</v>
      </c>
      <c r="D260" s="5">
        <v>0.936893203883495</v>
      </c>
      <c r="E260" s="5">
        <v>0.318281938325991</v>
      </c>
      <c r="F260" s="5">
        <v>-0.014003294892915</v>
      </c>
      <c r="G260" s="5">
        <v>0.089171974522292</v>
      </c>
      <c r="H260" s="5">
        <v>-0.234165067178502</v>
      </c>
      <c r="I260" s="5">
        <v>0.387022016222479</v>
      </c>
    </row>
    <row r="261">
      <c r="A261" s="2" t="s">
        <v>286</v>
      </c>
      <c r="B261" s="8" t="str">
        <f>HYPERLINK("https://www.suredividend.com/sure-analysis-research-database/","Cerevel Therapeutics Holdings Inc")</f>
        <v>Cerevel Therapeutics Holdings Inc</v>
      </c>
      <c r="C261" s="5">
        <v>-0.009198113207547</v>
      </c>
      <c r="D261" s="5">
        <v>0.83851203501094</v>
      </c>
      <c r="E261" s="5">
        <v>0.378733180177223</v>
      </c>
      <c r="F261" s="5">
        <v>-0.009198113207547</v>
      </c>
      <c r="G261" s="5">
        <v>0.220156839965146</v>
      </c>
      <c r="H261" s="5">
        <v>0.767353807320151</v>
      </c>
      <c r="I261" s="5">
        <v>3.25202429149797</v>
      </c>
    </row>
    <row r="262">
      <c r="A262" s="2" t="s">
        <v>287</v>
      </c>
      <c r="B262" s="8" t="str">
        <f>HYPERLINK("https://www.suredividend.com/sure-analysis-research-database/","Cerus Corp.")</f>
        <v>Cerus Corp.</v>
      </c>
      <c r="C262" s="5">
        <v>-0.041666666666666</v>
      </c>
      <c r="D262" s="5">
        <v>0.629921259842519</v>
      </c>
      <c r="E262" s="5">
        <v>-0.298305084745762</v>
      </c>
      <c r="F262" s="5">
        <v>-0.041666666666666</v>
      </c>
      <c r="G262" s="5">
        <v>-0.336538461538461</v>
      </c>
      <c r="H262" s="5">
        <v>-0.588469184890656</v>
      </c>
      <c r="I262" s="5">
        <v>-0.636203866432337</v>
      </c>
    </row>
    <row r="263">
      <c r="A263" s="2" t="s">
        <v>288</v>
      </c>
      <c r="B263" s="8" t="str">
        <f>HYPERLINK("https://www.suredividend.com/sure-analysis-research-database/","Ceva Inc.")</f>
        <v>Ceva Inc.</v>
      </c>
      <c r="C263" s="5">
        <v>-0.104799647732276</v>
      </c>
      <c r="D263" s="5">
        <v>0.192375366568914</v>
      </c>
      <c r="E263" s="5">
        <v>-0.250368731563421</v>
      </c>
      <c r="F263" s="5">
        <v>-0.104799647732276</v>
      </c>
      <c r="G263" s="5">
        <v>-0.40064858490566</v>
      </c>
      <c r="H263" s="5">
        <v>-0.418810748999428</v>
      </c>
      <c r="I263" s="5">
        <v>-0.266329844821364</v>
      </c>
    </row>
    <row r="264">
      <c r="A264" s="2" t="s">
        <v>289</v>
      </c>
      <c r="B264" s="8" t="str">
        <f>HYPERLINK("https://www.suredividend.com/sure-analysis-research-database/","Crossfirst Bankshares Inc")</f>
        <v>Crossfirst Bankshares Inc</v>
      </c>
      <c r="C264" s="5">
        <v>0.103092783505154</v>
      </c>
      <c r="D264" s="5">
        <v>0.457198443579766</v>
      </c>
      <c r="E264" s="5">
        <v>0.268416596104995</v>
      </c>
      <c r="F264" s="5">
        <v>0.103092783505154</v>
      </c>
      <c r="G264" s="5">
        <v>0.158546017014694</v>
      </c>
      <c r="H264" s="5">
        <v>-0.02537410540013</v>
      </c>
      <c r="I264" s="5">
        <v>0.026027397260274</v>
      </c>
    </row>
    <row r="265">
      <c r="A265" s="2" t="s">
        <v>290</v>
      </c>
      <c r="B265" s="8" t="str">
        <f>HYPERLINK("https://www.suredividend.com/sure-analysis-research-database/","Capitol Federal Financial")</f>
        <v>Capitol Federal Financial</v>
      </c>
      <c r="C265" s="5">
        <v>0.017054263565891</v>
      </c>
      <c r="D265" s="5">
        <v>0.378846477215402</v>
      </c>
      <c r="E265" s="5">
        <v>0.044070602091324</v>
      </c>
      <c r="F265" s="5">
        <v>0.017054263565891</v>
      </c>
      <c r="G265" s="5">
        <v>-0.122584096836755</v>
      </c>
      <c r="H265" s="5">
        <v>-0.308709626429211</v>
      </c>
      <c r="I265" s="5">
        <v>-0.299070413505716</v>
      </c>
    </row>
    <row r="266">
      <c r="A266" s="2" t="s">
        <v>291</v>
      </c>
      <c r="B266" s="8" t="str">
        <f>HYPERLINK("https://www.suredividend.com/sure-analysis-research-database/","Cullinan Oncology Inc")</f>
        <v>Cullinan Oncology Inc</v>
      </c>
      <c r="C266" s="5">
        <v>0.441609421000981</v>
      </c>
      <c r="D266" s="5">
        <v>0.742586002372479</v>
      </c>
      <c r="E266" s="5">
        <v>0.440196078431372</v>
      </c>
      <c r="F266" s="5">
        <v>0.441609421000981</v>
      </c>
      <c r="G266" s="5">
        <v>0.280732345248474</v>
      </c>
      <c r="H266" s="5">
        <v>0.144080996884735</v>
      </c>
      <c r="I266" s="5">
        <v>-0.508859913072551</v>
      </c>
    </row>
    <row r="267">
      <c r="A267" s="2" t="s">
        <v>292</v>
      </c>
      <c r="B267" s="8" t="str">
        <f>HYPERLINK("https://www.suredividend.com/sure-analysis-CHCO/","City Holding Co.")</f>
        <v>City Holding Co.</v>
      </c>
      <c r="C267" s="5">
        <v>-0.015486552796487</v>
      </c>
      <c r="D267" s="5">
        <v>0.180431943303996</v>
      </c>
      <c r="E267" s="5">
        <v>0.108141581383221</v>
      </c>
      <c r="F267" s="5">
        <v>-0.015486552796487</v>
      </c>
      <c r="G267" s="5">
        <v>0.234027353696897</v>
      </c>
      <c r="H267" s="5">
        <v>0.463076778061771</v>
      </c>
      <c r="I267" s="5">
        <v>0.781437125748502</v>
      </c>
    </row>
    <row r="268">
      <c r="A268" s="2" t="s">
        <v>293</v>
      </c>
      <c r="B268" s="8" t="str">
        <f>HYPERLINK("https://www.suredividend.com/sure-analysis-CHCT/","Community Healthcare Trust Inc")</f>
        <v>Community Healthcare Trust Inc</v>
      </c>
      <c r="C268" s="5">
        <v>-0.016891891891891</v>
      </c>
      <c r="D268" s="5">
        <v>-0.050281760623136</v>
      </c>
      <c r="E268" s="5">
        <v>-0.22440675556819</v>
      </c>
      <c r="F268" s="5">
        <v>-0.016891891891891</v>
      </c>
      <c r="G268" s="5">
        <v>-0.344450229279721</v>
      </c>
      <c r="H268" s="5">
        <v>-0.344707745659533</v>
      </c>
      <c r="I268" s="5">
        <v>0.019724802790907</v>
      </c>
    </row>
    <row r="269">
      <c r="A269" s="2" t="s">
        <v>294</v>
      </c>
      <c r="B269" s="8" t="str">
        <f>HYPERLINK("https://www.suredividend.com/sure-analysis-research-database/","Chefs` Warehouse Inc")</f>
        <v>Chefs` Warehouse Inc</v>
      </c>
      <c r="C269" s="5">
        <v>0.079510703363914</v>
      </c>
      <c r="D269" s="5">
        <v>0.769916434540389</v>
      </c>
      <c r="E269" s="5">
        <v>-0.116272600834492</v>
      </c>
      <c r="F269" s="5">
        <v>0.079510703363914</v>
      </c>
      <c r="G269" s="5">
        <v>-0.145048439181916</v>
      </c>
      <c r="H269" s="5">
        <v>0.107740585774058</v>
      </c>
      <c r="I269" s="5">
        <v>-0.06668625146886</v>
      </c>
    </row>
    <row r="270">
      <c r="A270" s="2" t="s">
        <v>295</v>
      </c>
      <c r="B270" s="8" t="str">
        <f>HYPERLINK("https://www.suredividend.com/sure-analysis-research-database/","Chegg Inc")</f>
        <v>Chegg Inc</v>
      </c>
      <c r="C270" s="5">
        <v>-0.105633802816901</v>
      </c>
      <c r="D270" s="5">
        <v>0.198113207547169</v>
      </c>
      <c r="E270" s="5">
        <v>-0.002944062806673</v>
      </c>
      <c r="F270" s="5">
        <v>-0.105633802816901</v>
      </c>
      <c r="G270" s="5">
        <v>-0.506556580864497</v>
      </c>
      <c r="H270" s="5">
        <v>-0.583093967993434</v>
      </c>
      <c r="I270" s="5">
        <v>-0.705165409170052</v>
      </c>
    </row>
    <row r="271">
      <c r="A271" s="2" t="s">
        <v>296</v>
      </c>
      <c r="B271" s="8" t="str">
        <f>HYPERLINK("https://www.suredividend.com/sure-analysis-research-database/","Chord Energy Corp")</f>
        <v>Chord Energy Corp</v>
      </c>
      <c r="C271" s="5">
        <v>-0.065030379594537</v>
      </c>
      <c r="D271" s="5">
        <v>-0.038893818854179</v>
      </c>
      <c r="E271" s="5">
        <v>0.022204098813501</v>
      </c>
      <c r="F271" s="5">
        <v>-0.065030379594537</v>
      </c>
      <c r="G271" s="5">
        <v>0.124653294614732</v>
      </c>
      <c r="H271" s="5">
        <v>0.385689117766635</v>
      </c>
      <c r="I271" s="5">
        <v>5.11415555651718</v>
      </c>
    </row>
    <row r="272">
      <c r="A272" s="2" t="s">
        <v>297</v>
      </c>
      <c r="B272" s="8" t="str">
        <f>HYPERLINK("https://www.suredividend.com/sure-analysis-research-database/","Coherus Biosciences Inc")</f>
        <v>Coherus Biosciences Inc</v>
      </c>
      <c r="C272" s="5">
        <v>-0.309309309309309</v>
      </c>
      <c r="D272" s="5">
        <v>-0.128787878787878</v>
      </c>
      <c r="E272" s="5">
        <v>-0.519832985386221</v>
      </c>
      <c r="F272" s="5">
        <v>-0.309309309309309</v>
      </c>
      <c r="G272" s="5">
        <v>-0.724220623501199</v>
      </c>
      <c r="H272" s="5">
        <v>-0.807046979865771</v>
      </c>
      <c r="I272" s="5">
        <v>-0.818754925137903</v>
      </c>
    </row>
    <row r="273">
      <c r="A273" s="2" t="s">
        <v>298</v>
      </c>
      <c r="B273" s="8" t="str">
        <f>HYPERLINK("https://www.suredividend.com/sure-analysis-research-database/","Chico`s Fas, Inc.")</f>
        <v>Chico`s Fas, Inc.</v>
      </c>
      <c r="C273" s="5">
        <v>0.005298013245033</v>
      </c>
      <c r="D273" s="5">
        <v>0.016064257028112</v>
      </c>
      <c r="E273" s="5">
        <v>0.362657091561938</v>
      </c>
      <c r="F273" s="5">
        <v>0.00131926121372</v>
      </c>
      <c r="G273" s="5">
        <v>0.564948453608247</v>
      </c>
      <c r="H273" s="5">
        <v>0.367567567567567</v>
      </c>
      <c r="I273" s="5">
        <v>0.43294064340734</v>
      </c>
    </row>
    <row r="274">
      <c r="A274" s="2" t="s">
        <v>299</v>
      </c>
      <c r="B274" s="8" t="str">
        <f>HYPERLINK("https://www.suredividend.com/sure-analysis-research-database/","Chuy`s Holdings Inc")</f>
        <v>Chuy`s Holdings Inc</v>
      </c>
      <c r="C274" s="5">
        <v>-0.082919173424012</v>
      </c>
      <c r="D274" s="5">
        <v>0.051589682063587</v>
      </c>
      <c r="E274" s="5">
        <v>-0.149235622421742</v>
      </c>
      <c r="F274" s="5">
        <v>-0.082919173424012</v>
      </c>
      <c r="G274" s="5">
        <v>0.052852852852852</v>
      </c>
      <c r="H274" s="5">
        <v>0.399600798403193</v>
      </c>
      <c r="I274" s="5">
        <v>0.629939562993956</v>
      </c>
    </row>
    <row r="275">
      <c r="A275" s="2" t="s">
        <v>300</v>
      </c>
      <c r="B275" s="8" t="str">
        <f>HYPERLINK("https://www.suredividend.com/sure-analysis-research-database/","ChampionX Corp.")</f>
        <v>ChampionX Corp.</v>
      </c>
      <c r="C275" s="5">
        <v>-0.025539249685823</v>
      </c>
      <c r="D275" s="5">
        <v>-0.0630663941922</v>
      </c>
      <c r="E275" s="5">
        <v>-0.1778607577702</v>
      </c>
      <c r="F275" s="5">
        <v>-0.025539249685823</v>
      </c>
      <c r="G275" s="5">
        <v>-0.125808965540609</v>
      </c>
      <c r="H275" s="5">
        <v>0.277607210062394</v>
      </c>
      <c r="I275" s="5">
        <v>-0.156361474435196</v>
      </c>
    </row>
    <row r="276">
      <c r="A276" s="2" t="s">
        <v>301</v>
      </c>
      <c r="B276" s="8" t="str">
        <f>HYPERLINK("https://www.suredividend.com/sure-analysis-research-database/","Cipher Mining Inc")</f>
        <v>Cipher Mining Inc</v>
      </c>
      <c r="C276" s="5">
        <v>-0.246973365617433</v>
      </c>
      <c r="D276" s="5">
        <v>-0.063253012048192</v>
      </c>
      <c r="E276" s="5">
        <v>-0.111428571428571</v>
      </c>
      <c r="F276" s="5">
        <v>-0.246973365617433</v>
      </c>
      <c r="G276" s="5">
        <v>1.1156462585034</v>
      </c>
      <c r="H276" s="5">
        <v>0.118705035971222</v>
      </c>
      <c r="I276" s="5">
        <v>-0.682653061224489</v>
      </c>
    </row>
    <row r="277">
      <c r="A277" s="2" t="s">
        <v>302</v>
      </c>
      <c r="B277" s="8" t="str">
        <f>HYPERLINK("https://www.suredividend.com/sure-analysis-CIM/","Chimera Investment Corp")</f>
        <v>Chimera Investment Corp</v>
      </c>
      <c r="C277" s="5">
        <v>0.03006012024048</v>
      </c>
      <c r="D277" s="5">
        <v>0.131336253384103</v>
      </c>
      <c r="E277" s="5">
        <v>-0.150862353796339</v>
      </c>
      <c r="F277" s="5">
        <v>0.03006012024048</v>
      </c>
      <c r="G277" s="5">
        <v>-0.185445786187442</v>
      </c>
      <c r="H277" s="5">
        <v>-0.521397444970017</v>
      </c>
      <c r="I277" s="5">
        <v>-0.508552524644083</v>
      </c>
    </row>
    <row r="278">
      <c r="A278" s="2" t="s">
        <v>303</v>
      </c>
      <c r="B278" s="8" t="str">
        <f>HYPERLINK("https://www.suredividend.com/sure-analysis-CIO/","City Office REIT Inc")</f>
        <v>City Office REIT Inc</v>
      </c>
      <c r="C278" s="5">
        <v>-0.063866580203189</v>
      </c>
      <c r="D278" s="5">
        <v>0.648367735324257</v>
      </c>
      <c r="E278" s="5">
        <v>0.061463046757164</v>
      </c>
      <c r="F278" s="5">
        <v>-0.063866580203189</v>
      </c>
      <c r="G278" s="5">
        <v>-0.363359831737021</v>
      </c>
      <c r="H278" s="5">
        <v>-0.618759988082017</v>
      </c>
      <c r="I278" s="5">
        <v>-0.298896665089288</v>
      </c>
    </row>
    <row r="279">
      <c r="A279" s="2" t="s">
        <v>304</v>
      </c>
      <c r="B279" s="8" t="str">
        <f>HYPERLINK("https://www.suredividend.com/sure-analysis-research-database/","Circor International Inc")</f>
        <v>Circor International Inc</v>
      </c>
      <c r="C279" s="5">
        <v>0.003944065973467</v>
      </c>
      <c r="D279" s="5">
        <v>-1.78539546509E-4</v>
      </c>
      <c r="E279" s="5">
        <v>0.90865712338105</v>
      </c>
      <c r="F279" s="5">
        <v>1.3372287145242</v>
      </c>
      <c r="G279" s="5">
        <v>2.19817247287264</v>
      </c>
      <c r="H279" s="5">
        <v>0.73374613003096</v>
      </c>
      <c r="I279" s="5">
        <v>0.451529289787454</v>
      </c>
    </row>
    <row r="280">
      <c r="A280" s="2" t="s">
        <v>305</v>
      </c>
      <c r="B280" s="8" t="str">
        <f>HYPERLINK("https://www.suredividend.com/sure-analysis-research-database/","CISO Global Inc")</f>
        <v>CISO Global Inc</v>
      </c>
      <c r="C280" s="5">
        <v>0.0</v>
      </c>
      <c r="D280" s="5">
        <v>0.036734693877551</v>
      </c>
      <c r="E280" s="5">
        <v>-0.506796116504854</v>
      </c>
      <c r="F280" s="5">
        <v>0.0</v>
      </c>
      <c r="G280" s="5">
        <v>-0.936100628930817</v>
      </c>
      <c r="H280" s="5">
        <v>-0.973881748071979</v>
      </c>
      <c r="I280" s="5">
        <v>-0.981254612546125</v>
      </c>
    </row>
    <row r="281">
      <c r="A281" s="2" t="s">
        <v>306</v>
      </c>
      <c r="B281" s="8" t="str">
        <f>HYPERLINK("https://www.suredividend.com/sure-analysis-research-database/","Civista Bancshares Inc")</f>
        <v>Civista Bancshares Inc</v>
      </c>
      <c r="C281" s="5">
        <v>-0.031995661605206</v>
      </c>
      <c r="D281" s="5">
        <v>0.241644117667517</v>
      </c>
      <c r="E281" s="5">
        <v>-0.02288689026226</v>
      </c>
      <c r="F281" s="5">
        <v>-0.031995661605206</v>
      </c>
      <c r="G281" s="5">
        <v>-0.129251302464438</v>
      </c>
      <c r="H281" s="5">
        <v>-0.180056775900559</v>
      </c>
      <c r="I281" s="5">
        <v>0.109991791657339</v>
      </c>
    </row>
    <row r="282">
      <c r="A282" s="2" t="s">
        <v>307</v>
      </c>
      <c r="B282" s="8" t="str">
        <f>HYPERLINK("https://www.suredividend.com/sure-analysis-research-database/","Civitas Resources Inc")</f>
        <v>Civitas Resources Inc</v>
      </c>
      <c r="C282" s="5">
        <v>-0.032904357999415</v>
      </c>
      <c r="D282" s="5">
        <v>-0.104722914923631</v>
      </c>
      <c r="E282" s="5">
        <v>-0.084377652334885</v>
      </c>
      <c r="F282" s="5">
        <v>-0.032904357999415</v>
      </c>
      <c r="G282" s="5">
        <v>0.02503134925002</v>
      </c>
      <c r="H282" s="5">
        <v>0.397739690269508</v>
      </c>
      <c r="I282" s="5">
        <v>1.87346832362909</v>
      </c>
    </row>
    <row r="283">
      <c r="A283" s="2" t="s">
        <v>308</v>
      </c>
      <c r="B283" s="8" t="str">
        <f>HYPERLINK("https://www.suredividend.com/sure-analysis-research-database/","Compx International, Inc.")</f>
        <v>Compx International, Inc.</v>
      </c>
      <c r="C283" s="5">
        <v>-0.024920886075949</v>
      </c>
      <c r="D283" s="5">
        <v>0.411547777885942</v>
      </c>
      <c r="E283" s="5">
        <v>0.108014563761406</v>
      </c>
      <c r="F283" s="5">
        <v>-0.024920886075949</v>
      </c>
      <c r="G283" s="5">
        <v>0.464037536378214</v>
      </c>
      <c r="H283" s="5">
        <v>0.332094008549179</v>
      </c>
      <c r="I283" s="5">
        <v>1.21467525583317</v>
      </c>
    </row>
    <row r="284">
      <c r="A284" s="2" t="s">
        <v>309</v>
      </c>
      <c r="B284" s="8" t="str">
        <f>HYPERLINK("https://www.suredividend.com/sure-analysis-research-database/","Clarus Corp")</f>
        <v>Clarus Corp</v>
      </c>
      <c r="C284" s="5">
        <v>-0.067440174039158</v>
      </c>
      <c r="D284" s="5">
        <v>0.157745008012387</v>
      </c>
      <c r="E284" s="5">
        <v>-0.255097312326228</v>
      </c>
      <c r="F284" s="5">
        <v>-0.067440174039158</v>
      </c>
      <c r="G284" s="5">
        <v>-0.339238737257481</v>
      </c>
      <c r="H284" s="5">
        <v>-0.692735561438552</v>
      </c>
      <c r="I284" s="5">
        <v>-0.367959580867753</v>
      </c>
    </row>
    <row r="285">
      <c r="A285" s="2" t="s">
        <v>310</v>
      </c>
      <c r="B285" s="8" t="str">
        <f>HYPERLINK("https://www.suredividend.com/sure-analysis-research-database/","Columbia Financial, Inc")</f>
        <v>Columbia Financial, Inc</v>
      </c>
      <c r="C285" s="5">
        <v>-0.007780082987551</v>
      </c>
      <c r="D285" s="5">
        <v>0.192643391521196</v>
      </c>
      <c r="E285" s="5">
        <v>0.088168373151308</v>
      </c>
      <c r="F285" s="5">
        <v>-0.007780082987551</v>
      </c>
      <c r="G285" s="5">
        <v>-0.049677098857426</v>
      </c>
      <c r="H285" s="5">
        <v>-0.106909430438842</v>
      </c>
      <c r="I285" s="5">
        <v>0.299592391304347</v>
      </c>
    </row>
    <row r="286">
      <c r="A286" s="2" t="s">
        <v>311</v>
      </c>
      <c r="B286" s="8" t="str">
        <f>HYPERLINK("https://www.suredividend.com/sure-analysis-research-database/","Chatham Lodging Trust")</f>
        <v>Chatham Lodging Trust</v>
      </c>
      <c r="C286" s="5">
        <v>0.023320895522388</v>
      </c>
      <c r="D286" s="5">
        <v>0.228072139442721</v>
      </c>
      <c r="E286" s="5">
        <v>0.176861844787263</v>
      </c>
      <c r="F286" s="5">
        <v>0.023320895522388</v>
      </c>
      <c r="G286" s="5">
        <v>-0.18647335830027</v>
      </c>
      <c r="H286" s="5">
        <v>-0.111942231720743</v>
      </c>
      <c r="I286" s="5">
        <v>-0.383790949534894</v>
      </c>
    </row>
    <row r="287">
      <c r="A287" s="2" t="s">
        <v>312</v>
      </c>
      <c r="B287" s="8" t="str">
        <f>HYPERLINK("https://www.suredividend.com/sure-analysis-research-database/","Celldex Therapeutics Inc.")</f>
        <v>Celldex Therapeutics Inc.</v>
      </c>
      <c r="C287" s="5">
        <v>-0.082702975289964</v>
      </c>
      <c r="D287" s="5">
        <v>0.609022556390977</v>
      </c>
      <c r="E287" s="5">
        <v>0.048414985590778</v>
      </c>
      <c r="F287" s="5">
        <v>-0.082702975289964</v>
      </c>
      <c r="G287" s="5">
        <v>-0.213405405405405</v>
      </c>
      <c r="H287" s="5">
        <v>0.253618194348725</v>
      </c>
      <c r="I287" s="5">
        <v>6.06888176430584</v>
      </c>
    </row>
    <row r="288">
      <c r="A288" s="2" t="s">
        <v>313</v>
      </c>
      <c r="B288" s="8" t="str">
        <f>HYPERLINK("https://www.suredividend.com/sure-analysis-research-database/","Clearfield Inc")</f>
        <v>Clearfield Inc</v>
      </c>
      <c r="C288" s="5">
        <v>-0.070495185694635</v>
      </c>
      <c r="D288" s="5">
        <v>0.148258283772302</v>
      </c>
      <c r="E288" s="5">
        <v>-0.414681680381117</v>
      </c>
      <c r="F288" s="5">
        <v>-0.070495185694635</v>
      </c>
      <c r="G288" s="5">
        <v>-0.609167148640832</v>
      </c>
      <c r="H288" s="5">
        <v>-0.536204529855868</v>
      </c>
      <c r="I288" s="5">
        <v>1.26381909547738</v>
      </c>
    </row>
    <row r="289">
      <c r="A289" s="2" t="s">
        <v>314</v>
      </c>
      <c r="B289" s="8" t="str">
        <f>HYPERLINK("https://www.suredividend.com/sure-analysis-research-database/","Clean Energy Fuels Corp")</f>
        <v>Clean Energy Fuels Corp</v>
      </c>
      <c r="C289" s="5">
        <v>-0.177545691906005</v>
      </c>
      <c r="D289" s="5">
        <v>-0.0625</v>
      </c>
      <c r="E289" s="5">
        <v>-0.349173553719008</v>
      </c>
      <c r="F289" s="5">
        <v>-0.177545691906005</v>
      </c>
      <c r="G289" s="5">
        <v>-0.443462897526501</v>
      </c>
      <c r="H289" s="5">
        <v>-0.446397188049209</v>
      </c>
      <c r="I289" s="5">
        <v>0.675531914893617</v>
      </c>
    </row>
    <row r="290">
      <c r="A290" s="2" t="s">
        <v>315</v>
      </c>
      <c r="B290" s="8" t="str">
        <f>HYPERLINK("https://www.suredividend.com/sure-analysis-research-database/","Clover Health Investments Corp")</f>
        <v>Clover Health Investments Corp</v>
      </c>
      <c r="C290" s="5">
        <v>0.03928158806848</v>
      </c>
      <c r="D290" s="5">
        <v>0.084859116324964</v>
      </c>
      <c r="E290" s="5">
        <v>-0.12433628318584</v>
      </c>
      <c r="F290" s="5">
        <v>0.03928158806848</v>
      </c>
      <c r="G290" s="5">
        <v>-0.208399999999999</v>
      </c>
      <c r="H290" s="5">
        <v>-0.571645021645021</v>
      </c>
      <c r="I290" s="5">
        <v>-0.902990196078431</v>
      </c>
    </row>
    <row r="291">
      <c r="A291" s="2" t="s">
        <v>316</v>
      </c>
      <c r="B291" s="8" t="str">
        <f>HYPERLINK("https://www.suredividend.com/sure-analysis-CLPR/","Clipper Realty Inc")</f>
        <v>Clipper Realty Inc</v>
      </c>
      <c r="C291" s="5">
        <v>-0.053703703703703</v>
      </c>
      <c r="D291" s="5">
        <v>0.118015140244169</v>
      </c>
      <c r="E291" s="5">
        <v>-0.160133458244991</v>
      </c>
      <c r="F291" s="5">
        <v>-0.053703703703703</v>
      </c>
      <c r="G291" s="5">
        <v>-0.210615750610189</v>
      </c>
      <c r="H291" s="5">
        <v>-0.370720654154967</v>
      </c>
      <c r="I291" s="5">
        <v>-0.489765351972042</v>
      </c>
    </row>
    <row r="292">
      <c r="A292" s="2" t="s">
        <v>317</v>
      </c>
      <c r="B292" s="8" t="str">
        <f>HYPERLINK("https://www.suredividend.com/sure-analysis-research-database/","Cleanspark Inc")</f>
        <v>Cleanspark Inc</v>
      </c>
      <c r="C292" s="5">
        <v>-0.226654578422484</v>
      </c>
      <c r="D292" s="5">
        <v>1.05542168674698</v>
      </c>
      <c r="E292" s="5">
        <v>0.431208053691275</v>
      </c>
      <c r="F292" s="5">
        <v>-0.226654578422484</v>
      </c>
      <c r="G292" s="5">
        <v>1.92123287671232</v>
      </c>
      <c r="H292" s="5">
        <v>0.407590759075907</v>
      </c>
      <c r="I292" s="5">
        <v>0.672549019607843</v>
      </c>
    </row>
    <row r="293">
      <c r="A293" s="2" t="s">
        <v>318</v>
      </c>
      <c r="B293" s="8" t="str">
        <f>HYPERLINK("https://www.suredividend.com/sure-analysis-research-database/","Clearwater Paper Corp")</f>
        <v>Clearwater Paper Corp</v>
      </c>
      <c r="C293" s="5">
        <v>-0.078903654485049</v>
      </c>
      <c r="D293" s="5">
        <v>-0.036210892236384</v>
      </c>
      <c r="E293" s="5">
        <v>0.034193347839602</v>
      </c>
      <c r="F293" s="5">
        <v>-0.078903654485049</v>
      </c>
      <c r="G293" s="5">
        <v>-0.100324499729583</v>
      </c>
      <c r="H293" s="5">
        <v>0.052848101265822</v>
      </c>
      <c r="I293" s="5">
        <v>-0.011292719167904</v>
      </c>
    </row>
    <row r="294">
      <c r="A294" s="2" t="s">
        <v>319</v>
      </c>
      <c r="B294" s="8" t="str">
        <f>HYPERLINK("https://www.suredividend.com/sure-analysis-research-database/","CareMax Inc")</f>
        <v>CareMax Inc</v>
      </c>
      <c r="C294" s="5">
        <v>-0.215174628663187</v>
      </c>
      <c r="D294" s="5">
        <v>-0.807389162561576</v>
      </c>
      <c r="E294" s="5">
        <v>-0.831465517241379</v>
      </c>
      <c r="F294" s="5">
        <v>-0.215174628663187</v>
      </c>
      <c r="G294" s="5">
        <v>-0.909699769053117</v>
      </c>
      <c r="H294" s="5">
        <v>-0.933840947546531</v>
      </c>
      <c r="I294" s="5">
        <v>-0.96050505050505</v>
      </c>
    </row>
    <row r="295">
      <c r="A295" s="2" t="s">
        <v>320</v>
      </c>
      <c r="B295" s="8" t="str">
        <f>HYPERLINK("https://www.suredividend.com/sure-analysis-research-database/","Cambium Networks Corp")</f>
        <v>Cambium Networks Corp</v>
      </c>
      <c r="C295" s="5">
        <v>-0.251666666666666</v>
      </c>
      <c r="D295" s="5">
        <v>-0.019650655021834</v>
      </c>
      <c r="E295" s="5">
        <v>-0.719900187149095</v>
      </c>
      <c r="F295" s="5">
        <v>-0.251666666666666</v>
      </c>
      <c r="G295" s="5">
        <v>-0.785064624222115</v>
      </c>
      <c r="H295" s="5">
        <v>-0.803758741258741</v>
      </c>
      <c r="I295" s="5">
        <v>-0.537113402061855</v>
      </c>
    </row>
    <row r="296">
      <c r="A296" s="2" t="s">
        <v>321</v>
      </c>
      <c r="B296" s="8" t="str">
        <f>HYPERLINK("https://www.suredividend.com/sure-analysis-research-database/","Commercial Metals Co.")</f>
        <v>Commercial Metals Co.</v>
      </c>
      <c r="C296" s="5">
        <v>0.048134388952487</v>
      </c>
      <c r="D296" s="5">
        <v>0.254752121654314</v>
      </c>
      <c r="E296" s="5">
        <v>-0.06386087554435</v>
      </c>
      <c r="F296" s="5">
        <v>0.048134388952487</v>
      </c>
      <c r="G296" s="5">
        <v>-0.03416984422571</v>
      </c>
      <c r="H296" s="5">
        <v>0.59320298405578</v>
      </c>
      <c r="I296" s="5">
        <v>2.35711396079086</v>
      </c>
    </row>
    <row r="297">
      <c r="A297" s="2" t="s">
        <v>322</v>
      </c>
      <c r="B297" s="8" t="str">
        <f>HYPERLINK("https://www.suredividend.com/sure-analysis-research-database/","Columbus Mckinnon Corp.")</f>
        <v>Columbus Mckinnon Corp.</v>
      </c>
      <c r="C297" s="5">
        <v>-0.009226037929267</v>
      </c>
      <c r="D297" s="5">
        <v>0.263712556059674</v>
      </c>
      <c r="E297" s="5">
        <v>-0.076720998268553</v>
      </c>
      <c r="F297" s="5">
        <v>-0.009226037929267</v>
      </c>
      <c r="G297" s="5">
        <v>0.106515734791132</v>
      </c>
      <c r="H297" s="5">
        <v>-0.084671442980192</v>
      </c>
      <c r="I297" s="5">
        <v>0.186184297325408</v>
      </c>
    </row>
    <row r="298">
      <c r="A298" s="2" t="s">
        <v>323</v>
      </c>
      <c r="B298" s="8" t="str">
        <f>HYPERLINK("https://www.suredividend.com/sure-analysis-research-database/","Cumulus Media Inc.")</f>
        <v>Cumulus Media Inc.</v>
      </c>
      <c r="C298" s="5">
        <v>-0.099624060150375</v>
      </c>
      <c r="D298" s="5">
        <v>0.0041928721174</v>
      </c>
      <c r="E298" s="5">
        <v>-0.135379061371841</v>
      </c>
      <c r="F298" s="5">
        <v>-0.099624060150375</v>
      </c>
      <c r="G298" s="5">
        <v>-0.282934131736526</v>
      </c>
      <c r="H298" s="5">
        <v>-0.545109211775878</v>
      </c>
      <c r="I298" s="5">
        <v>-0.602489626556016</v>
      </c>
    </row>
    <row r="299">
      <c r="A299" s="2" t="s">
        <v>324</v>
      </c>
      <c r="B299" s="8" t="str">
        <f>HYPERLINK("https://www.suredividend.com/sure-analysis-CMP/","Compass Minerals International Inc")</f>
        <v>Compass Minerals International Inc</v>
      </c>
      <c r="C299" s="5">
        <v>-0.062796208530805</v>
      </c>
      <c r="D299" s="5">
        <v>-0.023086930031122</v>
      </c>
      <c r="E299" s="5">
        <v>-0.367907943103723</v>
      </c>
      <c r="F299" s="5">
        <v>-0.062796208530805</v>
      </c>
      <c r="G299" s="5">
        <v>-0.456954551695729</v>
      </c>
      <c r="H299" s="5">
        <v>-0.551103796606321</v>
      </c>
      <c r="I299" s="5">
        <v>-0.448715178801669</v>
      </c>
    </row>
    <row r="300">
      <c r="A300" s="2" t="s">
        <v>325</v>
      </c>
      <c r="B300" s="8" t="str">
        <f>HYPERLINK("https://www.suredividend.com/sure-analysis-research-database/","CompoSecure Inc")</f>
        <v>CompoSecure Inc</v>
      </c>
      <c r="C300" s="5">
        <v>0.011111111111111</v>
      </c>
      <c r="D300" s="5">
        <v>-0.063464837049742</v>
      </c>
      <c r="E300" s="5">
        <v>-0.261163734776725</v>
      </c>
      <c r="F300" s="5">
        <v>0.011111111111111</v>
      </c>
      <c r="G300" s="5">
        <v>-0.150855365474338</v>
      </c>
      <c r="H300" s="5">
        <v>-0.293661060802069</v>
      </c>
      <c r="I300" s="5">
        <v>-0.446808510638297</v>
      </c>
    </row>
    <row r="301">
      <c r="A301" s="2" t="s">
        <v>326</v>
      </c>
      <c r="B301" s="8" t="str">
        <f>HYPERLINK("https://www.suredividend.com/sure-analysis-research-database/","Cimpress plc")</f>
        <v>Cimpress plc</v>
      </c>
      <c r="C301" s="5">
        <v>-0.010993129294191</v>
      </c>
      <c r="D301" s="5">
        <v>0.371621621621621</v>
      </c>
      <c r="E301" s="5">
        <v>0.17271515331062</v>
      </c>
      <c r="F301" s="5">
        <v>-0.010993129294191</v>
      </c>
      <c r="G301" s="5">
        <v>1.47871008140263</v>
      </c>
      <c r="H301" s="5">
        <v>0.143579373104145</v>
      </c>
      <c r="I301" s="5">
        <v>-0.325006394407025</v>
      </c>
    </row>
    <row r="302">
      <c r="A302" s="2" t="s">
        <v>327</v>
      </c>
      <c r="B302" s="8" t="str">
        <f>HYPERLINK("https://www.suredividend.com/sure-analysis-research-database/","Costamare Inc")</f>
        <v>Costamare Inc</v>
      </c>
      <c r="C302" s="5">
        <v>0.045357042328709</v>
      </c>
      <c r="D302" s="5">
        <v>0.195842863804934</v>
      </c>
      <c r="E302" s="5">
        <v>-0.049334004183989</v>
      </c>
      <c r="F302" s="5">
        <v>0.045357042328709</v>
      </c>
      <c r="G302" s="5">
        <v>0.098845039382932</v>
      </c>
      <c r="H302" s="5">
        <v>-0.112447978903127</v>
      </c>
      <c r="I302" s="5">
        <v>1.74513802156347</v>
      </c>
    </row>
    <row r="303">
      <c r="A303" s="2" t="s">
        <v>328</v>
      </c>
      <c r="B303" s="8" t="str">
        <f>HYPERLINK("https://www.suredividend.com/sure-analysis-research-database/","Chimerix Inc")</f>
        <v>Chimerix Inc</v>
      </c>
      <c r="C303" s="5">
        <v>-0.051324675324675</v>
      </c>
      <c r="D303" s="5">
        <v>-0.064638393771768</v>
      </c>
      <c r="E303" s="5">
        <v>-0.212844827586206</v>
      </c>
      <c r="F303" s="5">
        <v>-0.051324675324675</v>
      </c>
      <c r="G303" s="5">
        <v>-0.492722222222222</v>
      </c>
      <c r="H303" s="5">
        <v>-0.831219963031423</v>
      </c>
      <c r="I303" s="5">
        <v>-0.573317757009345</v>
      </c>
    </row>
    <row r="304">
      <c r="A304" s="2" t="s">
        <v>329</v>
      </c>
      <c r="B304" s="8" t="str">
        <f>HYPERLINK("https://www.suredividend.com/sure-analysis-research-database/","Claros Mortgage Trust Inc")</f>
        <v>Claros Mortgage Trust Inc</v>
      </c>
      <c r="C304" s="5">
        <v>-0.062362435803374</v>
      </c>
      <c r="D304" s="5">
        <v>0.285029109227474</v>
      </c>
      <c r="E304" s="5">
        <v>0.078107996389434</v>
      </c>
      <c r="F304" s="5">
        <v>-0.062362435803374</v>
      </c>
      <c r="G304" s="5">
        <v>-0.139486654636537</v>
      </c>
      <c r="H304" s="5">
        <v>-0.126983584832193</v>
      </c>
      <c r="I304" s="5">
        <v>-0.061632671042777</v>
      </c>
    </row>
    <row r="305">
      <c r="A305" s="2" t="s">
        <v>330</v>
      </c>
      <c r="B305" s="8" t="str">
        <f>HYPERLINK("https://www.suredividend.com/sure-analysis-research-database/","Comtech Telecommunications Corp.")</f>
        <v>Comtech Telecommunications Corp.</v>
      </c>
      <c r="C305" s="5">
        <v>-0.180308422301304</v>
      </c>
      <c r="D305" s="5">
        <v>-0.381932021466905</v>
      </c>
      <c r="E305" s="5">
        <v>-0.313121272365805</v>
      </c>
      <c r="F305" s="5">
        <v>-0.180308422301304</v>
      </c>
      <c r="G305" s="5">
        <v>-0.534993270524899</v>
      </c>
      <c r="H305" s="5">
        <v>-0.640010419380046</v>
      </c>
      <c r="I305" s="5">
        <v>-0.702464250498404</v>
      </c>
    </row>
    <row r="306">
      <c r="A306" s="2" t="s">
        <v>331</v>
      </c>
      <c r="B306" s="8" t="str">
        <f>HYPERLINK("https://www.suredividend.com/sure-analysis-research-database/","Conduent Inc")</f>
        <v>Conduent Inc</v>
      </c>
      <c r="C306" s="5">
        <v>0.035616438356164</v>
      </c>
      <c r="D306" s="5">
        <v>0.219354838709677</v>
      </c>
      <c r="E306" s="5">
        <v>0.089337175792507</v>
      </c>
      <c r="F306" s="5">
        <v>0.035616438356164</v>
      </c>
      <c r="G306" s="5">
        <v>-0.20253164556962</v>
      </c>
      <c r="H306" s="5">
        <v>-0.181818181818181</v>
      </c>
      <c r="I306" s="5">
        <v>-0.701657458563536</v>
      </c>
    </row>
    <row r="307">
      <c r="A307" s="2" t="s">
        <v>332</v>
      </c>
      <c r="B307" s="8" t="str">
        <f>HYPERLINK("https://www.suredividend.com/sure-analysis-research-database/","Cinemark Holdings Inc")</f>
        <v>Cinemark Holdings Inc</v>
      </c>
      <c r="C307" s="5">
        <v>0.024130589070262</v>
      </c>
      <c r="D307" s="5">
        <v>-0.06963249516441</v>
      </c>
      <c r="E307" s="5">
        <v>-0.129674306393244</v>
      </c>
      <c r="F307" s="5">
        <v>0.024130589070262</v>
      </c>
      <c r="G307" s="5">
        <v>0.248269896193771</v>
      </c>
      <c r="H307" s="5">
        <v>0.006276150627614</v>
      </c>
      <c r="I307" s="5">
        <v>-0.62318938976527</v>
      </c>
    </row>
    <row r="308">
      <c r="A308" s="2" t="s">
        <v>333</v>
      </c>
      <c r="B308" s="8" t="str">
        <f>HYPERLINK("https://www.suredividend.com/sure-analysis-research-database/","Conmed Corp.")</f>
        <v>Conmed Corp.</v>
      </c>
      <c r="C308" s="5">
        <v>-0.132773262715733</v>
      </c>
      <c r="D308" s="5">
        <v>0.001847145785269</v>
      </c>
      <c r="E308" s="5">
        <v>-0.197366530598446</v>
      </c>
      <c r="F308" s="5">
        <v>-0.132773262715733</v>
      </c>
      <c r="G308" s="5">
        <v>-0.002724995930882</v>
      </c>
      <c r="H308" s="5">
        <v>-0.286432372242317</v>
      </c>
      <c r="I308" s="5">
        <v>0.45558154291337</v>
      </c>
    </row>
    <row r="309">
      <c r="A309" s="2" t="s">
        <v>334</v>
      </c>
      <c r="B309" s="8" t="str">
        <f>HYPERLINK("https://www.suredividend.com/sure-analysis-research-database/","Cannae Holdings Inc")</f>
        <v>Cannae Holdings Inc</v>
      </c>
      <c r="C309" s="5">
        <v>0.069195284469502</v>
      </c>
      <c r="D309" s="5">
        <v>0.295652173913043</v>
      </c>
      <c r="E309" s="5">
        <v>0.031651829871414</v>
      </c>
      <c r="F309" s="5">
        <v>0.069195284469502</v>
      </c>
      <c r="G309" s="5">
        <v>-0.114601018675721</v>
      </c>
      <c r="H309" s="5">
        <v>-0.273170731707317</v>
      </c>
      <c r="I309" s="5">
        <v>0.128177393185505</v>
      </c>
    </row>
    <row r="310">
      <c r="A310" s="2" t="s">
        <v>335</v>
      </c>
      <c r="B310" s="8" t="str">
        <f>HYPERLINK("https://www.suredividend.com/sure-analysis-research-database/","CNO Financial Group Inc")</f>
        <v>CNO Financial Group Inc</v>
      </c>
      <c r="C310" s="5">
        <v>-0.006810035842293</v>
      </c>
      <c r="D310" s="5">
        <v>0.238546462253609</v>
      </c>
      <c r="E310" s="5">
        <v>0.098147693136874</v>
      </c>
      <c r="F310" s="5">
        <v>-0.006810035842293</v>
      </c>
      <c r="G310" s="5">
        <v>0.114453712566662</v>
      </c>
      <c r="H310" s="5">
        <v>0.173049080949276</v>
      </c>
      <c r="I310" s="5">
        <v>0.781077259287826</v>
      </c>
    </row>
    <row r="311">
      <c r="A311" s="2" t="s">
        <v>336</v>
      </c>
      <c r="B311" s="8" t="str">
        <f>HYPERLINK("https://www.suredividend.com/sure-analysis-research-database/","ConnectOne Bancorp Inc.")</f>
        <v>ConnectOne Bancorp Inc.</v>
      </c>
      <c r="C311" s="5">
        <v>0.051505892623308</v>
      </c>
      <c r="D311" s="5">
        <v>0.561608670849971</v>
      </c>
      <c r="E311" s="5">
        <v>0.244485313110231</v>
      </c>
      <c r="F311" s="5">
        <v>0.051505892623308</v>
      </c>
      <c r="G311" s="5">
        <v>0.147913599130844</v>
      </c>
      <c r="H311" s="5">
        <v>-0.224376909678063</v>
      </c>
      <c r="I311" s="5">
        <v>0.371165120382492</v>
      </c>
    </row>
    <row r="312">
      <c r="A312" s="2" t="s">
        <v>337</v>
      </c>
      <c r="B312" s="8" t="str">
        <f>HYPERLINK("https://www.suredividend.com/sure-analysis-CNS/","Cohen &amp; Steers Inc.")</f>
        <v>Cohen &amp; Steers Inc.</v>
      </c>
      <c r="C312" s="5">
        <v>-0.048593688102469</v>
      </c>
      <c r="D312" s="5">
        <v>0.433711013208846</v>
      </c>
      <c r="E312" s="5">
        <v>0.142694920280971</v>
      </c>
      <c r="F312" s="5">
        <v>-0.048593688102469</v>
      </c>
      <c r="G312" s="5">
        <v>0.052846924386448</v>
      </c>
      <c r="H312" s="5">
        <v>-0.046310525528566</v>
      </c>
      <c r="I312" s="5">
        <v>1.24329036677252</v>
      </c>
    </row>
    <row r="313">
      <c r="A313" s="2" t="s">
        <v>338</v>
      </c>
      <c r="B313" s="8" t="str">
        <f>HYPERLINK("https://www.suredividend.com/sure-analysis-research-database/","Consolidated Communications Holdings Inc")</f>
        <v>Consolidated Communications Holdings Inc</v>
      </c>
      <c r="C313" s="5">
        <v>0.002298850574712</v>
      </c>
      <c r="D313" s="5">
        <v>0.073891625615763</v>
      </c>
      <c r="E313" s="5">
        <v>0.228169014084507</v>
      </c>
      <c r="F313" s="5">
        <v>0.002298850574712</v>
      </c>
      <c r="G313" s="5">
        <v>0.004608294930875</v>
      </c>
      <c r="H313" s="5">
        <v>-0.401098901098901</v>
      </c>
      <c r="I313" s="5">
        <v>-0.560820339256215</v>
      </c>
    </row>
    <row r="314">
      <c r="A314" s="2" t="s">
        <v>339</v>
      </c>
      <c r="B314" s="8" t="str">
        <f>HYPERLINK("https://www.suredividend.com/sure-analysis-research-database/","Century Casinos Inc.")</f>
        <v>Century Casinos Inc.</v>
      </c>
      <c r="C314" s="5">
        <v>-0.23155737704918</v>
      </c>
      <c r="D314" s="5">
        <v>-0.129930394431554</v>
      </c>
      <c r="E314" s="5">
        <v>-0.507227332457293</v>
      </c>
      <c r="F314" s="5">
        <v>-0.23155737704918</v>
      </c>
      <c r="G314" s="5">
        <v>-0.574829931972789</v>
      </c>
      <c r="H314" s="5">
        <v>-0.620829120323559</v>
      </c>
      <c r="I314" s="5">
        <v>-0.505277044854881</v>
      </c>
    </row>
    <row r="315">
      <c r="A315" s="2" t="s">
        <v>340</v>
      </c>
      <c r="B315" s="8" t="str">
        <f>HYPERLINK("https://www.suredividend.com/sure-analysis-research-database/","CNX Resources Corp")</f>
        <v>CNX Resources Corp</v>
      </c>
      <c r="C315" s="5">
        <v>0.024499999999999</v>
      </c>
      <c r="D315" s="5">
        <v>-0.033490566037735</v>
      </c>
      <c r="E315" s="5">
        <v>0.028098344204716</v>
      </c>
      <c r="F315" s="5">
        <v>0.024499999999999</v>
      </c>
      <c r="G315" s="5">
        <v>0.239564428312159</v>
      </c>
      <c r="H315" s="5">
        <v>0.365999999999999</v>
      </c>
      <c r="I315" s="5">
        <v>0.551097653292959</v>
      </c>
    </row>
    <row r="316">
      <c r="A316" s="2" t="s">
        <v>341</v>
      </c>
      <c r="B316" s="8" t="str">
        <f>HYPERLINK("https://www.suredividend.com/sure-analysis-research-database/","PC Connection, Inc.")</f>
        <v>PC Connection, Inc.</v>
      </c>
      <c r="C316" s="5">
        <v>-0.026186579378068</v>
      </c>
      <c r="D316" s="5">
        <v>0.250069236073044</v>
      </c>
      <c r="E316" s="5">
        <v>0.376579017107859</v>
      </c>
      <c r="F316" s="5">
        <v>-0.026186579378068</v>
      </c>
      <c r="G316" s="5">
        <v>0.379791587171416</v>
      </c>
      <c r="H316" s="5">
        <v>0.524251789161859</v>
      </c>
      <c r="I316" s="5">
        <v>1.17419468426839</v>
      </c>
    </row>
    <row r="317">
      <c r="A317" s="2" t="s">
        <v>342</v>
      </c>
      <c r="B317" s="8" t="str">
        <f>HYPERLINK("https://www.suredividend.com/sure-analysis-research-database/","Vita Coco Company Inc (The)")</f>
        <v>Vita Coco Company Inc (The)</v>
      </c>
      <c r="C317" s="5">
        <v>-0.1953216374269</v>
      </c>
      <c r="D317" s="5">
        <v>-0.152709359605911</v>
      </c>
      <c r="E317" s="5">
        <v>-0.222012815680361</v>
      </c>
      <c r="F317" s="5">
        <v>-0.1953216374269</v>
      </c>
      <c r="G317" s="5">
        <v>0.601241272304111</v>
      </c>
      <c r="H317" s="5">
        <v>1.02949852507374</v>
      </c>
      <c r="I317" s="5">
        <v>0.526627218934911</v>
      </c>
    </row>
    <row r="318">
      <c r="A318" s="2" t="s">
        <v>343</v>
      </c>
      <c r="B318" s="8" t="str">
        <f>HYPERLINK("https://www.suredividend.com/sure-analysis-CODI/","Compass Diversified Holdings")</f>
        <v>Compass Diversified Holdings</v>
      </c>
      <c r="C318" s="5">
        <v>0.036033600115365</v>
      </c>
      <c r="D318" s="5">
        <v>0.357792096575103</v>
      </c>
      <c r="E318" s="5">
        <v>0.060943081026701</v>
      </c>
      <c r="F318" s="5">
        <v>0.036033600115365</v>
      </c>
      <c r="G318" s="5">
        <v>0.125327955515526</v>
      </c>
      <c r="H318" s="5">
        <v>0.02315562735595</v>
      </c>
      <c r="I318" s="5">
        <v>1.17700087117912</v>
      </c>
    </row>
    <row r="319">
      <c r="A319" s="2" t="s">
        <v>344</v>
      </c>
      <c r="B319" s="8" t="str">
        <f>HYPERLINK("https://www.suredividend.com/sure-analysis-research-database/","Cogent Biosciences Inc")</f>
        <v>Cogent Biosciences Inc</v>
      </c>
      <c r="C319" s="5">
        <v>-0.227891156462585</v>
      </c>
      <c r="D319" s="5">
        <v>-0.448359659781288</v>
      </c>
      <c r="E319" s="5">
        <v>-0.642800944138473</v>
      </c>
      <c r="F319" s="5">
        <v>-0.227891156462585</v>
      </c>
      <c r="G319" s="5">
        <v>-0.685377685377685</v>
      </c>
      <c r="H319" s="5">
        <v>-0.322388059701492</v>
      </c>
      <c r="I319" s="5">
        <v>0.164102564102564</v>
      </c>
    </row>
    <row r="320">
      <c r="A320" s="2" t="s">
        <v>345</v>
      </c>
      <c r="B320" s="8" t="str">
        <f>HYPERLINK("https://www.suredividend.com/sure-analysis-research-database/","Cohu, Inc.")</f>
        <v>Cohu, Inc.</v>
      </c>
      <c r="C320" s="5">
        <v>-0.066968070076292</v>
      </c>
      <c r="D320" s="5">
        <v>0.080851063829787</v>
      </c>
      <c r="E320" s="5">
        <v>-0.223058823529411</v>
      </c>
      <c r="F320" s="5">
        <v>-0.066968070076292</v>
      </c>
      <c r="G320" s="5">
        <v>-0.083032490974729</v>
      </c>
      <c r="H320" s="5">
        <v>0.072774528914879</v>
      </c>
      <c r="I320" s="5">
        <v>0.9467273520499</v>
      </c>
    </row>
    <row r="321">
      <c r="A321" s="2" t="s">
        <v>346</v>
      </c>
      <c r="B321" s="8" t="str">
        <f>HYPERLINK("https://www.suredividend.com/sure-analysis-research-database/","Coca-Cola Consolidated Inc")</f>
        <v>Coca-Cola Consolidated Inc</v>
      </c>
      <c r="C321" s="5">
        <v>-0.0570904974191</v>
      </c>
      <c r="D321" s="5">
        <v>0.380578341740201</v>
      </c>
      <c r="E321" s="5">
        <v>0.334522628331586</v>
      </c>
      <c r="F321" s="5">
        <v>-0.0570904974191</v>
      </c>
      <c r="G321" s="5">
        <v>0.767389635131044</v>
      </c>
      <c r="H321" s="5">
        <v>0.528074061566016</v>
      </c>
      <c r="I321" s="5">
        <v>3.23005710249535</v>
      </c>
    </row>
    <row r="322">
      <c r="A322" s="2" t="s">
        <v>347</v>
      </c>
      <c r="B322" s="8" t="str">
        <f>HYPERLINK("https://www.suredividend.com/sure-analysis-research-database/","Collegium Pharmaceutical Inc")</f>
        <v>Collegium Pharmaceutical Inc</v>
      </c>
      <c r="C322" s="5">
        <v>0.101039636127355</v>
      </c>
      <c r="D322" s="5">
        <v>0.601606805293005</v>
      </c>
      <c r="E322" s="5">
        <v>0.509576837416481</v>
      </c>
      <c r="F322" s="5">
        <v>0.101039636127355</v>
      </c>
      <c r="G322" s="5">
        <v>0.197949805585012</v>
      </c>
      <c r="H322" s="5">
        <v>0.938787185354691</v>
      </c>
      <c r="I322" s="5">
        <v>1.16135204081632</v>
      </c>
    </row>
    <row r="323">
      <c r="A323" s="2" t="s">
        <v>348</v>
      </c>
      <c r="B323" s="8" t="str">
        <f>HYPERLINK("https://www.suredividend.com/sure-analysis-research-database/","CommScope Holding Company Inc")</f>
        <v>CommScope Holding Company Inc</v>
      </c>
      <c r="C323" s="5">
        <v>-0.117021276595744</v>
      </c>
      <c r="D323" s="5">
        <v>0.02892561983471</v>
      </c>
      <c r="E323" s="5">
        <v>-0.439189189189189</v>
      </c>
      <c r="F323" s="5">
        <v>-0.117021276595744</v>
      </c>
      <c r="G323" s="5">
        <v>-0.691449814126394</v>
      </c>
      <c r="H323" s="5">
        <v>-0.726973684210526</v>
      </c>
      <c r="I323" s="5">
        <v>-0.880403458213256</v>
      </c>
    </row>
    <row r="324">
      <c r="A324" s="2" t="s">
        <v>349</v>
      </c>
      <c r="B324" s="8" t="str">
        <f>HYPERLINK("https://www.suredividend.com/sure-analysis-research-database/","Compass Inc")</f>
        <v>Compass Inc</v>
      </c>
      <c r="C324" s="5">
        <v>0.007978723404255</v>
      </c>
      <c r="D324" s="5">
        <v>0.857843137254902</v>
      </c>
      <c r="E324" s="5">
        <v>-0.10401891252955</v>
      </c>
      <c r="F324" s="5">
        <v>0.007978723404255</v>
      </c>
      <c r="G324" s="5">
        <v>-0.050125313283208</v>
      </c>
      <c r="H324" s="5">
        <v>-0.517197452229299</v>
      </c>
      <c r="I324" s="5">
        <v>-0.811910669975186</v>
      </c>
    </row>
    <row r="325">
      <c r="A325" s="2" t="s">
        <v>350</v>
      </c>
      <c r="B325" s="8" t="str">
        <f>HYPERLINK("https://www.suredividend.com/sure-analysis-research-database/","Conns Inc")</f>
        <v>Conns Inc</v>
      </c>
      <c r="C325" s="5">
        <v>0.069819819819819</v>
      </c>
      <c r="D325" s="5">
        <v>0.537216828478964</v>
      </c>
      <c r="E325" s="5">
        <v>0.023706896551724</v>
      </c>
      <c r="F325" s="5">
        <v>0.069819819819819</v>
      </c>
      <c r="G325" s="5">
        <v>-0.46509009009009</v>
      </c>
      <c r="H325" s="5">
        <v>-0.80083857442348</v>
      </c>
      <c r="I325" s="5">
        <v>-0.748411016949152</v>
      </c>
    </row>
    <row r="326">
      <c r="A326" s="2" t="s">
        <v>351</v>
      </c>
      <c r="B326" s="8" t="str">
        <f>HYPERLINK("https://www.suredividend.com/sure-analysis-research-database/","Traeger Inc")</f>
        <v>Traeger Inc</v>
      </c>
      <c r="C326" s="5">
        <v>-0.135531135531135</v>
      </c>
      <c r="D326" s="5">
        <v>-0.116104868913857</v>
      </c>
      <c r="E326" s="5">
        <v>-0.456221198156682</v>
      </c>
      <c r="F326" s="5">
        <v>-0.135531135531135</v>
      </c>
      <c r="G326" s="5">
        <v>-0.32183908045977</v>
      </c>
      <c r="H326" s="5">
        <v>-0.748668796592119</v>
      </c>
      <c r="I326" s="5">
        <v>-0.892727272727272</v>
      </c>
    </row>
    <row r="327">
      <c r="A327" s="2" t="s">
        <v>352</v>
      </c>
      <c r="B327" s="8" t="str">
        <f>HYPERLINK("https://www.suredividend.com/sure-analysis-research-database/","Mr. Cooper Group Inc")</f>
        <v>Mr. Cooper Group Inc</v>
      </c>
      <c r="C327" s="5">
        <v>0.044072481572481</v>
      </c>
      <c r="D327" s="5">
        <v>0.194693375505183</v>
      </c>
      <c r="E327" s="5">
        <v>0.144420131291028</v>
      </c>
      <c r="F327" s="5">
        <v>0.044072481572481</v>
      </c>
      <c r="G327" s="5">
        <v>0.487095363079614</v>
      </c>
      <c r="H327" s="5">
        <v>0.695511221945136</v>
      </c>
      <c r="I327" s="5">
        <v>3.55087014725568</v>
      </c>
    </row>
    <row r="328">
      <c r="A328" s="2" t="s">
        <v>353</v>
      </c>
      <c r="B328" s="8" t="str">
        <f>HYPERLINK("https://www.suredividend.com/sure-analysis-research-database/","Corcept Therapeutics Inc")</f>
        <v>Corcept Therapeutics Inc</v>
      </c>
      <c r="C328" s="5">
        <v>-0.3125</v>
      </c>
      <c r="D328" s="5">
        <v>-0.180851063829787</v>
      </c>
      <c r="E328" s="5">
        <v>-0.11913214990138</v>
      </c>
      <c r="F328" s="5">
        <v>-0.3125</v>
      </c>
      <c r="G328" s="5">
        <v>-0.039982803095443</v>
      </c>
      <c r="H328" s="5">
        <v>0.268029528676888</v>
      </c>
      <c r="I328" s="5">
        <v>0.913453299057412</v>
      </c>
    </row>
    <row r="329">
      <c r="A329" s="2" t="s">
        <v>354</v>
      </c>
      <c r="B329" s="8" t="str">
        <f>HYPERLINK("https://www.suredividend.com/sure-analysis-research-database/","Coursera Inc")</f>
        <v>Coursera Inc</v>
      </c>
      <c r="C329" s="5">
        <v>0.066597831698502</v>
      </c>
      <c r="D329" s="5">
        <v>0.201162790697674</v>
      </c>
      <c r="E329" s="5">
        <v>0.34944480731548</v>
      </c>
      <c r="F329" s="5">
        <v>0.066597831698502</v>
      </c>
      <c r="G329" s="5">
        <v>0.325208466966003</v>
      </c>
      <c r="H329" s="5">
        <v>0.098936170212766</v>
      </c>
      <c r="I329" s="5">
        <v>-0.540888888888888</v>
      </c>
    </row>
    <row r="330">
      <c r="A330" s="2" t="s">
        <v>355</v>
      </c>
      <c r="B330" s="8" t="str">
        <f>HYPERLINK("https://www.suredividend.com/sure-analysis-research-database/","Callon Petroleum Co.")</f>
        <v>Callon Petroleum Co.</v>
      </c>
      <c r="C330" s="5">
        <v>0.011419753086419</v>
      </c>
      <c r="D330" s="5">
        <v>-0.136950223860942</v>
      </c>
      <c r="E330" s="5">
        <v>-0.091236827509705</v>
      </c>
      <c r="F330" s="5">
        <v>0.011419753086419</v>
      </c>
      <c r="G330" s="5">
        <v>-0.242662352669285</v>
      </c>
      <c r="H330" s="5">
        <v>-0.345777600319425</v>
      </c>
      <c r="I330" s="5">
        <v>-0.585714285714285</v>
      </c>
    </row>
    <row r="331">
      <c r="A331" s="2" t="s">
        <v>356</v>
      </c>
      <c r="B331" s="8" t="str">
        <f>HYPERLINK("https://www.suredividend.com/sure-analysis-research-database/","Central Pacific Financial Corp.")</f>
        <v>Central Pacific Financial Corp.</v>
      </c>
      <c r="C331" s="5">
        <v>0.007113821138211</v>
      </c>
      <c r="D331" s="5">
        <v>0.30698266368606</v>
      </c>
      <c r="E331" s="5">
        <v>0.138256205276638</v>
      </c>
      <c r="F331" s="5">
        <v>0.007113821138211</v>
      </c>
      <c r="G331" s="5">
        <v>-0.027673529859056</v>
      </c>
      <c r="H331" s="5">
        <v>-0.228421495196125</v>
      </c>
      <c r="I331" s="5">
        <v>-0.072904680381315</v>
      </c>
    </row>
    <row r="332">
      <c r="A332" s="2" t="s">
        <v>357</v>
      </c>
      <c r="B332" s="8" t="str">
        <f>HYPERLINK("https://www.suredividend.com/sure-analysis-CPK/","Chesapeake Utilities Corp")</f>
        <v>Chesapeake Utilities Corp</v>
      </c>
      <c r="C332" s="5">
        <v>-0.024140869071286</v>
      </c>
      <c r="D332" s="5">
        <v>0.172801651115401</v>
      </c>
      <c r="E332" s="5">
        <v>-0.119556806010382</v>
      </c>
      <c r="F332" s="5">
        <v>-0.024140869071286</v>
      </c>
      <c r="G332" s="5">
        <v>-0.154211914715547</v>
      </c>
      <c r="H332" s="5">
        <v>-0.204849277745807</v>
      </c>
      <c r="I332" s="5">
        <v>0.257366045017802</v>
      </c>
    </row>
    <row r="333">
      <c r="A333" s="2" t="s">
        <v>358</v>
      </c>
      <c r="B333" s="8" t="str">
        <f>HYPERLINK("https://www.suredividend.com/sure-analysis-research-database/","Catalyst Pharmaceuticals Inc")</f>
        <v>Catalyst Pharmaceuticals Inc</v>
      </c>
      <c r="C333" s="5">
        <v>-0.140392623438429</v>
      </c>
      <c r="D333" s="5">
        <v>0.203665139525197</v>
      </c>
      <c r="E333" s="5">
        <v>0.034359341445955</v>
      </c>
      <c r="F333" s="5">
        <v>-0.140392623438429</v>
      </c>
      <c r="G333" s="5">
        <v>-0.068943298969072</v>
      </c>
      <c r="H333" s="5">
        <v>1.60830324909747</v>
      </c>
      <c r="I333" s="5">
        <v>5.04602510460251</v>
      </c>
    </row>
    <row r="334">
      <c r="A334" s="2" t="s">
        <v>359</v>
      </c>
      <c r="B334" s="8" t="str">
        <f>HYPERLINK("https://www.suredividend.com/sure-analysis-research-database/","Computer Programs &amp; Systems Inc")</f>
        <v>Computer Programs &amp; Systems Inc</v>
      </c>
      <c r="C334" s="5">
        <v>-0.065178571428571</v>
      </c>
      <c r="D334" s="5">
        <v>-0.252142857142857</v>
      </c>
      <c r="E334" s="5">
        <v>-0.594028693291973</v>
      </c>
      <c r="F334" s="5">
        <v>-0.065178571428571</v>
      </c>
      <c r="G334" s="5">
        <v>-0.633659902029391</v>
      </c>
      <c r="H334" s="5">
        <v>-0.626338329764453</v>
      </c>
      <c r="I334" s="5">
        <v>-0.587250901779906</v>
      </c>
    </row>
    <row r="335">
      <c r="A335" s="2" t="s">
        <v>360</v>
      </c>
      <c r="B335" s="8" t="str">
        <f>HYPERLINK("https://www.suredividend.com/sure-analysis-research-database/","Consumer Portfolio Service, Inc.")</f>
        <v>Consumer Portfolio Service, Inc.</v>
      </c>
      <c r="C335" s="5">
        <v>0.003201707577374</v>
      </c>
      <c r="D335" s="5">
        <v>0.001064962726304</v>
      </c>
      <c r="E335" s="5">
        <v>-0.253968253968253</v>
      </c>
      <c r="F335" s="5">
        <v>0.003201707577374</v>
      </c>
      <c r="G335" s="5">
        <v>-0.026915113871635</v>
      </c>
      <c r="H335" s="5">
        <v>-0.156193895870736</v>
      </c>
      <c r="I335" s="5">
        <v>1.46719160104986</v>
      </c>
    </row>
    <row r="336">
      <c r="A336" s="2" t="s">
        <v>361</v>
      </c>
      <c r="B336" s="8" t="str">
        <f>HYPERLINK("https://www.suredividend.com/sure-analysis-research-database/","Cepton Inc")</f>
        <v>Cepton Inc</v>
      </c>
      <c r="C336" s="5">
        <v>-0.133757961783439</v>
      </c>
      <c r="D336" s="5">
        <v>-0.233802816901408</v>
      </c>
      <c r="E336" s="5">
        <v>-0.597037037037037</v>
      </c>
      <c r="F336" s="5">
        <v>-0.133757961783439</v>
      </c>
      <c r="G336" s="5">
        <v>-0.778861788617886</v>
      </c>
      <c r="H336" s="5">
        <v>-0.966941746982826</v>
      </c>
      <c r="I336" s="5">
        <v>-0.966941746982826</v>
      </c>
    </row>
    <row r="337">
      <c r="A337" s="2" t="s">
        <v>362</v>
      </c>
      <c r="B337" s="8" t="str">
        <f>HYPERLINK("https://www.suredividend.com/sure-analysis-research-database/","CRA International Inc.")</f>
        <v>CRA International Inc.</v>
      </c>
      <c r="C337" s="5">
        <v>0.076783004552352</v>
      </c>
      <c r="D337" s="5">
        <v>0.12965449171385</v>
      </c>
      <c r="E337" s="5">
        <v>0.060626291654293</v>
      </c>
      <c r="F337" s="5">
        <v>0.076783004552352</v>
      </c>
      <c r="G337" s="5">
        <v>-0.056941456655101</v>
      </c>
      <c r="H337" s="5">
        <v>0.334759551418464</v>
      </c>
      <c r="I337" s="5">
        <v>1.7955277858758</v>
      </c>
    </row>
    <row r="338">
      <c r="A338" s="2" t="s">
        <v>363</v>
      </c>
      <c r="B338" s="8" t="str">
        <f>HYPERLINK("https://www.suredividend.com/sure-analysis-research-database/","Caribou Biosciences Inc")</f>
        <v>Caribou Biosciences Inc</v>
      </c>
      <c r="C338" s="5">
        <v>0.045375218150087</v>
      </c>
      <c r="D338" s="5">
        <v>0.636612021857923</v>
      </c>
      <c r="E338" s="5">
        <v>-0.122986822840409</v>
      </c>
      <c r="F338" s="5">
        <v>0.045375218150087</v>
      </c>
      <c r="G338" s="5">
        <v>-0.17832647462277</v>
      </c>
      <c r="H338" s="5">
        <v>-0.419010669253152</v>
      </c>
      <c r="I338" s="5">
        <v>-0.632965686274509</v>
      </c>
    </row>
    <row r="339">
      <c r="A339" s="2" t="s">
        <v>364</v>
      </c>
      <c r="B339" s="8" t="str">
        <f>HYPERLINK("https://www.suredividend.com/sure-analysis-research-database/","California Resources Corporation")</f>
        <v>California Resources Corporation</v>
      </c>
      <c r="C339" s="5">
        <v>-0.066752011704462</v>
      </c>
      <c r="D339" s="5">
        <v>-0.013466958972752</v>
      </c>
      <c r="E339" s="5">
        <v>-0.018667056405009</v>
      </c>
      <c r="F339" s="5">
        <v>-0.066752011704462</v>
      </c>
      <c r="G339" s="5">
        <v>0.21227238712896</v>
      </c>
      <c r="H339" s="5">
        <v>0.253291024834957</v>
      </c>
      <c r="I339" s="5">
        <v>2.56529029553552</v>
      </c>
    </row>
    <row r="340">
      <c r="A340" s="2" t="s">
        <v>365</v>
      </c>
      <c r="B340" s="8" t="str">
        <f>HYPERLINK("https://www.suredividend.com/sure-analysis-research-database/","Credo Technology Group Holding Ltd")</f>
        <v>Credo Technology Group Holding Ltd</v>
      </c>
      <c r="C340" s="5">
        <v>0.086286594761171</v>
      </c>
      <c r="D340" s="5">
        <v>0.520488856937455</v>
      </c>
      <c r="E340" s="5">
        <v>0.251479289940828</v>
      </c>
      <c r="F340" s="5">
        <v>0.086286594761171</v>
      </c>
      <c r="G340" s="5">
        <v>0.221837088388214</v>
      </c>
      <c r="H340" s="5">
        <v>0.890080428954423</v>
      </c>
      <c r="I340" s="5">
        <v>0.815450643776823</v>
      </c>
    </row>
    <row r="341">
      <c r="A341" s="2" t="s">
        <v>366</v>
      </c>
      <c r="B341" s="8" t="str">
        <f>HYPERLINK("https://www.suredividend.com/sure-analysis-research-database/","Charge Enterprises Inc")</f>
        <v>Charge Enterprises Inc</v>
      </c>
      <c r="C341" s="5">
        <v>0.261174408413672</v>
      </c>
      <c r="D341" s="5">
        <v>-0.539667306461932</v>
      </c>
      <c r="E341" s="5">
        <v>-0.852712384851586</v>
      </c>
      <c r="F341" s="5">
        <v>0.261174408413672</v>
      </c>
      <c r="G341" s="5">
        <v>-0.891804511278195</v>
      </c>
      <c r="H341" s="5">
        <v>1438.0</v>
      </c>
      <c r="I341" s="5">
        <v>1438.0</v>
      </c>
    </row>
    <row r="342">
      <c r="A342" s="2" t="s">
        <v>367</v>
      </c>
      <c r="B342" s="8" t="str">
        <f>HYPERLINK("https://www.suredividend.com/sure-analysis-research-database/","Crescent Energy Co.")</f>
        <v>Crescent Energy Co.</v>
      </c>
      <c r="C342" s="5">
        <v>-0.135503406510219</v>
      </c>
      <c r="D342" s="5">
        <v>-0.067382054862761</v>
      </c>
      <c r="E342" s="5">
        <v>-0.003473010000174</v>
      </c>
      <c r="F342" s="5">
        <v>-0.135503406510219</v>
      </c>
      <c r="G342" s="5">
        <v>-0.033832773542923</v>
      </c>
      <c r="H342" s="5">
        <v>-0.017025598650346</v>
      </c>
      <c r="I342" s="5">
        <v>-0.258388586197715</v>
      </c>
    </row>
    <row r="343">
      <c r="A343" s="2" t="s">
        <v>368</v>
      </c>
      <c r="B343" s="8" t="str">
        <f>HYPERLINK("https://www.suredividend.com/sure-analysis-research-database/","Comstock Resources, Inc.")</f>
        <v>Comstock Resources, Inc.</v>
      </c>
      <c r="C343" s="5">
        <v>-0.102824858757062</v>
      </c>
      <c r="D343" s="5">
        <v>-0.343682322405726</v>
      </c>
      <c r="E343" s="5">
        <v>-0.351058004299036</v>
      </c>
      <c r="F343" s="5">
        <v>-0.102824858757062</v>
      </c>
      <c r="G343" s="5">
        <v>-0.326399375604459</v>
      </c>
      <c r="H343" s="5">
        <v>0.054883152426629</v>
      </c>
      <c r="I343" s="5">
        <v>0.431765724177726</v>
      </c>
    </row>
    <row r="344">
      <c r="A344" s="2" t="s">
        <v>369</v>
      </c>
      <c r="B344" s="8" t="str">
        <f>HYPERLINK("https://www.suredividend.com/sure-analysis-research-database/","Americas Car Mart, Inc.")</f>
        <v>Americas Car Mart, Inc.</v>
      </c>
      <c r="C344" s="5">
        <v>-0.146100039593506</v>
      </c>
      <c r="D344" s="5">
        <v>0.004658385093167</v>
      </c>
      <c r="E344" s="5">
        <v>-0.439487135060209</v>
      </c>
      <c r="F344" s="5">
        <v>-0.146100039593506</v>
      </c>
      <c r="G344" s="5">
        <v>-0.210205078125</v>
      </c>
      <c r="H344" s="5">
        <v>-0.302576263878408</v>
      </c>
      <c r="I344" s="5">
        <v>-0.067857657398069</v>
      </c>
    </row>
    <row r="345">
      <c r="A345" s="2" t="s">
        <v>370</v>
      </c>
      <c r="B345" s="8" t="str">
        <f>HYPERLINK("https://www.suredividend.com/sure-analysis-research-database/","Cerence Inc")</f>
        <v>Cerence Inc</v>
      </c>
      <c r="C345" s="5">
        <v>0.071719226856561</v>
      </c>
      <c r="D345" s="5">
        <v>0.391677675033025</v>
      </c>
      <c r="E345" s="5">
        <v>-0.233818181818181</v>
      </c>
      <c r="F345" s="5">
        <v>0.071719226856561</v>
      </c>
      <c r="G345" s="5">
        <v>-0.155849358974359</v>
      </c>
      <c r="H345" s="5">
        <v>-0.647245940063619</v>
      </c>
      <c r="I345" s="5">
        <v>0.372638436482084</v>
      </c>
    </row>
    <row r="346">
      <c r="A346" s="2" t="s">
        <v>371</v>
      </c>
      <c r="B346" s="8" t="str">
        <f>HYPERLINK("https://www.suredividend.com/sure-analysis-research-database/","Crinetics Pharmaceuticals Inc")</f>
        <v>Crinetics Pharmaceuticals Inc</v>
      </c>
      <c r="C346" s="5">
        <v>0.059584035975267</v>
      </c>
      <c r="D346" s="5">
        <v>0.331214689265536</v>
      </c>
      <c r="E346" s="5">
        <v>1.00638637573177</v>
      </c>
      <c r="F346" s="5">
        <v>0.059584035975267</v>
      </c>
      <c r="G346" s="5">
        <v>0.848039215686274</v>
      </c>
      <c r="H346" s="5">
        <v>1.11086226203807</v>
      </c>
      <c r="I346" s="5">
        <v>0.495438318127727</v>
      </c>
    </row>
    <row r="347">
      <c r="A347" s="2" t="s">
        <v>372</v>
      </c>
      <c r="B347" s="8" t="str">
        <f>HYPERLINK("https://www.suredividend.com/sure-analysis-research-database/","Crocs Inc")</f>
        <v>Crocs Inc</v>
      </c>
      <c r="C347" s="5">
        <v>0.117653356171716</v>
      </c>
      <c r="D347" s="5">
        <v>0.214235868806699</v>
      </c>
      <c r="E347" s="5">
        <v>-0.034584797484741</v>
      </c>
      <c r="F347" s="5">
        <v>0.117653356171716</v>
      </c>
      <c r="G347" s="5">
        <v>-0.139465875370919</v>
      </c>
      <c r="H347" s="5">
        <v>0.081753186198321</v>
      </c>
      <c r="I347" s="5">
        <v>2.68253968253968</v>
      </c>
    </row>
    <row r="348">
      <c r="A348" s="2" t="s">
        <v>373</v>
      </c>
      <c r="B348" s="8" t="str">
        <f>HYPERLINK("https://www.suredividend.com/sure-analysis-research-database/","Carpenter Technology Corp.")</f>
        <v>Carpenter Technology Corp.</v>
      </c>
      <c r="C348" s="5">
        <v>-0.079299542200187</v>
      </c>
      <c r="D348" s="5">
        <v>0.043136537229764</v>
      </c>
      <c r="E348" s="5">
        <v>0.11837610000327</v>
      </c>
      <c r="F348" s="5">
        <v>-0.079299542200187</v>
      </c>
      <c r="G348" s="5">
        <v>0.346060628658786</v>
      </c>
      <c r="H348" s="5">
        <v>1.35180004270735</v>
      </c>
      <c r="I348" s="5">
        <v>0.680068257620808</v>
      </c>
    </row>
    <row r="349">
      <c r="A349" s="2" t="s">
        <v>374</v>
      </c>
      <c r="B349" s="8" t="str">
        <f>HYPERLINK("https://www.suredividend.com/sure-analysis-research-database/","Corsair Gaming Inc")</f>
        <v>Corsair Gaming Inc</v>
      </c>
      <c r="C349" s="5">
        <v>-0.048936170212765</v>
      </c>
      <c r="D349" s="5">
        <v>0.055074744295829</v>
      </c>
      <c r="E349" s="5">
        <v>-0.231077981651376</v>
      </c>
      <c r="F349" s="5">
        <v>-0.048936170212765</v>
      </c>
      <c r="G349" s="5">
        <v>-0.150190114068441</v>
      </c>
      <c r="H349" s="5">
        <v>-0.273957769355711</v>
      </c>
      <c r="I349" s="5">
        <v>-0.058947368421052</v>
      </c>
    </row>
    <row r="350">
      <c r="A350" s="2" t="s">
        <v>375</v>
      </c>
      <c r="B350" s="8" t="str">
        <f>HYPERLINK("https://www.suredividend.com/sure-analysis-research-database/","Corvel Corp.")</f>
        <v>Corvel Corp.</v>
      </c>
      <c r="C350" s="5">
        <v>-0.063589660612434</v>
      </c>
      <c r="D350" s="5">
        <v>0.216255976461934</v>
      </c>
      <c r="E350" s="5">
        <v>0.133810060243914</v>
      </c>
      <c r="F350" s="5">
        <v>-0.063589660612434</v>
      </c>
      <c r="G350" s="5">
        <v>0.349638526119403</v>
      </c>
      <c r="H350" s="5">
        <v>0.326438230575292</v>
      </c>
      <c r="I350" s="5">
        <v>2.75247203760739</v>
      </c>
    </row>
    <row r="351">
      <c r="A351" s="2" t="s">
        <v>376</v>
      </c>
      <c r="B351" s="8" t="str">
        <f>HYPERLINK("https://www.suredividend.com/sure-analysis-research-database/","CSG Systems International Inc.")</f>
        <v>CSG Systems International Inc.</v>
      </c>
      <c r="C351" s="5">
        <v>-0.01503476790077</v>
      </c>
      <c r="D351" s="5">
        <v>0.13609021089528</v>
      </c>
      <c r="E351" s="5">
        <v>0.042300578724419</v>
      </c>
      <c r="F351" s="5">
        <v>-0.01503476790077</v>
      </c>
      <c r="G351" s="5">
        <v>-0.071546377507365</v>
      </c>
      <c r="H351" s="5">
        <v>-0.027376719396049</v>
      </c>
      <c r="I351" s="5">
        <v>0.700259856543615</v>
      </c>
    </row>
    <row r="352">
      <c r="A352" s="2" t="s">
        <v>377</v>
      </c>
      <c r="B352" s="8" t="str">
        <f>HYPERLINK("https://www.suredividend.com/sure-analysis-research-database/","Centerspace")</f>
        <v>Centerspace</v>
      </c>
      <c r="C352" s="5">
        <v>-0.037457044673539</v>
      </c>
      <c r="D352" s="5">
        <v>0.186160752096214</v>
      </c>
      <c r="E352" s="5">
        <v>-0.055315159139429</v>
      </c>
      <c r="F352" s="5">
        <v>-0.037457044673539</v>
      </c>
      <c r="G352" s="5">
        <v>-0.11075836342712</v>
      </c>
      <c r="H352" s="5">
        <v>-0.336334557516881</v>
      </c>
      <c r="I352" s="5">
        <v>0.042692312703461</v>
      </c>
    </row>
    <row r="353">
      <c r="A353" s="2" t="s">
        <v>378</v>
      </c>
      <c r="B353" s="8" t="str">
        <f>HYPERLINK("https://www.suredividend.com/sure-analysis-research-database/","Caesarstone Ltd")</f>
        <v>Caesarstone Ltd</v>
      </c>
      <c r="C353" s="5">
        <v>0.093582887700534</v>
      </c>
      <c r="D353" s="5">
        <v>0.070680628272251</v>
      </c>
      <c r="E353" s="5">
        <v>-0.261732851985559</v>
      </c>
      <c r="F353" s="5">
        <v>0.093582887700534</v>
      </c>
      <c r="G353" s="5">
        <v>-0.322847682119205</v>
      </c>
      <c r="H353" s="5">
        <v>-0.651184607774574</v>
      </c>
      <c r="I353" s="5">
        <v>-0.710741463690627</v>
      </c>
    </row>
    <row r="354">
      <c r="A354" s="2" t="s">
        <v>379</v>
      </c>
      <c r="B354" s="8" t="str">
        <f>HYPERLINK("https://www.suredividend.com/sure-analysis-research-database/","Castle Biosciences Inc")</f>
        <v>Castle Biosciences Inc</v>
      </c>
      <c r="C354" s="5">
        <v>0.144578313253012</v>
      </c>
      <c r="D354" s="5">
        <v>0.891271056661561</v>
      </c>
      <c r="E354" s="5">
        <v>0.467617349970291</v>
      </c>
      <c r="F354" s="5">
        <v>0.144578313253012</v>
      </c>
      <c r="G354" s="5">
        <v>-0.05</v>
      </c>
      <c r="H354" s="5">
        <v>-0.356938297318406</v>
      </c>
      <c r="I354" s="5">
        <v>0.154205607476635</v>
      </c>
    </row>
    <row r="355">
      <c r="A355" s="2" t="s">
        <v>380</v>
      </c>
      <c r="B355" s="8" t="str">
        <f>HYPERLINK("https://www.suredividend.com/sure-analysis-research-database/","Constellium SE")</f>
        <v>Constellium SE</v>
      </c>
      <c r="C355" s="5">
        <v>-0.02254509018036</v>
      </c>
      <c r="D355" s="5">
        <v>0.273498694516971</v>
      </c>
      <c r="E355" s="5">
        <v>0.027382833070036</v>
      </c>
      <c r="F355" s="5">
        <v>-0.02254509018036</v>
      </c>
      <c r="G355" s="5">
        <v>0.34181568088033</v>
      </c>
      <c r="H355" s="5">
        <v>0.129704690214244</v>
      </c>
      <c r="I355" s="5">
        <v>1.41460396039603</v>
      </c>
    </row>
    <row r="356">
      <c r="A356" s="2" t="s">
        <v>381</v>
      </c>
      <c r="B356" s="8" t="str">
        <f>HYPERLINK("https://www.suredividend.com/sure-analysis-research-database/","CapStar Financial Holdings Inc")</f>
        <v>CapStar Financial Holdings Inc</v>
      </c>
      <c r="C356" s="5">
        <v>0.025613660618996</v>
      </c>
      <c r="D356" s="5">
        <v>0.284175642087821</v>
      </c>
      <c r="E356" s="5">
        <v>0.344535463696842</v>
      </c>
      <c r="F356" s="5">
        <v>0.025613660618996</v>
      </c>
      <c r="G356" s="5">
        <v>0.186734750581944</v>
      </c>
      <c r="H356" s="5">
        <v>-0.044484658062719</v>
      </c>
      <c r="I356" s="5">
        <v>0.334212627121585</v>
      </c>
    </row>
    <row r="357">
      <c r="A357" s="2" t="s">
        <v>382</v>
      </c>
      <c r="B357" s="8" t="str">
        <f>HYPERLINK("https://www.suredividend.com/sure-analysis-research-database/","Carriage Services, Inc.")</f>
        <v>Carriage Services, Inc.</v>
      </c>
      <c r="C357" s="5">
        <v>0.014794082367053</v>
      </c>
      <c r="D357" s="5">
        <v>0.204207609567234</v>
      </c>
      <c r="E357" s="5">
        <v>-0.209970926432044</v>
      </c>
      <c r="F357" s="5">
        <v>0.014794082367053</v>
      </c>
      <c r="G357" s="5">
        <v>-0.175652851760426</v>
      </c>
      <c r="H357" s="5">
        <v>-0.463912299600785</v>
      </c>
      <c r="I357" s="5">
        <v>0.380165424082744</v>
      </c>
    </row>
    <row r="358">
      <c r="A358" s="2" t="s">
        <v>383</v>
      </c>
      <c r="B358" s="8" t="str">
        <f>HYPERLINK("https://www.suredividend.com/sure-analysis-research-database/","CSW Industrials Inc")</f>
        <v>CSW Industrials Inc</v>
      </c>
      <c r="C358" s="5">
        <v>0.015292664631251</v>
      </c>
      <c r="D358" s="5">
        <v>0.18972826425325</v>
      </c>
      <c r="E358" s="5">
        <v>0.173244445089424</v>
      </c>
      <c r="F358" s="5">
        <v>0.015292664631251</v>
      </c>
      <c r="G358" s="5">
        <v>0.641343746730196</v>
      </c>
      <c r="H358" s="5">
        <v>0.927469558910236</v>
      </c>
      <c r="I358" s="5">
        <v>3.27551221734735</v>
      </c>
    </row>
    <row r="359">
      <c r="A359" s="2" t="s">
        <v>384</v>
      </c>
      <c r="B359" s="8" t="str">
        <f>HYPERLINK("https://www.suredividend.com/sure-analysis-CTBI/","Community Trust Bancorp, Inc.")</f>
        <v>Community Trust Bancorp, Inc.</v>
      </c>
      <c r="C359" s="5">
        <v>-0.042407660738714</v>
      </c>
      <c r="D359" s="5">
        <v>0.150555691004572</v>
      </c>
      <c r="E359" s="5">
        <v>0.136326742638226</v>
      </c>
      <c r="F359" s="5">
        <v>-0.042407660738714</v>
      </c>
      <c r="G359" s="5">
        <v>0.09082692472515</v>
      </c>
      <c r="H359" s="5">
        <v>0.070423683888594</v>
      </c>
      <c r="I359" s="5">
        <v>0.296700514666609</v>
      </c>
    </row>
    <row r="360">
      <c r="A360" s="2" t="s">
        <v>385</v>
      </c>
      <c r="B360" s="8" t="str">
        <f>HYPERLINK("https://www.suredividend.com/sure-analysis-research-database/","CTI BioPharma Corp")</f>
        <v>CTI BioPharma Corp</v>
      </c>
      <c r="C360" s="5">
        <v>0.0</v>
      </c>
      <c r="D360" s="5">
        <v>0.0</v>
      </c>
      <c r="E360" s="5">
        <v>0.0</v>
      </c>
      <c r="F360" s="5">
        <v>0.0</v>
      </c>
      <c r="G360" s="5">
        <v>0.0</v>
      </c>
      <c r="H360" s="5">
        <v>0.0</v>
      </c>
      <c r="I360" s="5">
        <v>0.0</v>
      </c>
    </row>
    <row r="361">
      <c r="A361" s="2" t="s">
        <v>386</v>
      </c>
      <c r="B361" s="8" t="str">
        <f>HYPERLINK("https://www.suredividend.com/sure-analysis-research-database/","Cytek BioSciences Inc")</f>
        <v>Cytek BioSciences Inc</v>
      </c>
      <c r="C361" s="5">
        <v>-0.039473684210526</v>
      </c>
      <c r="D361" s="5">
        <v>1.0230946882217</v>
      </c>
      <c r="E361" s="5">
        <v>-0.025583982202447</v>
      </c>
      <c r="F361" s="5">
        <v>-0.039473684210526</v>
      </c>
      <c r="G361" s="5">
        <v>-0.265716680637049</v>
      </c>
      <c r="H361" s="5">
        <v>-0.366136034732272</v>
      </c>
      <c r="I361" s="5">
        <v>-0.533049040511727</v>
      </c>
    </row>
    <row r="362">
      <c r="A362" s="2" t="s">
        <v>387</v>
      </c>
      <c r="B362" s="8" t="str">
        <f>HYPERLINK("https://www.suredividend.com/sure-analysis-research-database/","Cantaloupe Inc")</f>
        <v>Cantaloupe Inc</v>
      </c>
      <c r="C362" s="5">
        <v>-0.043184885290148</v>
      </c>
      <c r="D362" s="5">
        <v>0.128980891719745</v>
      </c>
      <c r="E362" s="5">
        <v>-0.048322147651006</v>
      </c>
      <c r="F362" s="5">
        <v>-0.043184885290148</v>
      </c>
      <c r="G362" s="5">
        <v>0.420841683366733</v>
      </c>
      <c r="H362" s="5">
        <v>-0.089858793324775</v>
      </c>
      <c r="I362" s="5">
        <v>0.279783393501805</v>
      </c>
    </row>
    <row r="363">
      <c r="A363" s="2" t="s">
        <v>388</v>
      </c>
      <c r="B363" s="8" t="str">
        <f>HYPERLINK("https://www.suredividend.com/sure-analysis-CTO/","CTO Realty Growth Inc")</f>
        <v>CTO Realty Growth Inc</v>
      </c>
      <c r="C363" s="5">
        <v>-0.020196191575302</v>
      </c>
      <c r="D363" s="5">
        <v>0.097026786060394</v>
      </c>
      <c r="E363" s="5">
        <v>0.027782821863083</v>
      </c>
      <c r="F363" s="5">
        <v>-0.020196191575302</v>
      </c>
      <c r="G363" s="5">
        <v>-0.037507723178605</v>
      </c>
      <c r="H363" s="5">
        <v>0.033500511272337</v>
      </c>
      <c r="I363" s="5">
        <v>0.376470302126314</v>
      </c>
    </row>
    <row r="364">
      <c r="A364" s="2" t="s">
        <v>389</v>
      </c>
      <c r="B364" s="8" t="str">
        <f>HYPERLINK("https://www.suredividend.com/sure-analysis-research-database/","Custom Truck One Source Inc")</f>
        <v>Custom Truck One Source Inc</v>
      </c>
      <c r="C364" s="5">
        <v>0.063106796116505</v>
      </c>
      <c r="D364" s="5">
        <v>0.16696269982238</v>
      </c>
      <c r="E364" s="5">
        <v>-0.030973451327433</v>
      </c>
      <c r="F364" s="5">
        <v>0.063106796116505</v>
      </c>
      <c r="G364" s="5">
        <v>-0.069405099150141</v>
      </c>
      <c r="H364" s="5">
        <v>-0.201701093560145</v>
      </c>
      <c r="I364" s="5">
        <v>-0.249142857142857</v>
      </c>
    </row>
    <row r="365">
      <c r="A365" s="2" t="s">
        <v>390</v>
      </c>
      <c r="B365" s="8" t="str">
        <f>HYPERLINK("https://www.suredividend.com/sure-analysis-CTRE/","CareTrust REIT Inc")</f>
        <v>CareTrust REIT Inc</v>
      </c>
      <c r="C365" s="5">
        <v>-0.038427167113494</v>
      </c>
      <c r="D365" s="5">
        <v>0.019064846998209</v>
      </c>
      <c r="E365" s="5">
        <v>0.063729875881704</v>
      </c>
      <c r="F365" s="5">
        <v>-0.038427167113494</v>
      </c>
      <c r="G365" s="5">
        <v>0.110039356878684</v>
      </c>
      <c r="H365" s="5">
        <v>0.175615805258586</v>
      </c>
      <c r="I365" s="5">
        <v>0.303042046115094</v>
      </c>
    </row>
    <row r="366">
      <c r="A366" s="2" t="s">
        <v>391</v>
      </c>
      <c r="B366" s="8" t="str">
        <f>HYPERLINK("https://www.suredividend.com/sure-analysis-research-database/","Citi Trends Inc")</f>
        <v>Citi Trends Inc</v>
      </c>
      <c r="C366" s="5">
        <v>-0.013083451202263</v>
      </c>
      <c r="D366" s="5">
        <v>0.220909886264216</v>
      </c>
      <c r="E366" s="5">
        <v>0.478283898305084</v>
      </c>
      <c r="F366" s="5">
        <v>-0.013083451202263</v>
      </c>
      <c r="G366" s="5">
        <v>-0.131070983810709</v>
      </c>
      <c r="H366" s="5">
        <v>-0.415864378401004</v>
      </c>
      <c r="I366" s="5">
        <v>0.376490663931111</v>
      </c>
    </row>
    <row r="367">
      <c r="A367" s="2" t="s">
        <v>392</v>
      </c>
      <c r="B367" s="8" t="str">
        <f>HYPERLINK("https://www.suredividend.com/sure-analysis-research-database/","CTS Corp.")</f>
        <v>CTS Corp.</v>
      </c>
      <c r="C367" s="5">
        <v>-0.030864197530864</v>
      </c>
      <c r="D367" s="5">
        <v>0.156411550475359</v>
      </c>
      <c r="E367" s="5">
        <v>-0.003275388967135</v>
      </c>
      <c r="F367" s="5">
        <v>-0.030864197530864</v>
      </c>
      <c r="G367" s="5">
        <v>-0.037981463157799</v>
      </c>
      <c r="H367" s="5">
        <v>0.330224559729875</v>
      </c>
      <c r="I367" s="5">
        <v>0.579989041831132</v>
      </c>
    </row>
    <row r="368">
      <c r="A368" s="2" t="s">
        <v>393</v>
      </c>
      <c r="B368" s="8" t="str">
        <f>HYPERLINK("https://www.suredividend.com/sure-analysis-research-database/","Innovid Corp")</f>
        <v>Innovid Corp</v>
      </c>
      <c r="C368" s="5">
        <v>-0.006666666666666</v>
      </c>
      <c r="D368" s="5">
        <v>0.505050505050505</v>
      </c>
      <c r="E368" s="5">
        <v>0.295652173913043</v>
      </c>
      <c r="F368" s="5">
        <v>-0.006666666666666</v>
      </c>
      <c r="G368" s="5">
        <v>-0.322727272727272</v>
      </c>
      <c r="H368" s="5">
        <v>-0.713461538461538</v>
      </c>
      <c r="I368" s="5">
        <v>-0.846391752577319</v>
      </c>
    </row>
    <row r="369">
      <c r="A369" s="2" t="s">
        <v>394</v>
      </c>
      <c r="B369" s="8" t="str">
        <f>HYPERLINK("https://www.suredividend.com/sure-analysis-research-database/","Customers Bancorp Inc")</f>
        <v>Customers Bancorp Inc</v>
      </c>
      <c r="C369" s="5">
        <v>-0.024470669906282</v>
      </c>
      <c r="D369" s="5">
        <v>0.413732394366197</v>
      </c>
      <c r="E369" s="5">
        <v>0.345058626465661</v>
      </c>
      <c r="F369" s="5">
        <v>-0.024470669906282</v>
      </c>
      <c r="G369" s="5">
        <v>1.00678329168154</v>
      </c>
      <c r="H369" s="5">
        <v>-0.028013141967836</v>
      </c>
      <c r="I369" s="5">
        <v>2.16406887661763</v>
      </c>
    </row>
    <row r="370">
      <c r="A370" s="2" t="s">
        <v>395</v>
      </c>
      <c r="B370" s="8" t="str">
        <f>HYPERLINK("https://www.suredividend.com/sure-analysis-research-database/","CURO Group Holdings Corp")</f>
        <v>CURO Group Holdings Corp</v>
      </c>
      <c r="C370" s="5">
        <v>0.215124999999999</v>
      </c>
      <c r="D370" s="5">
        <v>0.4007204610951</v>
      </c>
      <c r="E370" s="5">
        <v>-0.356225165562913</v>
      </c>
      <c r="F370" s="5">
        <v>0.215124999999999</v>
      </c>
      <c r="G370" s="5">
        <v>-0.765193236714975</v>
      </c>
      <c r="H370" s="5">
        <v>-0.92692625723521</v>
      </c>
      <c r="I370" s="5">
        <v>-0.913164265232654</v>
      </c>
    </row>
    <row r="371">
      <c r="A371" s="2" t="s">
        <v>396</v>
      </c>
      <c r="B371" s="8" t="str">
        <f>HYPERLINK("https://www.suredividend.com/sure-analysis-research-database/","Torrid Holdings Inc")</f>
        <v>Torrid Holdings Inc</v>
      </c>
      <c r="C371" s="5">
        <v>-0.079722703639514</v>
      </c>
      <c r="D371" s="5">
        <v>1.45833333333333</v>
      </c>
      <c r="E371" s="5">
        <v>0.95220588235294</v>
      </c>
      <c r="F371" s="5">
        <v>-0.079722703639514</v>
      </c>
      <c r="G371" s="5">
        <v>0.431266846361186</v>
      </c>
      <c r="H371" s="5">
        <v>-0.397959183673469</v>
      </c>
      <c r="I371" s="5">
        <v>-0.780124223602484</v>
      </c>
    </row>
    <row r="372">
      <c r="A372" s="2" t="s">
        <v>397</v>
      </c>
      <c r="B372" s="8" t="str">
        <f>HYPERLINK("https://www.suredividend.com/sure-analysis-research-database/","Cutera Inc")</f>
        <v>Cutera Inc</v>
      </c>
      <c r="C372" s="5">
        <v>-0.154609929078014</v>
      </c>
      <c r="D372" s="5">
        <v>-0.102409638554216</v>
      </c>
      <c r="E372" s="5">
        <v>-0.851371571072319</v>
      </c>
      <c r="F372" s="5">
        <v>-0.154609929078014</v>
      </c>
      <c r="G372" s="5">
        <v>-0.912890967553347</v>
      </c>
      <c r="H372" s="5">
        <v>-0.912840011699327</v>
      </c>
      <c r="I372" s="5">
        <v>-0.780073800738007</v>
      </c>
    </row>
    <row r="373">
      <c r="A373" s="2" t="s">
        <v>398</v>
      </c>
      <c r="B373" s="8" t="str">
        <f>HYPERLINK("https://www.suredividend.com/sure-analysis-research-database/","CVB Financial Corp.")</f>
        <v>CVB Financial Corp.</v>
      </c>
      <c r="C373" s="5">
        <v>-0.078634639696586</v>
      </c>
      <c r="D373" s="5">
        <v>0.186375564049304</v>
      </c>
      <c r="E373" s="5">
        <v>0.014318480415079</v>
      </c>
      <c r="F373" s="5">
        <v>-0.078634639696586</v>
      </c>
      <c r="G373" s="5">
        <v>-0.179822369872201</v>
      </c>
      <c r="H373" s="5">
        <v>-0.084192008042221</v>
      </c>
      <c r="I373" s="5">
        <v>0.014126526477496</v>
      </c>
    </row>
    <row r="374">
      <c r="A374" s="2" t="s">
        <v>399</v>
      </c>
      <c r="B374" s="8" t="str">
        <f>HYPERLINK("https://www.suredividend.com/sure-analysis-research-database/","Cavco Industries Inc")</f>
        <v>Cavco Industries Inc</v>
      </c>
      <c r="C374" s="5">
        <v>-0.031013790317927</v>
      </c>
      <c r="D374" s="5">
        <v>0.333982047819525</v>
      </c>
      <c r="E374" s="5">
        <v>0.160413211719181</v>
      </c>
      <c r="F374" s="5">
        <v>-0.031013790317927</v>
      </c>
      <c r="G374" s="5">
        <v>0.24120473022912</v>
      </c>
      <c r="H374" s="5">
        <v>0.282631940731688</v>
      </c>
      <c r="I374" s="5">
        <v>1.16592506609918</v>
      </c>
    </row>
    <row r="375">
      <c r="A375" s="2" t="s">
        <v>400</v>
      </c>
      <c r="B375" s="8" t="str">
        <f>HYPERLINK("https://www.suredividend.com/sure-analysis-research-database/","Calavo Growers, Inc")</f>
        <v>Calavo Growers, Inc</v>
      </c>
      <c r="C375" s="5">
        <v>-0.056283847895564</v>
      </c>
      <c r="D375" s="5">
        <v>0.082897684839432</v>
      </c>
      <c r="E375" s="5">
        <v>-0.259159663865546</v>
      </c>
      <c r="F375" s="5">
        <v>-0.056283847895564</v>
      </c>
      <c r="G375" s="5">
        <v>-0.109209896661881</v>
      </c>
      <c r="H375" s="5">
        <v>-0.301093135998904</v>
      </c>
      <c r="I375" s="5">
        <v>-0.632142838068075</v>
      </c>
    </row>
    <row r="376">
      <c r="A376" s="2" t="s">
        <v>401</v>
      </c>
      <c r="B376" s="8" t="str">
        <f>HYPERLINK("https://www.suredividend.com/sure-analysis-research-database/","CVR Energy Inc")</f>
        <v>CVR Energy Inc</v>
      </c>
      <c r="C376" s="5">
        <v>0.073927392739273</v>
      </c>
      <c r="D376" s="5">
        <v>0.102692005313525</v>
      </c>
      <c r="E376" s="5">
        <v>-0.038043687124744</v>
      </c>
      <c r="F376" s="5">
        <v>0.073927392739273</v>
      </c>
      <c r="G376" s="5">
        <v>0.059193073254886</v>
      </c>
      <c r="H376" s="5">
        <v>0.94568350055608</v>
      </c>
      <c r="I376" s="5">
        <v>0.231563449740175</v>
      </c>
    </row>
    <row r="377">
      <c r="A377" s="2" t="s">
        <v>402</v>
      </c>
      <c r="B377" s="8" t="str">
        <f>HYPERLINK("https://www.suredividend.com/sure-analysis-research-database/","Covenant Logistics Group Inc")</f>
        <v>Covenant Logistics Group Inc</v>
      </c>
      <c r="C377" s="5">
        <v>0.076238053866203</v>
      </c>
      <c r="D377" s="5">
        <v>0.284327574811109</v>
      </c>
      <c r="E377" s="5">
        <v>-0.120193468657225</v>
      </c>
      <c r="F377" s="5">
        <v>0.076238053866203</v>
      </c>
      <c r="G377" s="5">
        <v>0.562155175131624</v>
      </c>
      <c r="H377" s="5">
        <v>1.43328717208324</v>
      </c>
      <c r="I377" s="5">
        <v>1.07582739840804</v>
      </c>
    </row>
    <row r="378">
      <c r="A378" s="2" t="s">
        <v>403</v>
      </c>
      <c r="B378" s="8" t="str">
        <f>HYPERLINK("https://www.suredividend.com/sure-analysis-research-database/","Commvault Systems Inc")</f>
        <v>Commvault Systems Inc</v>
      </c>
      <c r="C378" s="5">
        <v>0.020788979336255</v>
      </c>
      <c r="D378" s="5">
        <v>0.271210230817217</v>
      </c>
      <c r="E378" s="5">
        <v>0.046475799204005</v>
      </c>
      <c r="F378" s="5">
        <v>0.020788979336255</v>
      </c>
      <c r="G378" s="5">
        <v>0.289919291027061</v>
      </c>
      <c r="H378" s="5">
        <v>0.208450704225352</v>
      </c>
      <c r="I378" s="5">
        <v>0.285241248817407</v>
      </c>
    </row>
    <row r="379">
      <c r="A379" s="2" t="s">
        <v>404</v>
      </c>
      <c r="B379" s="8" t="str">
        <f>HYPERLINK("https://www.suredividend.com/sure-analysis-research-database/","Cvent Holding Corp")</f>
        <v>Cvent Holding Corp</v>
      </c>
      <c r="C379" s="5">
        <v>0.0</v>
      </c>
      <c r="D379" s="5">
        <v>0.0</v>
      </c>
      <c r="E379" s="5">
        <v>0.0</v>
      </c>
      <c r="F379" s="5">
        <v>0.0</v>
      </c>
      <c r="G379" s="5">
        <v>0.0</v>
      </c>
      <c r="H379" s="5">
        <v>0.0</v>
      </c>
      <c r="I379" s="5">
        <v>0.0</v>
      </c>
    </row>
    <row r="380">
      <c r="A380" s="2" t="s">
        <v>405</v>
      </c>
      <c r="B380" s="8" t="str">
        <f>HYPERLINK("https://www.suredividend.com/sure-analysis-CWEN/","Clearway Energy Inc")</f>
        <v>Clearway Energy Inc</v>
      </c>
      <c r="C380" s="5">
        <v>-0.091141086401749</v>
      </c>
      <c r="D380" s="5">
        <v>0.175294766567507</v>
      </c>
      <c r="E380" s="5">
        <v>-0.021082267570846</v>
      </c>
      <c r="F380" s="5">
        <v>-0.091141086401749</v>
      </c>
      <c r="G380" s="5">
        <v>-0.216311287569433</v>
      </c>
      <c r="H380" s="5">
        <v>-0.165047893361913</v>
      </c>
      <c r="I380" s="5">
        <v>1.05616726462946</v>
      </c>
    </row>
    <row r="381">
      <c r="A381" s="2" t="s">
        <v>406</v>
      </c>
      <c r="B381" s="8" t="str">
        <f>HYPERLINK("https://www.suredividend.com/sure-analysis-CWH/","Camping World Holdings Inc")</f>
        <v>Camping World Holdings Inc</v>
      </c>
      <c r="C381" s="5">
        <v>-0.019801980198019</v>
      </c>
      <c r="D381" s="5">
        <v>0.561589982527664</v>
      </c>
      <c r="E381" s="5">
        <v>-0.186279933612582</v>
      </c>
      <c r="F381" s="5">
        <v>-0.019801980198019</v>
      </c>
      <c r="G381" s="5">
        <v>0.121466009646175</v>
      </c>
      <c r="H381" s="5">
        <v>-0.08383578806495</v>
      </c>
      <c r="I381" s="5">
        <v>1.329580422112</v>
      </c>
    </row>
    <row r="382">
      <c r="A382" s="2" t="s">
        <v>407</v>
      </c>
      <c r="B382" s="8" t="str">
        <f>HYPERLINK("https://www.suredividend.com/sure-analysis-research-database/","Cushman &amp; Wakefield plc")</f>
        <v>Cushman &amp; Wakefield plc</v>
      </c>
      <c r="C382" s="5">
        <v>-0.014814814814814</v>
      </c>
      <c r="D382" s="5">
        <v>0.592814371257485</v>
      </c>
      <c r="E382" s="5">
        <v>0.102590673575129</v>
      </c>
      <c r="F382" s="5">
        <v>-0.014814814814814</v>
      </c>
      <c r="G382" s="5">
        <v>-0.259568545581071</v>
      </c>
      <c r="H382" s="5">
        <v>-0.479960899315738</v>
      </c>
      <c r="I382" s="5">
        <v>-0.334167709637046</v>
      </c>
    </row>
    <row r="383">
      <c r="A383" s="2" t="s">
        <v>408</v>
      </c>
      <c r="B383" s="8" t="str">
        <f>HYPERLINK("https://www.suredividend.com/sure-analysis-research-database/","Casella Waste Systems, Inc.")</f>
        <v>Casella Waste Systems, Inc.</v>
      </c>
      <c r="C383" s="5">
        <v>0.011233325532412</v>
      </c>
      <c r="D383" s="5">
        <v>0.175462459194777</v>
      </c>
      <c r="E383" s="5">
        <v>0.079440419685236</v>
      </c>
      <c r="F383" s="5">
        <v>0.011233325532412</v>
      </c>
      <c r="G383" s="5">
        <v>0.087591240875912</v>
      </c>
      <c r="H383" s="5">
        <v>0.15906652360515</v>
      </c>
      <c r="I383" s="5">
        <v>1.8768308921438</v>
      </c>
    </row>
    <row r="384">
      <c r="A384" s="2" t="s">
        <v>409</v>
      </c>
      <c r="B384" s="8" t="str">
        <f>HYPERLINK("https://www.suredividend.com/sure-analysis-CWT/","California Water Service Group")</f>
        <v>California Water Service Group</v>
      </c>
      <c r="C384" s="5">
        <v>-0.1158665895508</v>
      </c>
      <c r="D384" s="5">
        <v>-0.048385824974373</v>
      </c>
      <c r="E384" s="5">
        <v>-0.109849881792101</v>
      </c>
      <c r="F384" s="5">
        <v>-0.1158665895508</v>
      </c>
      <c r="G384" s="5">
        <v>-0.245235818547185</v>
      </c>
      <c r="H384" s="5">
        <v>-0.220119753961897</v>
      </c>
      <c r="I384" s="5">
        <v>0.077841496662592</v>
      </c>
    </row>
    <row r="385">
      <c r="A385" s="2" t="s">
        <v>410</v>
      </c>
      <c r="B385" s="8" t="str">
        <f>HYPERLINK("https://www.suredividend.com/sure-analysis-research-database/","CoreCivic Inc")</f>
        <v>CoreCivic Inc</v>
      </c>
      <c r="C385" s="5">
        <v>0.024088093599449</v>
      </c>
      <c r="D385" s="5">
        <v>0.203883495145631</v>
      </c>
      <c r="E385" s="5">
        <v>0.563025210084033</v>
      </c>
      <c r="F385" s="5">
        <v>0.024088093599449</v>
      </c>
      <c r="G385" s="5">
        <v>0.409090909090909</v>
      </c>
      <c r="H385" s="5">
        <v>0.49247743229689</v>
      </c>
      <c r="I385" s="5">
        <v>-0.134737833704519</v>
      </c>
    </row>
    <row r="386">
      <c r="A386" s="2" t="s">
        <v>411</v>
      </c>
      <c r="B386" s="8" t="str">
        <f>HYPERLINK("https://www.suredividend.com/sure-analysis-research-database/","Community Health Systems, Inc.")</f>
        <v>Community Health Systems, Inc.</v>
      </c>
      <c r="C386" s="5">
        <v>0.223642172523961</v>
      </c>
      <c r="D386" s="5">
        <v>0.832535885167464</v>
      </c>
      <c r="E386" s="5">
        <v>-0.105140186915887</v>
      </c>
      <c r="F386" s="5">
        <v>0.223642172523961</v>
      </c>
      <c r="G386" s="5">
        <v>-0.221544715447154</v>
      </c>
      <c r="H386" s="5">
        <v>-0.705837173579109</v>
      </c>
      <c r="I386" s="5">
        <v>0.043596730245231</v>
      </c>
    </row>
    <row r="387">
      <c r="A387" s="2" t="s">
        <v>412</v>
      </c>
      <c r="B387" s="8" t="str">
        <f>HYPERLINK("https://www.suredividend.com/sure-analysis-research-database/","CryoPort Inc")</f>
        <v>CryoPort Inc</v>
      </c>
      <c r="C387" s="5">
        <v>0.032278889606197</v>
      </c>
      <c r="D387" s="5">
        <v>0.743729552889858</v>
      </c>
      <c r="E387" s="5">
        <v>-0.011131725417439</v>
      </c>
      <c r="F387" s="5">
        <v>0.032278889606197</v>
      </c>
      <c r="G387" s="5">
        <v>-0.306892067620286</v>
      </c>
      <c r="H387" s="5">
        <v>-0.573827292110874</v>
      </c>
      <c r="I387" s="5">
        <v>0.667361835245047</v>
      </c>
    </row>
    <row r="388">
      <c r="A388" s="2" t="s">
        <v>413</v>
      </c>
      <c r="B388" s="8" t="str">
        <f>HYPERLINK("https://www.suredividend.com/sure-analysis-research-database/","Cytokinetics Inc")</f>
        <v>Cytokinetics Inc</v>
      </c>
      <c r="C388" s="5">
        <v>-0.041921188166247</v>
      </c>
      <c r="D388" s="5">
        <v>1.52016383112791</v>
      </c>
      <c r="E388" s="5">
        <v>1.40571428571428</v>
      </c>
      <c r="F388" s="5">
        <v>-0.041921188166247</v>
      </c>
      <c r="G388" s="5">
        <v>0.855055658627087</v>
      </c>
      <c r="H388" s="5">
        <v>1.53453738910012</v>
      </c>
      <c r="I388" s="5">
        <v>10.7287390029325</v>
      </c>
    </row>
    <row r="389">
      <c r="A389" s="2" t="s">
        <v>414</v>
      </c>
      <c r="B389" s="8" t="str">
        <f>HYPERLINK("https://www.suredividend.com/sure-analysis-research-database/","Citizens &amp; Northern Corp")</f>
        <v>Citizens &amp; Northern Corp</v>
      </c>
      <c r="C389" s="5">
        <v>0.003629564452265</v>
      </c>
      <c r="D389" s="5">
        <v>0.279781210006837</v>
      </c>
      <c r="E389" s="5">
        <v>0.097480305490408</v>
      </c>
      <c r="F389" s="5">
        <v>0.003629564452265</v>
      </c>
      <c r="G389" s="5">
        <v>0.074804424856937</v>
      </c>
      <c r="H389" s="5">
        <v>0.022633350922004</v>
      </c>
      <c r="I389" s="5">
        <v>0.210867954573099</v>
      </c>
    </row>
    <row r="390">
      <c r="A390" s="2" t="s">
        <v>415</v>
      </c>
      <c r="B390" s="8" t="str">
        <f>HYPERLINK("https://www.suredividend.com/sure-analysis-research-database/","Dana Inc")</f>
        <v>Dana Inc</v>
      </c>
      <c r="C390" s="5">
        <v>-0.054072553045858</v>
      </c>
      <c r="D390" s="5">
        <v>0.104301341622252</v>
      </c>
      <c r="E390" s="5">
        <v>-0.260784680805541</v>
      </c>
      <c r="F390" s="5">
        <v>-0.054072553045858</v>
      </c>
      <c r="G390" s="5">
        <v>-0.191845947826697</v>
      </c>
      <c r="H390" s="5">
        <v>-0.291754215138625</v>
      </c>
      <c r="I390" s="5">
        <v>-0.12610185782398</v>
      </c>
    </row>
    <row r="391">
      <c r="A391" s="2" t="s">
        <v>416</v>
      </c>
      <c r="B391" s="8" t="str">
        <f>HYPERLINK("https://www.suredividend.com/sure-analysis-research-database/","Day One Biopharmaceuticals Inc")</f>
        <v>Day One Biopharmaceuticals Inc</v>
      </c>
      <c r="C391" s="5">
        <v>-0.006849315068493</v>
      </c>
      <c r="D391" s="5">
        <v>0.425762045231071</v>
      </c>
      <c r="E391" s="5">
        <v>0.108562691131498</v>
      </c>
      <c r="F391" s="5">
        <v>-0.006849315068493</v>
      </c>
      <c r="G391" s="5">
        <v>-0.324009324009324</v>
      </c>
      <c r="H391" s="5">
        <v>0.034975017844396</v>
      </c>
      <c r="I391" s="5">
        <v>-0.439938200077249</v>
      </c>
    </row>
    <row r="392">
      <c r="A392" s="2" t="s">
        <v>417</v>
      </c>
      <c r="B392" s="8" t="str">
        <f>HYPERLINK("https://www.suredividend.com/sure-analysis-research-database/","Designer Brands Inc")</f>
        <v>Designer Brands Inc</v>
      </c>
      <c r="C392" s="5">
        <v>-0.014689265536723</v>
      </c>
      <c r="D392" s="5">
        <v>-0.164150491253294</v>
      </c>
      <c r="E392" s="5">
        <v>-0.11968098531119</v>
      </c>
      <c r="F392" s="5">
        <v>-0.014689265536723</v>
      </c>
      <c r="G392" s="5">
        <v>-0.153159627467927</v>
      </c>
      <c r="H392" s="5">
        <v>-0.294349944163011</v>
      </c>
      <c r="I392" s="5">
        <v>-0.671906628840611</v>
      </c>
    </row>
    <row r="393">
      <c r="A393" s="2" t="s">
        <v>418</v>
      </c>
      <c r="B393" s="8" t="str">
        <f>HYPERLINK("https://www.suredividend.com/sure-analysis-research-database/","DigitalBridge Group Inc")</f>
        <v>DigitalBridge Group Inc</v>
      </c>
      <c r="C393" s="5">
        <v>0.155644241733181</v>
      </c>
      <c r="D393" s="5">
        <v>0.328204859381962</v>
      </c>
      <c r="E393" s="5">
        <v>0.316934991359035</v>
      </c>
      <c r="F393" s="5">
        <v>0.155644241733181</v>
      </c>
      <c r="G393" s="5">
        <v>0.5056526971016</v>
      </c>
      <c r="H393" s="5">
        <v>-0.303666144502157</v>
      </c>
      <c r="I393" s="5">
        <v>2.54370629370629</v>
      </c>
    </row>
    <row r="394">
      <c r="A394" s="2" t="s">
        <v>419</v>
      </c>
      <c r="B394" s="8" t="str">
        <f>HYPERLINK("https://www.suredividend.com/sure-analysis-research-database/","Dakota Gold Corp")</f>
        <v>Dakota Gold Corp</v>
      </c>
      <c r="C394" s="5">
        <v>-0.114503816793893</v>
      </c>
      <c r="D394" s="5">
        <v>-0.180212014134275</v>
      </c>
      <c r="E394" s="5">
        <v>-0.171428571428571</v>
      </c>
      <c r="F394" s="5">
        <v>-0.114503816793893</v>
      </c>
      <c r="G394" s="5">
        <v>-0.331412103746397</v>
      </c>
      <c r="H394" s="5">
        <v>-0.663768115942029</v>
      </c>
      <c r="I394" s="5">
        <v>-0.663768115942029</v>
      </c>
    </row>
    <row r="395">
      <c r="A395" s="2" t="s">
        <v>420</v>
      </c>
      <c r="B395" s="8" t="str">
        <f>HYPERLINK("https://www.suredividend.com/sure-analysis-research-database/","DocGo Inc")</f>
        <v>DocGo Inc</v>
      </c>
      <c r="C395" s="5">
        <v>-0.348837209302325</v>
      </c>
      <c r="D395" s="5">
        <v>-0.394342762063228</v>
      </c>
      <c r="E395" s="5">
        <v>-0.584</v>
      </c>
      <c r="F395" s="5">
        <v>-0.348837209302325</v>
      </c>
      <c r="G395" s="5">
        <v>-0.634170854271356</v>
      </c>
      <c r="H395" s="5">
        <v>-0.438271604938271</v>
      </c>
      <c r="I395" s="5">
        <v>-0.639603960396039</v>
      </c>
    </row>
    <row r="396">
      <c r="A396" s="2" t="s">
        <v>421</v>
      </c>
      <c r="B396" s="8" t="str">
        <f>HYPERLINK("https://www.suredividend.com/sure-analysis-research-database/","Ducommun Inc.")</f>
        <v>Ducommun Inc.</v>
      </c>
      <c r="C396" s="5">
        <v>-0.048597771801767</v>
      </c>
      <c r="D396" s="5">
        <v>0.058107242042298</v>
      </c>
      <c r="E396" s="5">
        <v>0.012055578259092</v>
      </c>
      <c r="F396" s="5">
        <v>-0.048597771801767</v>
      </c>
      <c r="G396" s="5">
        <v>-0.118526428190069</v>
      </c>
      <c r="H396" s="5">
        <v>0.168435951875442</v>
      </c>
      <c r="I396" s="5">
        <v>0.250126198889449</v>
      </c>
    </row>
    <row r="397">
      <c r="A397" s="2" t="s">
        <v>422</v>
      </c>
      <c r="B397" s="8" t="str">
        <f>HYPERLINK("https://www.suredividend.com/sure-analysis-research-database/","Dime Community Bancshares Inc")</f>
        <v>Dime Community Bancshares Inc</v>
      </c>
      <c r="C397" s="5">
        <v>-0.063070432563036</v>
      </c>
      <c r="D397" s="5">
        <v>0.390934748630991</v>
      </c>
      <c r="E397" s="5">
        <v>0.146330953252493</v>
      </c>
      <c r="F397" s="5">
        <v>-0.063070432563036</v>
      </c>
      <c r="G397" s="5">
        <v>-0.10242316720543</v>
      </c>
      <c r="H397" s="5">
        <v>-0.207033491136019</v>
      </c>
      <c r="I397" s="5">
        <v>-0.154797735650522</v>
      </c>
    </row>
    <row r="398">
      <c r="A398" s="2" t="s">
        <v>423</v>
      </c>
      <c r="B398" s="8" t="str">
        <f>HYPERLINK("https://www.suredividend.com/sure-analysis-research-database/","Deciphera Pharmaceuticals Inc")</f>
        <v>Deciphera Pharmaceuticals Inc</v>
      </c>
      <c r="C398" s="5">
        <v>-0.07315561066336</v>
      </c>
      <c r="D398" s="5">
        <v>0.472906403940886</v>
      </c>
      <c r="E398" s="5">
        <v>0.127450980392156</v>
      </c>
      <c r="F398" s="5">
        <v>-0.07315561066336</v>
      </c>
      <c r="G398" s="5">
        <v>-0.13633737723859</v>
      </c>
      <c r="H398" s="5">
        <v>0.92159383033419</v>
      </c>
      <c r="I398" s="5">
        <v>-0.421215640727835</v>
      </c>
    </row>
    <row r="399">
      <c r="A399" s="2" t="s">
        <v>424</v>
      </c>
      <c r="B399" s="8" t="str">
        <f>HYPERLINK("https://www.suredividend.com/sure-analysis-research-database/","3D Systems Corp.")</f>
        <v>3D Systems Corp.</v>
      </c>
      <c r="C399" s="5">
        <v>-0.185826771653543</v>
      </c>
      <c r="D399" s="5">
        <v>0.452247191011236</v>
      </c>
      <c r="E399" s="5">
        <v>-0.404377880184331</v>
      </c>
      <c r="F399" s="5">
        <v>-0.185826771653543</v>
      </c>
      <c r="G399" s="5">
        <v>-0.519516728624535</v>
      </c>
      <c r="H399" s="5">
        <v>-0.687801932367149</v>
      </c>
      <c r="I399" s="5">
        <v>-0.578647106764466</v>
      </c>
    </row>
    <row r="400">
      <c r="A400" s="2" t="s">
        <v>425</v>
      </c>
      <c r="B400" s="8" t="str">
        <f>HYPERLINK("https://www.suredividend.com/sure-analysis-DDS/","Dillard`s Inc.")</f>
        <v>Dillard`s Inc.</v>
      </c>
      <c r="C400" s="5">
        <v>-0.008423138857921</v>
      </c>
      <c r="D400" s="5">
        <v>0.368766342266478</v>
      </c>
      <c r="E400" s="5">
        <v>0.27659357311285</v>
      </c>
      <c r="F400" s="5">
        <v>-0.008423138857921</v>
      </c>
      <c r="G400" s="5">
        <v>0.114704095844778</v>
      </c>
      <c r="H400" s="5">
        <v>0.772188441302152</v>
      </c>
      <c r="I400" s="5">
        <v>6.13001840177141</v>
      </c>
    </row>
    <row r="401">
      <c r="A401" s="2" t="s">
        <v>426</v>
      </c>
      <c r="B401" s="8" t="str">
        <f>HYPERLINK("https://www.suredividend.com/sure-analysis-DEA/","Easterly Government Properties Inc")</f>
        <v>Easterly Government Properties Inc</v>
      </c>
      <c r="C401" s="5">
        <v>-0.050595238095238</v>
      </c>
      <c r="D401" s="5">
        <v>0.24830021815905</v>
      </c>
      <c r="E401" s="5">
        <v>-0.090254457824453</v>
      </c>
      <c r="F401" s="5">
        <v>-0.050595238095238</v>
      </c>
      <c r="G401" s="5">
        <v>-0.134586690540137</v>
      </c>
      <c r="H401" s="5">
        <v>-0.288530056259653</v>
      </c>
      <c r="I401" s="5">
        <v>-0.032835096868083</v>
      </c>
    </row>
    <row r="402">
      <c r="A402" s="2" t="s">
        <v>427</v>
      </c>
      <c r="B402" s="8" t="str">
        <f>HYPERLINK("https://www.suredividend.com/sure-analysis-research-database/","Denbury Inc.")</f>
        <v>Denbury Inc.</v>
      </c>
      <c r="C402" s="5">
        <v>-0.095398428731762</v>
      </c>
      <c r="D402" s="5">
        <v>0.014648661020828</v>
      </c>
      <c r="E402" s="5">
        <v>-0.048916541514696</v>
      </c>
      <c r="F402" s="5">
        <v>0.018846242243162</v>
      </c>
      <c r="G402" s="5">
        <v>-0.034730538922155</v>
      </c>
      <c r="H402" s="5">
        <v>0.019197608920565</v>
      </c>
      <c r="I402" s="5">
        <v>3.89834254143646</v>
      </c>
    </row>
    <row r="403">
      <c r="A403" s="2" t="s">
        <v>428</v>
      </c>
      <c r="B403" s="8" t="str">
        <f>HYPERLINK("https://www.suredividend.com/sure-analysis-research-database/","Denny`s Corp.")</f>
        <v>Denny`s Corp.</v>
      </c>
      <c r="C403" s="5">
        <v>0.023897058823529</v>
      </c>
      <c r="D403" s="5">
        <v>0.307511737089202</v>
      </c>
      <c r="E403" s="5">
        <v>-0.047048759623609</v>
      </c>
      <c r="F403" s="5">
        <v>0.023897058823529</v>
      </c>
      <c r="G403" s="5">
        <v>-0.077814569536423</v>
      </c>
      <c r="H403" s="5">
        <v>-0.272370999346832</v>
      </c>
      <c r="I403" s="5">
        <v>-0.366325369738338</v>
      </c>
    </row>
    <row r="404">
      <c r="A404" s="2" t="s">
        <v>429</v>
      </c>
      <c r="B404" s="8" t="str">
        <f>HYPERLINK("https://www.suredividend.com/sure-analysis-research-database/","Dream Finders Homes Inc")</f>
        <v>Dream Finders Homes Inc</v>
      </c>
      <c r="C404" s="5">
        <v>-0.058542077117928</v>
      </c>
      <c r="D404" s="5">
        <v>0.746736292428198</v>
      </c>
      <c r="E404" s="5">
        <v>0.31125049000392</v>
      </c>
      <c r="F404" s="5">
        <v>-0.058542077117928</v>
      </c>
      <c r="G404" s="5">
        <v>1.98660714285714</v>
      </c>
      <c r="H404" s="5">
        <v>0.848066298342541</v>
      </c>
      <c r="I404" s="5">
        <v>0.596658711217184</v>
      </c>
    </row>
    <row r="405">
      <c r="A405" s="2" t="s">
        <v>430</v>
      </c>
      <c r="B405" s="8" t="str">
        <f>HYPERLINK("https://www.suredividend.com/sure-analysis-research-database/","Donnelley Financial Solutions Inc")</f>
        <v>Donnelley Financial Solutions Inc</v>
      </c>
      <c r="C405" s="5">
        <v>0.016514349847683</v>
      </c>
      <c r="D405" s="5">
        <v>0.189270305758769</v>
      </c>
      <c r="E405" s="5">
        <v>0.342367139529959</v>
      </c>
      <c r="F405" s="5">
        <v>0.016514349847683</v>
      </c>
      <c r="G405" s="5">
        <v>0.406076735418052</v>
      </c>
      <c r="H405" s="5">
        <v>0.797052154195011</v>
      </c>
      <c r="I405" s="5">
        <v>3.40277777777777</v>
      </c>
    </row>
    <row r="406">
      <c r="A406" s="2" t="s">
        <v>431</v>
      </c>
      <c r="B406" s="8" t="str">
        <f>HYPERLINK("https://www.suredividend.com/sure-analysis-DGICA/","Donegal Group Inc.")</f>
        <v>Donegal Group Inc.</v>
      </c>
      <c r="C406" s="5">
        <v>0.083631165117941</v>
      </c>
      <c r="D406" s="5">
        <v>0.099498843205372</v>
      </c>
      <c r="E406" s="5">
        <v>0.066779255506297</v>
      </c>
      <c r="F406" s="5">
        <v>0.083631165117941</v>
      </c>
      <c r="G406" s="5">
        <v>0.087830080367393</v>
      </c>
      <c r="H406" s="5">
        <v>0.198238999675938</v>
      </c>
      <c r="I406" s="5">
        <v>0.469205795416</v>
      </c>
    </row>
    <row r="407">
      <c r="A407" s="2" t="s">
        <v>432</v>
      </c>
      <c r="B407" s="8" t="str">
        <f>HYPERLINK("https://www.suredividend.com/sure-analysis-research-database/","Digi International, Inc.")</f>
        <v>Digi International, Inc.</v>
      </c>
      <c r="C407" s="5">
        <v>-0.009615384615384</v>
      </c>
      <c r="D407" s="5">
        <v>0.018994855559952</v>
      </c>
      <c r="E407" s="5">
        <v>-0.380413859480269</v>
      </c>
      <c r="F407" s="5">
        <v>-0.009615384615384</v>
      </c>
      <c r="G407" s="5">
        <v>-0.232031016999701</v>
      </c>
      <c r="H407" s="5">
        <v>0.179569399908382</v>
      </c>
      <c r="I407" s="5">
        <v>1.23330442324371</v>
      </c>
    </row>
    <row r="408">
      <c r="A408" s="2" t="s">
        <v>433</v>
      </c>
      <c r="B408" s="8" t="str">
        <f>HYPERLINK("https://www.suredividend.com/sure-analysis-research-database/","Diversified Healthcare Trust")</f>
        <v>Diversified Healthcare Trust</v>
      </c>
      <c r="C408" s="5">
        <v>-0.176192776257178</v>
      </c>
      <c r="D408" s="5">
        <v>0.556084951087231</v>
      </c>
      <c r="E408" s="5">
        <v>0.497195805900999</v>
      </c>
      <c r="F408" s="5">
        <v>-0.176192776257178</v>
      </c>
      <c r="G408" s="5">
        <v>3.17743910736154</v>
      </c>
      <c r="H408" s="5">
        <v>0.140627902656511</v>
      </c>
      <c r="I408" s="5">
        <v>-0.751046092964416</v>
      </c>
    </row>
    <row r="409">
      <c r="A409" s="2" t="s">
        <v>434</v>
      </c>
      <c r="B409" s="8" t="str">
        <f>HYPERLINK("https://www.suredividend.com/sure-analysis-research-database/","Diamond Hill Investment Group, Inc.")</f>
        <v>Diamond Hill Investment Group, Inc.</v>
      </c>
      <c r="C409" s="5">
        <v>0.002475994927229</v>
      </c>
      <c r="D409" s="5">
        <v>0.110604128503588</v>
      </c>
      <c r="E409" s="5">
        <v>-0.052237689652376</v>
      </c>
      <c r="F409" s="5">
        <v>0.002475994927229</v>
      </c>
      <c r="G409" s="5">
        <v>-0.058663949267657</v>
      </c>
      <c r="H409" s="5">
        <v>0.018688640885252</v>
      </c>
      <c r="I409" s="5">
        <v>0.386650895601058</v>
      </c>
    </row>
    <row r="410">
      <c r="A410" s="2" t="s">
        <v>435</v>
      </c>
      <c r="B410" s="8" t="str">
        <f>HYPERLINK("https://www.suredividend.com/sure-analysis-research-database/","DHT Holdings Inc")</f>
        <v>DHT Holdings Inc</v>
      </c>
      <c r="C410" s="5">
        <v>0.119266055045871</v>
      </c>
      <c r="D410" s="5">
        <v>0.008579354435728</v>
      </c>
      <c r="E410" s="5">
        <v>0.200734875989677</v>
      </c>
      <c r="F410" s="5">
        <v>0.119266055045871</v>
      </c>
      <c r="G410" s="5">
        <v>0.459349539467563</v>
      </c>
      <c r="H410" s="5">
        <v>1.54709102718752</v>
      </c>
      <c r="I410" s="5">
        <v>3.18636571602867</v>
      </c>
    </row>
    <row r="411">
      <c r="A411" s="2" t="s">
        <v>436</v>
      </c>
      <c r="B411" s="8" t="str">
        <f>HYPERLINK("https://www.suredividend.com/sure-analysis-research-database/","DHI Group Inc")</f>
        <v>DHI Group Inc</v>
      </c>
      <c r="C411" s="5">
        <v>-0.019305019305019</v>
      </c>
      <c r="D411" s="5">
        <v>-0.066176470588235</v>
      </c>
      <c r="E411" s="5">
        <v>-0.317204301075268</v>
      </c>
      <c r="F411" s="5">
        <v>-0.019305019305019</v>
      </c>
      <c r="G411" s="5">
        <v>-0.574539363484087</v>
      </c>
      <c r="H411" s="5">
        <v>-0.501960784313725</v>
      </c>
      <c r="I411" s="5">
        <v>0.227053140096618</v>
      </c>
    </row>
    <row r="412">
      <c r="A412" s="2" t="s">
        <v>437</v>
      </c>
      <c r="B412" s="8" t="str">
        <f>HYPERLINK("https://www.suredividend.com/sure-analysis-research-database/","1stdibs.com Inc")</f>
        <v>1stdibs.com Inc</v>
      </c>
      <c r="C412" s="5">
        <v>0.051282051282051</v>
      </c>
      <c r="D412" s="5">
        <v>0.236180904522613</v>
      </c>
      <c r="E412" s="5">
        <v>0.248730964467005</v>
      </c>
      <c r="F412" s="5">
        <v>0.051282051282051</v>
      </c>
      <c r="G412" s="5">
        <v>-0.2128</v>
      </c>
      <c r="H412" s="5">
        <v>-0.491735537190082</v>
      </c>
      <c r="I412" s="5">
        <v>-0.827368421052631</v>
      </c>
    </row>
    <row r="413">
      <c r="A413" s="2" t="s">
        <v>438</v>
      </c>
      <c r="B413" s="8" t="str">
        <f>HYPERLINK("https://www.suredividend.com/sure-analysis-research-database/","DICE Therapeutics Inc")</f>
        <v>DICE Therapeutics Inc</v>
      </c>
      <c r="C413" s="5">
        <v>0.0</v>
      </c>
      <c r="D413" s="5">
        <v>0.0</v>
      </c>
      <c r="E413" s="5">
        <v>0.0</v>
      </c>
      <c r="F413" s="5">
        <v>0.0</v>
      </c>
      <c r="G413" s="5">
        <v>0.0</v>
      </c>
      <c r="H413" s="5">
        <v>0.0</v>
      </c>
      <c r="I413" s="5">
        <v>0.0</v>
      </c>
    </row>
    <row r="414">
      <c r="A414" s="2" t="s">
        <v>439</v>
      </c>
      <c r="B414" s="8" t="str">
        <f>HYPERLINK("https://www.suredividend.com/sure-analysis-research-database/","Dine Brands Global Inc")</f>
        <v>Dine Brands Global Inc</v>
      </c>
      <c r="C414" s="5">
        <v>-0.041490433031218</v>
      </c>
      <c r="D414" s="5">
        <v>-0.01556194057792</v>
      </c>
      <c r="E414" s="5">
        <v>-0.177961988299042</v>
      </c>
      <c r="F414" s="5">
        <v>-0.041490433031218</v>
      </c>
      <c r="G414" s="5">
        <v>-0.358402247681808</v>
      </c>
      <c r="H414" s="5">
        <v>-0.23360973198081</v>
      </c>
      <c r="I414" s="5">
        <v>-0.277633662058842</v>
      </c>
    </row>
    <row r="415">
      <c r="A415" s="2" t="s">
        <v>440</v>
      </c>
      <c r="B415" s="8" t="str">
        <f>HYPERLINK("https://www.suredividend.com/sure-analysis-research-database/","Diodes, Inc.")</f>
        <v>Diodes, Inc.</v>
      </c>
      <c r="C415" s="5">
        <v>-0.141703924490809</v>
      </c>
      <c r="D415" s="5">
        <v>-0.005325273459988</v>
      </c>
      <c r="E415" s="5">
        <v>-0.254396375013485</v>
      </c>
      <c r="F415" s="5">
        <v>-0.141703924490809</v>
      </c>
      <c r="G415" s="5">
        <v>-0.228166182711637</v>
      </c>
      <c r="H415" s="5">
        <v>-0.195178758588564</v>
      </c>
      <c r="I415" s="5">
        <v>1.1429457364341</v>
      </c>
    </row>
    <row r="416">
      <c r="A416" s="2" t="s">
        <v>441</v>
      </c>
      <c r="B416" s="8" t="str">
        <f>HYPERLINK("https://www.suredividend.com/sure-analysis-research-database/","Daily Journal Corporation")</f>
        <v>Daily Journal Corporation</v>
      </c>
      <c r="C416" s="5">
        <v>-0.013526201513995</v>
      </c>
      <c r="D416" s="5">
        <v>0.175353959098059</v>
      </c>
      <c r="E416" s="5">
        <v>0.164363636363636</v>
      </c>
      <c r="F416" s="5">
        <v>-0.013526201513995</v>
      </c>
      <c r="G416" s="5">
        <v>0.110703666997026</v>
      </c>
      <c r="H416" s="5">
        <v>0.039192656013352</v>
      </c>
      <c r="I416" s="5">
        <v>0.555663520266518</v>
      </c>
    </row>
    <row r="417">
      <c r="A417" s="2" t="s">
        <v>442</v>
      </c>
      <c r="B417" s="8" t="str">
        <f>HYPERLINK("https://www.suredividend.com/sure-analysis-research-database/","Delek US Holdings Inc")</f>
        <v>Delek US Holdings Inc</v>
      </c>
      <c r="C417" s="5">
        <v>0.045736434108527</v>
      </c>
      <c r="D417" s="5">
        <v>0.076354119707493</v>
      </c>
      <c r="E417" s="5">
        <v>0.012337155550219</v>
      </c>
      <c r="F417" s="5">
        <v>0.045736434108527</v>
      </c>
      <c r="G417" s="5">
        <v>0.055927360964345</v>
      </c>
      <c r="H417" s="5">
        <v>0.844168449545109</v>
      </c>
      <c r="I417" s="5">
        <v>0.031708398978233</v>
      </c>
    </row>
    <row r="418">
      <c r="A418" s="2" t="s">
        <v>443</v>
      </c>
      <c r="B418" s="8" t="str">
        <f>HYPERLINK("https://www.suredividend.com/sure-analysis-research-database/","Duluth Holdings Inc")</f>
        <v>Duluth Holdings Inc</v>
      </c>
      <c r="C418" s="5">
        <v>-0.078066914498141</v>
      </c>
      <c r="D418" s="5">
        <v>-0.033138401559454</v>
      </c>
      <c r="E418" s="5">
        <v>-0.280116110304789</v>
      </c>
      <c r="F418" s="5">
        <v>-0.078066914498141</v>
      </c>
      <c r="G418" s="5">
        <v>-0.258594917787742</v>
      </c>
      <c r="H418" s="5">
        <v>-0.660970608339029</v>
      </c>
      <c r="I418" s="5">
        <v>-0.784347826086956</v>
      </c>
    </row>
    <row r="419">
      <c r="A419" s="2" t="s">
        <v>444</v>
      </c>
      <c r="B419" s="8" t="str">
        <f>HYPERLINK("https://www.suredividend.com/sure-analysis-research-database/","Deluxe Corp.")</f>
        <v>Deluxe Corp.</v>
      </c>
      <c r="C419" s="5">
        <v>-0.061072261072261</v>
      </c>
      <c r="D419" s="5">
        <v>0.213216469383452</v>
      </c>
      <c r="E419" s="5">
        <v>0.124680996018383</v>
      </c>
      <c r="F419" s="5">
        <v>-0.061072261072261</v>
      </c>
      <c r="G419" s="5">
        <v>0.07601564336546</v>
      </c>
      <c r="H419" s="5">
        <v>-0.2215011035821</v>
      </c>
      <c r="I419" s="5">
        <v>-0.47261195866786</v>
      </c>
    </row>
    <row r="420">
      <c r="A420" s="2" t="s">
        <v>445</v>
      </c>
      <c r="B420" s="8" t="str">
        <f>HYPERLINK("https://www.suredividend.com/sure-analysis-research-database/","Desktop Metal Inc")</f>
        <v>Desktop Metal Inc</v>
      </c>
      <c r="C420" s="5">
        <v>-0.163515312916111</v>
      </c>
      <c r="D420" s="5">
        <v>-0.286136363636363</v>
      </c>
      <c r="E420" s="5">
        <v>-0.647078651685393</v>
      </c>
      <c r="F420" s="5">
        <v>-0.163515312916111</v>
      </c>
      <c r="G420" s="5">
        <v>-0.660432432432432</v>
      </c>
      <c r="H420" s="5">
        <v>-0.83248</v>
      </c>
      <c r="I420" s="5">
        <v>-0.935237113402061</v>
      </c>
    </row>
    <row r="421">
      <c r="A421" s="2" t="s">
        <v>446</v>
      </c>
      <c r="B421" s="8" t="str">
        <f>HYPERLINK("https://www.suredividend.com/sure-analysis-research-database/","Digimarc Corporation")</f>
        <v>Digimarc Corporation</v>
      </c>
      <c r="C421" s="5">
        <v>0.057585825027685</v>
      </c>
      <c r="D421" s="5">
        <v>0.453576864535768</v>
      </c>
      <c r="E421" s="5">
        <v>0.275885103540414</v>
      </c>
      <c r="F421" s="5">
        <v>0.057585825027685</v>
      </c>
      <c r="G421" s="5">
        <v>0.787552643893308</v>
      </c>
      <c r="H421" s="5">
        <v>0.287929871881321</v>
      </c>
      <c r="I421" s="5">
        <v>0.981327800829875</v>
      </c>
    </row>
    <row r="422">
      <c r="A422" s="2" t="s">
        <v>447</v>
      </c>
      <c r="B422" s="8" t="str">
        <f>HYPERLINK("https://www.suredividend.com/sure-analysis-research-database/","Denali Therapeutics Inc")</f>
        <v>Denali Therapeutics Inc</v>
      </c>
      <c r="C422" s="5">
        <v>-0.183597390493942</v>
      </c>
      <c r="D422" s="5">
        <v>-0.037362637362637</v>
      </c>
      <c r="E422" s="5">
        <v>-0.373838456040028</v>
      </c>
      <c r="F422" s="5">
        <v>-0.183597390493942</v>
      </c>
      <c r="G422" s="5">
        <v>-0.44327931363203</v>
      </c>
      <c r="H422" s="5">
        <v>-0.458758109360519</v>
      </c>
      <c r="I422" s="5">
        <v>-0.069075451647183</v>
      </c>
    </row>
    <row r="423">
      <c r="A423" s="2" t="s">
        <v>448</v>
      </c>
      <c r="B423" s="8" t="str">
        <f>HYPERLINK("https://www.suredividend.com/sure-analysis-research-database/","Danimer Scientific Inc")</f>
        <v>Danimer Scientific Inc</v>
      </c>
      <c r="C423" s="5">
        <v>-0.357941176470588</v>
      </c>
      <c r="D423" s="5">
        <v>-0.525434782608695</v>
      </c>
      <c r="E423" s="5">
        <v>-0.760985401459854</v>
      </c>
      <c r="F423" s="5">
        <v>-0.357941176470588</v>
      </c>
      <c r="G423" s="5">
        <v>-0.73269387755102</v>
      </c>
      <c r="H423" s="5">
        <v>-0.857630434782608</v>
      </c>
      <c r="I423" s="5">
        <v>-0.932134715025906</v>
      </c>
    </row>
    <row r="424">
      <c r="A424" s="2" t="s">
        <v>449</v>
      </c>
      <c r="B424" s="8" t="str">
        <f>HYPERLINK("https://www.suredividend.com/sure-analysis-research-database/","Dnow Inc")</f>
        <v>Dnow Inc</v>
      </c>
      <c r="C424" s="5">
        <v>-0.098939929328621</v>
      </c>
      <c r="D424" s="5">
        <v>-0.059907834101382</v>
      </c>
      <c r="E424" s="5">
        <v>-0.09814323607427</v>
      </c>
      <c r="F424" s="5">
        <v>-0.098939929328621</v>
      </c>
      <c r="G424" s="5">
        <v>-0.239940387481371</v>
      </c>
      <c r="H424" s="5">
        <v>0.169724770642201</v>
      </c>
      <c r="I424" s="5">
        <v>-0.243323442136498</v>
      </c>
    </row>
    <row r="425">
      <c r="A425" s="2" t="s">
        <v>450</v>
      </c>
      <c r="B425" s="8" t="str">
        <f>HYPERLINK("https://www.suredividend.com/sure-analysis-research-database/","Krispy Kreme Inc")</f>
        <v>Krispy Kreme Inc</v>
      </c>
      <c r="C425" s="5">
        <v>-0.093125693443265</v>
      </c>
      <c r="D425" s="5">
        <v>0.064128350250245</v>
      </c>
      <c r="E425" s="5">
        <v>-0.116870681400584</v>
      </c>
      <c r="F425" s="5">
        <v>-0.093125693443265</v>
      </c>
      <c r="G425" s="5">
        <v>0.139208813219829</v>
      </c>
      <c r="H425" s="5">
        <v>-0.036833192209991</v>
      </c>
      <c r="I425" s="5">
        <v>-0.330192845576328</v>
      </c>
    </row>
    <row r="426">
      <c r="A426" s="2" t="s">
        <v>451</v>
      </c>
      <c r="B426" s="8" t="str">
        <f>HYPERLINK("https://www.suredividend.com/sure-analysis-research-database/","Diamond Offshore Drilling, Inc.")</f>
        <v>Diamond Offshore Drilling, Inc.</v>
      </c>
      <c r="C426" s="5">
        <v>-0.014615384615384</v>
      </c>
      <c r="D426" s="5">
        <v>0.034733441033925</v>
      </c>
      <c r="E426" s="5">
        <v>-0.170336787564766</v>
      </c>
      <c r="F426" s="5">
        <v>-0.014615384615384</v>
      </c>
      <c r="G426" s="5">
        <v>0.100515463917525</v>
      </c>
      <c r="H426" s="5">
        <v>12.6508951406649</v>
      </c>
      <c r="I426" s="5">
        <v>0.182825484764542</v>
      </c>
    </row>
    <row r="427">
      <c r="A427" s="2" t="s">
        <v>452</v>
      </c>
      <c r="B427" s="8" t="str">
        <f>HYPERLINK("https://www.suredividend.com/sure-analysis-DOC/","Physicians Realty Trust")</f>
        <v>Physicians Realty Trust</v>
      </c>
      <c r="C427" s="5">
        <v>-0.025993883792048</v>
      </c>
      <c r="D427" s="5">
        <v>0.171095811080367</v>
      </c>
      <c r="E427" s="5">
        <v>-0.094977623073097</v>
      </c>
      <c r="F427" s="5">
        <v>-0.025993883792048</v>
      </c>
      <c r="G427" s="5">
        <v>-0.13313873182415</v>
      </c>
      <c r="H427" s="5">
        <v>-0.194456036521365</v>
      </c>
      <c r="I427" s="5">
        <v>-0.037946007173871</v>
      </c>
    </row>
    <row r="428">
      <c r="A428" s="2" t="s">
        <v>453</v>
      </c>
      <c r="B428" s="8" t="str">
        <f>HYPERLINK("https://www.suredividend.com/sure-analysis-research-database/","DigitalOcean Holdings Inc")</f>
        <v>DigitalOcean Holdings Inc</v>
      </c>
      <c r="C428" s="5">
        <v>-0.051512673753066</v>
      </c>
      <c r="D428" s="5">
        <v>0.69425511197663</v>
      </c>
      <c r="E428" s="5">
        <v>-0.279353903499689</v>
      </c>
      <c r="F428" s="5">
        <v>-0.051512673753066</v>
      </c>
      <c r="G428" s="5">
        <v>0.17408906882591</v>
      </c>
      <c r="H428" s="5">
        <v>-0.354359925788497</v>
      </c>
      <c r="I428" s="5">
        <v>-0.181176470588235</v>
      </c>
    </row>
    <row r="429">
      <c r="A429" s="2" t="s">
        <v>454</v>
      </c>
      <c r="B429" s="8" t="str">
        <f>HYPERLINK("https://www.suredividend.com/sure-analysis-research-database/","Doma Holdings Inc")</f>
        <v>Doma Holdings Inc</v>
      </c>
      <c r="C429" s="5">
        <v>-0.086393088552915</v>
      </c>
      <c r="D429" s="5">
        <v>0.02919708029197</v>
      </c>
      <c r="E429" s="5">
        <v>-0.508710801393728</v>
      </c>
      <c r="F429" s="5">
        <v>-0.086393088552915</v>
      </c>
      <c r="G429" s="5">
        <v>-0.761016949152542</v>
      </c>
      <c r="H429" s="5">
        <v>-0.955238095238095</v>
      </c>
      <c r="I429" s="5">
        <v>-0.975263157894736</v>
      </c>
    </row>
    <row r="430">
      <c r="A430" s="2" t="s">
        <v>455</v>
      </c>
      <c r="B430" s="8" t="str">
        <f>HYPERLINK("https://www.suredividend.com/sure-analysis-research-database/","Domo Inc.")</f>
        <v>Domo Inc.</v>
      </c>
      <c r="C430" s="5">
        <v>0.103984450923226</v>
      </c>
      <c r="D430" s="5">
        <v>0.41645885286783</v>
      </c>
      <c r="E430" s="5">
        <v>-0.342592592592592</v>
      </c>
      <c r="F430" s="5">
        <v>0.103984450923226</v>
      </c>
      <c r="G430" s="5">
        <v>-0.238605898123324</v>
      </c>
      <c r="H430" s="5">
        <v>-0.743276836158192</v>
      </c>
      <c r="I430" s="5">
        <v>-0.548669050456893</v>
      </c>
    </row>
    <row r="431">
      <c r="A431" s="2" t="s">
        <v>456</v>
      </c>
      <c r="B431" s="8" t="str">
        <f>HYPERLINK("https://www.suredividend.com/sure-analysis-research-database/","Masonite International Corp")</f>
        <v>Masonite International Corp</v>
      </c>
      <c r="C431" s="5">
        <v>0.096976139853531</v>
      </c>
      <c r="D431" s="5">
        <v>0.196007726980038</v>
      </c>
      <c r="E431" s="5">
        <v>-0.100881014619033</v>
      </c>
      <c r="F431" s="5">
        <v>0.096976139853531</v>
      </c>
      <c r="G431" s="5">
        <v>0.043014375561545</v>
      </c>
      <c r="H431" s="5">
        <v>-0.035517706926991</v>
      </c>
      <c r="I431" s="5">
        <v>0.681209268645908</v>
      </c>
    </row>
    <row r="432">
      <c r="A432" s="2" t="s">
        <v>457</v>
      </c>
      <c r="B432" s="8" t="str">
        <f>HYPERLINK("https://www.suredividend.com/sure-analysis-research-database/","Dorman Products Inc")</f>
        <v>Dorman Products Inc</v>
      </c>
      <c r="C432" s="5">
        <v>0.026495624025896</v>
      </c>
      <c r="D432" s="5">
        <v>0.214985100042571</v>
      </c>
      <c r="E432" s="5">
        <v>0.030697002527988</v>
      </c>
      <c r="F432" s="5">
        <v>0.026495624025896</v>
      </c>
      <c r="G432" s="5">
        <v>-0.08427807486631</v>
      </c>
      <c r="H432" s="5">
        <v>-0.074278300356795</v>
      </c>
      <c r="I432" s="5">
        <v>-0.014389317370783</v>
      </c>
    </row>
    <row r="433">
      <c r="A433" s="2" t="s">
        <v>458</v>
      </c>
      <c r="B433" s="8" t="str">
        <f>HYPERLINK("https://www.suredividend.com/sure-analysis-research-database/","Douglas Elliman Inc")</f>
        <v>Douglas Elliman Inc</v>
      </c>
      <c r="C433" s="5">
        <v>-0.223728813559322</v>
      </c>
      <c r="D433" s="5">
        <v>0.293785310734463</v>
      </c>
      <c r="E433" s="5">
        <v>0.070093457943925</v>
      </c>
      <c r="F433" s="5">
        <v>-0.223728813559322</v>
      </c>
      <c r="G433" s="5">
        <v>-0.473151428702894</v>
      </c>
      <c r="H433" s="5">
        <v>-0.655752983975226</v>
      </c>
      <c r="I433" s="5">
        <v>-0.778784570948328</v>
      </c>
    </row>
    <row r="434">
      <c r="A434" s="2" t="s">
        <v>459</v>
      </c>
      <c r="B434" s="8" t="str">
        <f>HYPERLINK("https://www.suredividend.com/sure-analysis-research-database/","Diamondrock Hospitality Co.")</f>
        <v>Diamondrock Hospitality Co.</v>
      </c>
      <c r="C434" s="5">
        <v>-0.001064962726304</v>
      </c>
      <c r="D434" s="5">
        <v>0.274976213130352</v>
      </c>
      <c r="E434" s="5">
        <v>0.120387955232259</v>
      </c>
      <c r="F434" s="5">
        <v>-0.001064962726304</v>
      </c>
      <c r="G434" s="5">
        <v>-0.008477622037589</v>
      </c>
      <c r="H434" s="5">
        <v>0.074099096520056</v>
      </c>
      <c r="I434" s="5">
        <v>0.006805057639053</v>
      </c>
    </row>
    <row r="435">
      <c r="A435" s="2" t="s">
        <v>460</v>
      </c>
      <c r="B435" s="8" t="str">
        <f>HYPERLINK("https://www.suredividend.com/sure-analysis-research-database/","Dril-Quip, Inc.")</f>
        <v>Dril-Quip, Inc.</v>
      </c>
      <c r="C435" s="5">
        <v>-0.048560378169316</v>
      </c>
      <c r="D435" s="5">
        <v>-0.028094820017559</v>
      </c>
      <c r="E435" s="5">
        <v>-0.12386228729719</v>
      </c>
      <c r="F435" s="5">
        <v>-0.048560378169316</v>
      </c>
      <c r="G435" s="5">
        <v>-0.225061253062653</v>
      </c>
      <c r="H435" s="5">
        <v>-0.132784958871915</v>
      </c>
      <c r="I435" s="5">
        <v>-0.386023294509151</v>
      </c>
    </row>
    <row r="436">
      <c r="A436" s="2" t="s">
        <v>461</v>
      </c>
      <c r="B436" s="8" t="str">
        <f>HYPERLINK("https://www.suredividend.com/sure-analysis-research-database/","Diversey Holdings Ltd")</f>
        <v>Diversey Holdings Ltd</v>
      </c>
      <c r="C436" s="5">
        <v>0.0</v>
      </c>
      <c r="D436" s="5">
        <v>0.0</v>
      </c>
      <c r="E436" s="5">
        <v>0.0</v>
      </c>
      <c r="F436" s="5">
        <v>0.0</v>
      </c>
      <c r="G436" s="5">
        <v>0.0</v>
      </c>
      <c r="H436" s="5">
        <v>0.0</v>
      </c>
      <c r="I436" s="5">
        <v>0.0</v>
      </c>
    </row>
    <row r="437">
      <c r="A437" s="2" t="s">
        <v>462</v>
      </c>
      <c r="B437" s="8" t="str">
        <f>HYPERLINK("https://www.suredividend.com/sure-analysis-research-database/","Design Therapeutics Inc")</f>
        <v>Design Therapeutics Inc</v>
      </c>
      <c r="C437" s="5">
        <v>-0.064150943396226</v>
      </c>
      <c r="D437" s="5">
        <v>0.227722772277227</v>
      </c>
      <c r="E437" s="5">
        <v>-0.681643132220795</v>
      </c>
      <c r="F437" s="5">
        <v>-0.064150943396226</v>
      </c>
      <c r="G437" s="5">
        <v>-0.70012091898428</v>
      </c>
      <c r="H437" s="5">
        <v>-0.801758593125499</v>
      </c>
      <c r="I437" s="5">
        <v>-0.940226560617016</v>
      </c>
    </row>
    <row r="438">
      <c r="A438" s="2" t="s">
        <v>463</v>
      </c>
      <c r="B438" s="8" t="str">
        <f>HYPERLINK("https://www.suredividend.com/sure-analysis-research-database/","Distribution Solutions Group Inc")</f>
        <v>Distribution Solutions Group Inc</v>
      </c>
      <c r="C438" s="5">
        <v>0.036121673003802</v>
      </c>
      <c r="D438" s="5">
        <v>0.082423038728897</v>
      </c>
      <c r="E438" s="5">
        <v>0.190823015294974</v>
      </c>
      <c r="F438" s="5">
        <v>0.036121673003802</v>
      </c>
      <c r="G438" s="5">
        <v>0.61779475280393</v>
      </c>
      <c r="H438" s="5">
        <v>-0.318039624608967</v>
      </c>
      <c r="I438" s="5">
        <v>0.11986301369863</v>
      </c>
    </row>
    <row r="439">
      <c r="A439" s="2" t="s">
        <v>464</v>
      </c>
      <c r="B439" s="8" t="str">
        <f>HYPERLINK("https://www.suredividend.com/sure-analysis-research-database/","Daseke Inc")</f>
        <v>Daseke Inc</v>
      </c>
      <c r="C439" s="5">
        <v>0.006172839506172</v>
      </c>
      <c r="D439" s="5">
        <v>0.886574074074074</v>
      </c>
      <c r="E439" s="5">
        <v>0.078042328042328</v>
      </c>
      <c r="F439" s="5">
        <v>0.006172839506172</v>
      </c>
      <c r="G439" s="5">
        <v>0.202064896755162</v>
      </c>
      <c r="H439" s="5">
        <v>-0.217098943323727</v>
      </c>
      <c r="I439" s="5">
        <v>0.982968369829683</v>
      </c>
    </row>
    <row r="440">
      <c r="A440" s="2" t="s">
        <v>465</v>
      </c>
      <c r="B440" s="8" t="str">
        <f>HYPERLINK("https://www.suredividend.com/sure-analysis-research-database/","Viant Technology Inc")</f>
        <v>Viant Technology Inc</v>
      </c>
      <c r="C440" s="5">
        <v>0.319303338171262</v>
      </c>
      <c r="D440" s="5">
        <v>0.807157057654075</v>
      </c>
      <c r="E440" s="5">
        <v>0.934042553191489</v>
      </c>
      <c r="F440" s="5">
        <v>0.319303338171262</v>
      </c>
      <c r="G440" s="5">
        <v>0.946466809421841</v>
      </c>
      <c r="H440" s="5">
        <v>0.225067385444744</v>
      </c>
      <c r="I440" s="5">
        <v>-0.80951383067896</v>
      </c>
    </row>
    <row r="441">
      <c r="A441" s="2" t="s">
        <v>466</v>
      </c>
      <c r="B441" s="8" t="str">
        <f>HYPERLINK("https://www.suredividend.com/sure-analysis-research-database/","Solo Brands Inc")</f>
        <v>Solo Brands Inc</v>
      </c>
      <c r="C441" s="5">
        <v>-0.527597402597402</v>
      </c>
      <c r="D441" s="5">
        <v>-0.240208877284595</v>
      </c>
      <c r="E441" s="5">
        <v>-0.49740932642487</v>
      </c>
      <c r="F441" s="5">
        <v>-0.527597402597402</v>
      </c>
      <c r="G441" s="5">
        <v>-0.31042654028436</v>
      </c>
      <c r="H441" s="5">
        <v>-0.734003656307129</v>
      </c>
      <c r="I441" s="5">
        <v>-0.834752981260647</v>
      </c>
    </row>
    <row r="442">
      <c r="A442" s="2" t="s">
        <v>467</v>
      </c>
      <c r="B442" s="8" t="str">
        <f>HYPERLINK("https://www.suredividend.com/sure-analysis-research-database/","Duolingo Inc")</f>
        <v>Duolingo Inc</v>
      </c>
      <c r="C442" s="5">
        <v>-0.150231430460656</v>
      </c>
      <c r="D442" s="5">
        <v>0.342689977014696</v>
      </c>
      <c r="E442" s="5">
        <v>0.276960784313725</v>
      </c>
      <c r="F442" s="5">
        <v>-0.150231430460656</v>
      </c>
      <c r="G442" s="5">
        <v>1.07212727077286</v>
      </c>
      <c r="H442" s="5">
        <v>1.09920505281498</v>
      </c>
      <c r="I442" s="5">
        <v>0.386734767282929</v>
      </c>
    </row>
    <row r="443">
      <c r="A443" s="2" t="s">
        <v>468</v>
      </c>
      <c r="B443" s="8" t="str">
        <f>HYPERLINK("https://www.suredividend.com/sure-analysis-research-database/","Dynavax Technologies Corp.")</f>
        <v>Dynavax Technologies Corp.</v>
      </c>
      <c r="C443" s="5">
        <v>-0.041487839771101</v>
      </c>
      <c r="D443" s="5">
        <v>-0.058327477160927</v>
      </c>
      <c r="E443" s="5">
        <v>-0.057002111189303</v>
      </c>
      <c r="F443" s="5">
        <v>-0.041487839771101</v>
      </c>
      <c r="G443" s="5">
        <v>0.131756756756756</v>
      </c>
      <c r="H443" s="5">
        <v>0.063492063492063</v>
      </c>
      <c r="I443" s="5">
        <v>0.241890639481</v>
      </c>
    </row>
    <row r="444">
      <c r="A444" s="2" t="s">
        <v>469</v>
      </c>
      <c r="B444" s="8" t="str">
        <f>HYPERLINK("https://www.suredividend.com/sure-analysis-DX/","Dynex Capital, Inc.")</f>
        <v>Dynex Capital, Inc.</v>
      </c>
      <c r="C444" s="5">
        <v>0.03622761498172</v>
      </c>
      <c r="D444" s="5">
        <v>0.381239242685026</v>
      </c>
      <c r="E444" s="5">
        <v>0.03182256509161</v>
      </c>
      <c r="F444" s="5">
        <v>0.03622761498172</v>
      </c>
      <c r="G444" s="5">
        <v>-0.024182638962776</v>
      </c>
      <c r="H444" s="5">
        <v>0.030109027894774</v>
      </c>
      <c r="I444" s="5">
        <v>0.238724615310404</v>
      </c>
    </row>
    <row r="445">
      <c r="A445" s="2" t="s">
        <v>470</v>
      </c>
      <c r="B445" s="8" t="str">
        <f>HYPERLINK("https://www.suredividend.com/sure-analysis-research-database/","Destination XL Group Inc")</f>
        <v>Destination XL Group Inc</v>
      </c>
      <c r="C445" s="5">
        <v>-0.002272727272727</v>
      </c>
      <c r="D445" s="5">
        <v>0.089330024813895</v>
      </c>
      <c r="E445" s="5">
        <v>-0.154142581888246</v>
      </c>
      <c r="F445" s="5">
        <v>-0.002272727272727</v>
      </c>
      <c r="G445" s="5">
        <v>-0.403532608695652</v>
      </c>
      <c r="H445" s="5">
        <v>0.013856812933025</v>
      </c>
      <c r="I445" s="5">
        <v>0.68199233716475</v>
      </c>
    </row>
    <row r="446">
      <c r="A446" s="2" t="s">
        <v>471</v>
      </c>
      <c r="B446" s="8" t="str">
        <f>HYPERLINK("https://www.suredividend.com/sure-analysis-research-database/","DXP Enterprises, Inc.")</f>
        <v>DXP Enterprises, Inc.</v>
      </c>
      <c r="C446" s="5">
        <v>-0.018397626112759</v>
      </c>
      <c r="D446" s="5">
        <v>0.039597737272155</v>
      </c>
      <c r="E446" s="5">
        <v>-0.129244538036325</v>
      </c>
      <c r="F446" s="5">
        <v>-0.018397626112759</v>
      </c>
      <c r="G446" s="5">
        <v>0.117567567567567</v>
      </c>
      <c r="H446" s="5">
        <v>0.102666666666666</v>
      </c>
      <c r="I446" s="5">
        <v>0.048162230671736</v>
      </c>
    </row>
    <row r="447">
      <c r="A447" s="2" t="s">
        <v>472</v>
      </c>
      <c r="B447" s="8" t="str">
        <f>HYPERLINK("https://www.suredividend.com/sure-analysis-research-database/","Dycom Industries, Inc.")</f>
        <v>Dycom Industries, Inc.</v>
      </c>
      <c r="C447" s="5">
        <v>-0.001563993396472</v>
      </c>
      <c r="D447" s="5">
        <v>0.35715129325617</v>
      </c>
      <c r="E447" s="5">
        <v>0.156734447352526</v>
      </c>
      <c r="F447" s="5">
        <v>-0.001563993396472</v>
      </c>
      <c r="G447" s="5">
        <v>0.239189043459506</v>
      </c>
      <c r="H447" s="5">
        <v>0.359399029930202</v>
      </c>
      <c r="I447" s="5">
        <v>1.00436071864643</v>
      </c>
    </row>
    <row r="448">
      <c r="A448" s="2" t="s">
        <v>473</v>
      </c>
      <c r="B448" s="8" t="str">
        <f>HYPERLINK("https://www.suredividend.com/sure-analysis-research-database/","Dyne Therapeutics Inc")</f>
        <v>Dyne Therapeutics Inc</v>
      </c>
      <c r="C448" s="5">
        <v>0.571428571428571</v>
      </c>
      <c r="D448" s="5">
        <v>2.15709969788519</v>
      </c>
      <c r="E448" s="5">
        <v>0.775700934579439</v>
      </c>
      <c r="F448" s="5">
        <v>0.571428571428571</v>
      </c>
      <c r="G448" s="5">
        <v>0.413116970926301</v>
      </c>
      <c r="H448" s="5">
        <v>1.98571428571428</v>
      </c>
      <c r="I448" s="5">
        <v>-0.125523012552301</v>
      </c>
    </row>
    <row r="449">
      <c r="A449" s="2" t="s">
        <v>474</v>
      </c>
      <c r="B449" s="8" t="str">
        <f>HYPERLINK("https://www.suredividend.com/sure-analysis-research-database/","DZS Inc")</f>
        <v>DZS Inc</v>
      </c>
      <c r="C449" s="5">
        <v>-0.111675126903553</v>
      </c>
      <c r="D449" s="5">
        <v>0.305970149253731</v>
      </c>
      <c r="E449" s="5">
        <v>-0.512534818941504</v>
      </c>
      <c r="F449" s="5">
        <v>-0.111675126903553</v>
      </c>
      <c r="G449" s="5">
        <v>-0.858757062146892</v>
      </c>
      <c r="H449" s="5">
        <v>-0.87382840663302</v>
      </c>
      <c r="I449" s="5">
        <v>-0.86569455103607</v>
      </c>
    </row>
    <row r="450">
      <c r="A450" s="2" t="s">
        <v>475</v>
      </c>
      <c r="B450" s="8" t="str">
        <f>HYPERLINK("https://www.suredividend.com/sure-analysis-research-database/","GrafTech International Ltd.")</f>
        <v>GrafTech International Ltd.</v>
      </c>
      <c r="C450" s="5">
        <v>-0.301369863013698</v>
      </c>
      <c r="D450" s="5">
        <v>-0.54191616766467</v>
      </c>
      <c r="E450" s="5">
        <v>-0.695219123505976</v>
      </c>
      <c r="F450" s="5">
        <v>-0.301369863013698</v>
      </c>
      <c r="G450" s="5">
        <v>-0.759001984689537</v>
      </c>
      <c r="H450" s="5">
        <v>-0.843968304149627</v>
      </c>
      <c r="I450" s="5">
        <v>-0.874074074074074</v>
      </c>
    </row>
    <row r="451">
      <c r="A451" s="2" t="s">
        <v>476</v>
      </c>
      <c r="B451" s="8" t="str">
        <f>HYPERLINK("https://www.suredividend.com/sure-analysis-research-database/","Brinker International, Inc.")</f>
        <v>Brinker International, Inc.</v>
      </c>
      <c r="C451" s="5">
        <v>-0.057897174617878</v>
      </c>
      <c r="D451" s="5">
        <v>0.242896425297892</v>
      </c>
      <c r="E451" s="5">
        <v>0.054705729841846</v>
      </c>
      <c r="F451" s="5">
        <v>-0.057897174617878</v>
      </c>
      <c r="G451" s="5">
        <v>0.04147465437788</v>
      </c>
      <c r="H451" s="5">
        <v>0.279647687952186</v>
      </c>
      <c r="I451" s="5">
        <v>0.00722488251519</v>
      </c>
    </row>
    <row r="452">
      <c r="A452" s="2" t="s">
        <v>477</v>
      </c>
      <c r="B452" s="8" t="str">
        <f>HYPERLINK("https://www.suredividend.com/sure-analysis-research-database/","Eventbrite Inc")</f>
        <v>Eventbrite Inc</v>
      </c>
      <c r="C452" s="5">
        <v>0.033492822966507</v>
      </c>
      <c r="D452" s="5">
        <v>0.053658536585366</v>
      </c>
      <c r="E452" s="5">
        <v>-0.253886010362694</v>
      </c>
      <c r="F452" s="5">
        <v>0.033492822966507</v>
      </c>
      <c r="G452" s="5">
        <v>0.006993006993007</v>
      </c>
      <c r="H452" s="5">
        <v>-0.337423312883435</v>
      </c>
      <c r="I452" s="5">
        <v>-0.722454224221008</v>
      </c>
    </row>
    <row r="453">
      <c r="A453" s="2" t="s">
        <v>478</v>
      </c>
      <c r="B453" s="8" t="str">
        <f>HYPERLINK("https://www.suredividend.com/sure-analysis-research-database/","Eastern Bankshares Inc.")</f>
        <v>Eastern Bankshares Inc.</v>
      </c>
      <c r="C453" s="5">
        <v>0.040140845070422</v>
      </c>
      <c r="D453" s="5">
        <v>0.340497172885109</v>
      </c>
      <c r="E453" s="5">
        <v>0.048372786315079</v>
      </c>
      <c r="F453" s="5">
        <v>0.040140845070422</v>
      </c>
      <c r="G453" s="5">
        <v>-0.022527530707327</v>
      </c>
      <c r="H453" s="5">
        <v>-0.226657032603972</v>
      </c>
      <c r="I453" s="5">
        <v>0.334477773762197</v>
      </c>
    </row>
    <row r="454">
      <c r="A454" s="2" t="s">
        <v>479</v>
      </c>
      <c r="B454" s="8" t="str">
        <f>HYPERLINK("https://www.suredividend.com/sure-analysis-EBF/","Ennis Inc.")</f>
        <v>Ennis Inc.</v>
      </c>
      <c r="C454" s="5">
        <v>-0.045838526519872</v>
      </c>
      <c r="D454" s="5">
        <v>-0.002596048987154</v>
      </c>
      <c r="E454" s="5">
        <v>-0.00783365013536</v>
      </c>
      <c r="F454" s="5">
        <v>-0.045838526519872</v>
      </c>
      <c r="G454" s="5">
        <v>0.043981575013132</v>
      </c>
      <c r="H454" s="5">
        <v>0.210244039533467</v>
      </c>
      <c r="I454" s="5">
        <v>0.300899993706337</v>
      </c>
    </row>
    <row r="455">
      <c r="A455" s="2" t="s">
        <v>480</v>
      </c>
      <c r="B455" s="8" t="str">
        <f>HYPERLINK("https://www.suredividend.com/sure-analysis-research-database/","Ebix Inc.")</f>
        <v>Ebix Inc.</v>
      </c>
      <c r="C455" s="5">
        <v>0.0</v>
      </c>
      <c r="D455" s="5">
        <v>0.0</v>
      </c>
      <c r="E455" s="5">
        <v>0.0</v>
      </c>
      <c r="F455" s="5">
        <v>0.0</v>
      </c>
      <c r="G455" s="5">
        <v>0.0</v>
      </c>
      <c r="H455" s="5">
        <v>0.0</v>
      </c>
      <c r="I455" s="5">
        <v>0.0</v>
      </c>
    </row>
    <row r="456">
      <c r="A456" s="2" t="s">
        <v>481</v>
      </c>
      <c r="B456" s="8" t="str">
        <f>HYPERLINK("https://www.suredividend.com/sure-analysis-research-database/","Emergent Biosolutions Inc")</f>
        <v>Emergent Biosolutions Inc</v>
      </c>
      <c r="C456" s="5">
        <v>-0.237499999999999</v>
      </c>
      <c r="D456" s="5">
        <v>-0.084999999999999</v>
      </c>
      <c r="E456" s="5">
        <v>-0.730088495575221</v>
      </c>
      <c r="F456" s="5">
        <v>-0.237499999999999</v>
      </c>
      <c r="G456" s="5">
        <v>-0.864142538975501</v>
      </c>
      <c r="H456" s="5">
        <v>-0.959602649006622</v>
      </c>
      <c r="I456" s="5">
        <v>-0.969505082486252</v>
      </c>
    </row>
    <row r="457">
      <c r="A457" s="2" t="s">
        <v>482</v>
      </c>
      <c r="B457" s="8" t="str">
        <f>HYPERLINK("https://www.suredividend.com/sure-analysis-EBTC/","Enterprise Bancorp, Inc.")</f>
        <v>Enterprise Bancorp, Inc.</v>
      </c>
      <c r="C457" s="5">
        <v>-0.074705517668939</v>
      </c>
      <c r="D457" s="5">
        <v>0.197280548703447</v>
      </c>
      <c r="E457" s="5">
        <v>-0.030674209114584</v>
      </c>
      <c r="F457" s="5">
        <v>-0.074705517668939</v>
      </c>
      <c r="G457" s="5">
        <v>-0.082670305254132</v>
      </c>
      <c r="H457" s="5">
        <v>-0.227512460728648</v>
      </c>
      <c r="I457" s="5">
        <v>0.110883682849221</v>
      </c>
    </row>
    <row r="458">
      <c r="A458" s="2" t="s">
        <v>483</v>
      </c>
      <c r="B458" s="8" t="str">
        <f>HYPERLINK("https://www.suredividend.com/sure-analysis-research-database/","Encore Capital Group, Inc.")</f>
        <v>Encore Capital Group, Inc.</v>
      </c>
      <c r="C458" s="5">
        <v>0.020689655172413</v>
      </c>
      <c r="D458" s="5">
        <v>0.312056737588652</v>
      </c>
      <c r="E458" s="5">
        <v>-0.01707779886148</v>
      </c>
      <c r="F458" s="5">
        <v>0.020689655172413</v>
      </c>
      <c r="G458" s="5">
        <v>-0.053535538096108</v>
      </c>
      <c r="H458" s="5">
        <v>-0.207829943416424</v>
      </c>
      <c r="I458" s="5">
        <v>0.775188485263879</v>
      </c>
    </row>
    <row r="459">
      <c r="A459" s="2" t="s">
        <v>484</v>
      </c>
      <c r="B459" s="8" t="str">
        <f>HYPERLINK("https://www.suredividend.com/sure-analysis-research-database/","Ecovyst Inc")</f>
        <v>Ecovyst Inc</v>
      </c>
      <c r="C459" s="5">
        <v>-0.019447287615148</v>
      </c>
      <c r="D459" s="5">
        <v>0.053905390539053</v>
      </c>
      <c r="E459" s="5">
        <v>-0.218597063621533</v>
      </c>
      <c r="F459" s="5">
        <v>-0.019447287615148</v>
      </c>
      <c r="G459" s="5">
        <v>-0.093661305581835</v>
      </c>
      <c r="H459" s="5">
        <v>-0.0743961352657</v>
      </c>
      <c r="I459" s="5">
        <v>-0.231133476191622</v>
      </c>
    </row>
    <row r="460">
      <c r="A460" s="2" t="s">
        <v>485</v>
      </c>
      <c r="B460" s="8" t="str">
        <f>HYPERLINK("https://www.suredividend.com/sure-analysis-research-database/","Editas Medicine Inc")</f>
        <v>Editas Medicine Inc</v>
      </c>
      <c r="C460" s="5">
        <v>-0.246791707798618</v>
      </c>
      <c r="D460" s="5">
        <v>0.218849840255591</v>
      </c>
      <c r="E460" s="5">
        <v>-0.1199538638985</v>
      </c>
      <c r="F460" s="5">
        <v>-0.246791707798618</v>
      </c>
      <c r="G460" s="5">
        <v>-0.202716823406478</v>
      </c>
      <c r="H460" s="5">
        <v>-0.562248995983935</v>
      </c>
      <c r="I460" s="5">
        <v>-0.623952686052242</v>
      </c>
    </row>
    <row r="461">
      <c r="A461" s="2" t="s">
        <v>486</v>
      </c>
      <c r="B461" s="8" t="str">
        <f>HYPERLINK("https://www.suredividend.com/sure-analysis-research-database/","Excelerate Energy Inc")</f>
        <v>Excelerate Energy Inc</v>
      </c>
      <c r="C461" s="5">
        <v>0.051746442432082</v>
      </c>
      <c r="D461" s="5">
        <v>0.081232045962336</v>
      </c>
      <c r="E461" s="5">
        <v>-0.222846218186163</v>
      </c>
      <c r="F461" s="5">
        <v>0.051746442432082</v>
      </c>
      <c r="G461" s="5">
        <v>-0.300999922619917</v>
      </c>
      <c r="H461" s="5">
        <v>-0.390173009342429</v>
      </c>
      <c r="I461" s="5">
        <v>-0.390173009342429</v>
      </c>
    </row>
    <row r="462">
      <c r="A462" s="2" t="s">
        <v>487</v>
      </c>
      <c r="B462" s="8" t="str">
        <f>HYPERLINK("https://www.suredividend.com/sure-analysis-EFC/","Ellington Financial Inc")</f>
        <v>Ellington Financial Inc</v>
      </c>
      <c r="C462" s="5">
        <v>0.018093244286658</v>
      </c>
      <c r="D462" s="5">
        <v>0.1167184716935</v>
      </c>
      <c r="E462" s="5">
        <v>0.004247834860512</v>
      </c>
      <c r="F462" s="5">
        <v>0.018093244286658</v>
      </c>
      <c r="G462" s="5">
        <v>0.07439266153691</v>
      </c>
      <c r="H462" s="5">
        <v>-0.051341769147468</v>
      </c>
      <c r="I462" s="5">
        <v>0.419959366291785</v>
      </c>
    </row>
    <row r="463">
      <c r="A463" s="2" t="s">
        <v>488</v>
      </c>
      <c r="B463" s="8" t="str">
        <f>HYPERLINK("https://www.suredividend.com/sure-analysis-research-database/","Enterprise Financial Services Corp.")</f>
        <v>Enterprise Financial Services Corp.</v>
      </c>
      <c r="C463" s="5">
        <v>-0.021724524076147</v>
      </c>
      <c r="D463" s="5">
        <v>0.276435332244311</v>
      </c>
      <c r="E463" s="5">
        <v>0.077943615257048</v>
      </c>
      <c r="F463" s="5">
        <v>-0.021724524076147</v>
      </c>
      <c r="G463" s="5">
        <v>-0.121944747649573</v>
      </c>
      <c r="H463" s="5">
        <v>-0.054502477385335</v>
      </c>
      <c r="I463" s="5">
        <v>0.093533680987585</v>
      </c>
    </row>
    <row r="464">
      <c r="A464" s="2" t="s">
        <v>489</v>
      </c>
      <c r="B464" s="8" t="str">
        <f>HYPERLINK("https://www.suredividend.com/sure-analysis-research-database/","eGain Corp")</f>
        <v>eGain Corp</v>
      </c>
      <c r="C464" s="5">
        <v>-0.069627851140456</v>
      </c>
      <c r="D464" s="5">
        <v>0.333907056798623</v>
      </c>
      <c r="E464" s="5">
        <v>0.08089260808926</v>
      </c>
      <c r="F464" s="5">
        <v>-0.069627851140456</v>
      </c>
      <c r="G464" s="5">
        <v>-0.223446893787575</v>
      </c>
      <c r="H464" s="5">
        <v>-0.222668004012036</v>
      </c>
      <c r="I464" s="5">
        <v>0.093088857545839</v>
      </c>
    </row>
    <row r="465">
      <c r="A465" s="2" t="s">
        <v>490</v>
      </c>
      <c r="B465" s="8" t="str">
        <f>HYPERLINK("https://www.suredividend.com/sure-analysis-research-database/","Eagle Bancorp Inc (MD)")</f>
        <v>Eagle Bancorp Inc (MD)</v>
      </c>
      <c r="C465" s="5">
        <v>-0.065801274809839</v>
      </c>
      <c r="D465" s="5">
        <v>0.414202133999409</v>
      </c>
      <c r="E465" s="5">
        <v>0.042462488158176</v>
      </c>
      <c r="F465" s="5">
        <v>-0.065801274809839</v>
      </c>
      <c r="G465" s="5">
        <v>-0.326703164667829</v>
      </c>
      <c r="H465" s="5">
        <v>-0.455730485873723</v>
      </c>
      <c r="I465" s="5">
        <v>-0.384521701868537</v>
      </c>
    </row>
    <row r="466">
      <c r="A466" s="2" t="s">
        <v>491</v>
      </c>
      <c r="B466" s="8" t="str">
        <f>HYPERLINK("https://www.suredividend.com/sure-analysis-research-database/","8X8 Inc.")</f>
        <v>8X8 Inc.</v>
      </c>
      <c r="C466" s="5">
        <v>-0.01058201058201</v>
      </c>
      <c r="D466" s="5">
        <v>0.612068965517241</v>
      </c>
      <c r="E466" s="5">
        <v>-0.170731707317073</v>
      </c>
      <c r="F466" s="5">
        <v>-0.01058201058201</v>
      </c>
      <c r="G466" s="5">
        <v>-0.239837398373983</v>
      </c>
      <c r="H466" s="5">
        <v>-0.743308167467398</v>
      </c>
      <c r="I466" s="5">
        <v>-0.806317969963749</v>
      </c>
    </row>
    <row r="467">
      <c r="A467" s="2" t="s">
        <v>492</v>
      </c>
      <c r="B467" s="8" t="str">
        <f>HYPERLINK("https://www.suredividend.com/sure-analysis-research-database/","Edgio Inc")</f>
        <v>Edgio Inc</v>
      </c>
      <c r="C467" s="5">
        <v>-0.153284671532846</v>
      </c>
      <c r="D467" s="5">
        <v>-0.650602409638554</v>
      </c>
      <c r="E467" s="5">
        <v>-0.630243529261762</v>
      </c>
      <c r="F467" s="5">
        <v>-0.153284671532846</v>
      </c>
      <c r="G467" s="5">
        <v>-0.815286624203821</v>
      </c>
      <c r="H467" s="5">
        <v>-0.929782082324455</v>
      </c>
      <c r="I467" s="5">
        <v>-0.898601398601398</v>
      </c>
    </row>
    <row r="468">
      <c r="A468" s="2" t="s">
        <v>493</v>
      </c>
      <c r="B468" s="8" t="str">
        <f>HYPERLINK("https://www.suredividend.com/sure-analysis-research-database/","Eagle Bulk Shipping Inc")</f>
        <v>Eagle Bulk Shipping Inc</v>
      </c>
      <c r="C468" s="5">
        <v>-0.012996389891696</v>
      </c>
      <c r="D468" s="5">
        <v>0.340143523783381</v>
      </c>
      <c r="E468" s="5">
        <v>0.210722913174693</v>
      </c>
      <c r="F468" s="5">
        <v>-0.012996389891696</v>
      </c>
      <c r="G468" s="5">
        <v>0.025852688454466</v>
      </c>
      <c r="H468" s="5">
        <v>0.417307323445705</v>
      </c>
      <c r="I468" s="5">
        <v>1.34399447866699</v>
      </c>
    </row>
    <row r="469">
      <c r="A469" s="2" t="s">
        <v>494</v>
      </c>
      <c r="B469" s="8" t="str">
        <f>HYPERLINK("https://www.suredividend.com/sure-analysis-research-database/","Eagle Pharmaceuticals Inc")</f>
        <v>Eagle Pharmaceuticals Inc</v>
      </c>
      <c r="C469" s="5">
        <v>0.053537284894837</v>
      </c>
      <c r="D469" s="5">
        <v>-0.593057607090103</v>
      </c>
      <c r="E469" s="5">
        <v>-0.703763440860215</v>
      </c>
      <c r="F469" s="5">
        <v>0.053537284894837</v>
      </c>
      <c r="G469" s="5">
        <v>-0.83674074074074</v>
      </c>
      <c r="H469" s="5">
        <v>-0.87860762282441</v>
      </c>
      <c r="I469" s="5">
        <v>-0.866811699299008</v>
      </c>
    </row>
    <row r="470">
      <c r="A470" s="2" t="s">
        <v>495</v>
      </c>
      <c r="B470" s="8" t="str">
        <f>HYPERLINK("https://www.suredividend.com/sure-analysis-research-database/","VAALCO Energy, Inc.")</f>
        <v>VAALCO Energy, Inc.</v>
      </c>
      <c r="C470" s="5">
        <v>-0.006681514476614</v>
      </c>
      <c r="D470" s="5">
        <v>0.022771573371247</v>
      </c>
      <c r="E470" s="5">
        <v>0.05842707295078</v>
      </c>
      <c r="F470" s="5">
        <v>-0.006681514476614</v>
      </c>
      <c r="G470" s="5">
        <v>-0.004997322862752</v>
      </c>
      <c r="H470" s="5">
        <v>0.160219557243568</v>
      </c>
      <c r="I470" s="5">
        <v>1.60118978187332</v>
      </c>
    </row>
    <row r="471">
      <c r="A471" s="2" t="s">
        <v>496</v>
      </c>
      <c r="B471" s="8" t="str">
        <f>HYPERLINK("https://www.suredividend.com/sure-analysis-research-database/","eHealth Inc")</f>
        <v>eHealth Inc</v>
      </c>
      <c r="C471" s="5">
        <v>-0.180619266055046</v>
      </c>
      <c r="D471" s="5">
        <v>-0.090966921119592</v>
      </c>
      <c r="E471" s="5">
        <v>-0.030529172320217</v>
      </c>
      <c r="F471" s="5">
        <v>-0.180619266055046</v>
      </c>
      <c r="G471" s="5">
        <v>-0.088647959183673</v>
      </c>
      <c r="H471" s="5">
        <v>-0.668752897542883</v>
      </c>
      <c r="I471" s="5">
        <v>-0.872774216524216</v>
      </c>
    </row>
    <row r="472">
      <c r="A472" s="2" t="s">
        <v>497</v>
      </c>
      <c r="B472" s="8" t="str">
        <f>HYPERLINK("https://www.suredividend.com/sure-analysis-research-database/","Employers Holdings Inc")</f>
        <v>Employers Holdings Inc</v>
      </c>
      <c r="C472" s="5">
        <v>0.051269035532995</v>
      </c>
      <c r="D472" s="5">
        <v>0.123019735539968</v>
      </c>
      <c r="E472" s="5">
        <v>0.08736457165659</v>
      </c>
      <c r="F472" s="5">
        <v>0.051269035532995</v>
      </c>
      <c r="G472" s="5">
        <v>0.004145555043758</v>
      </c>
      <c r="H472" s="5">
        <v>0.199345600903418</v>
      </c>
      <c r="I472" s="5">
        <v>0.19926225972048</v>
      </c>
    </row>
    <row r="473">
      <c r="A473" s="2" t="s">
        <v>498</v>
      </c>
      <c r="B473" s="8" t="str">
        <f>HYPERLINK("https://www.suredividend.com/sure-analysis-research-database/","Eiger BioPharmaceuticals Inc")</f>
        <v>Eiger BioPharmaceuticals Inc</v>
      </c>
      <c r="C473" s="5">
        <v>-0.109250185597624</v>
      </c>
      <c r="D473" s="5">
        <v>-0.111229629629629</v>
      </c>
      <c r="E473" s="5">
        <v>-0.706869930616632</v>
      </c>
      <c r="F473" s="5">
        <v>-0.109250185597624</v>
      </c>
      <c r="G473" s="5">
        <v>-0.859173708920187</v>
      </c>
      <c r="H473" s="5">
        <v>-0.949116200169635</v>
      </c>
      <c r="I473" s="5">
        <v>-0.985571909571909</v>
      </c>
    </row>
    <row r="474">
      <c r="A474" s="2" t="s">
        <v>499</v>
      </c>
      <c r="B474" s="8" t="str">
        <f>HYPERLINK("https://www.suredividend.com/sure-analysis-research-database/","e.l.f. Beauty Inc")</f>
        <v>e.l.f. Beauty Inc</v>
      </c>
      <c r="C474" s="5">
        <v>0.100457253706526</v>
      </c>
      <c r="D474" s="5">
        <v>0.553599374021909</v>
      </c>
      <c r="E474" s="5">
        <v>0.370018975332068</v>
      </c>
      <c r="F474" s="5">
        <v>0.100457253706526</v>
      </c>
      <c r="G474" s="5">
        <v>1.80338863395693</v>
      </c>
      <c r="H474" s="5">
        <v>4.65065812877979</v>
      </c>
      <c r="I474" s="5">
        <v>17.8199052132701</v>
      </c>
    </row>
    <row r="475">
      <c r="A475" s="2" t="s">
        <v>500</v>
      </c>
      <c r="B475" s="8" t="str">
        <f>HYPERLINK("https://www.suredividend.com/sure-analysis-research-database/","Elme Communities")</f>
        <v>Elme Communities</v>
      </c>
      <c r="C475" s="5">
        <v>0.022602739726027</v>
      </c>
      <c r="D475" s="5">
        <v>0.171660414672045</v>
      </c>
      <c r="E475" s="5">
        <v>-0.053793697873095</v>
      </c>
      <c r="F475" s="5">
        <v>0.022602739726027</v>
      </c>
      <c r="G475" s="5">
        <v>-0.178718184268575</v>
      </c>
      <c r="H475" s="5">
        <v>-0.377872599309117</v>
      </c>
      <c r="I475" s="5">
        <v>-0.298191185318892</v>
      </c>
    </row>
    <row r="476">
      <c r="A476" s="2" t="s">
        <v>501</v>
      </c>
      <c r="B476" s="8" t="str">
        <f>HYPERLINK("https://www.suredividend.com/sure-analysis-research-database/","Embecta Corp")</f>
        <v>Embecta Corp</v>
      </c>
      <c r="C476" s="5">
        <v>-0.109350237717908</v>
      </c>
      <c r="D476" s="5">
        <v>0.152473785664483</v>
      </c>
      <c r="E476" s="5">
        <v>-0.187415054509701</v>
      </c>
      <c r="F476" s="5">
        <v>-0.109350237717908</v>
      </c>
      <c r="G476" s="5">
        <v>-0.362534737319696</v>
      </c>
      <c r="H476" s="5">
        <v>-0.421292720850967</v>
      </c>
      <c r="I476" s="5">
        <v>-0.421292720850967</v>
      </c>
    </row>
    <row r="477">
      <c r="A477" s="2" t="s">
        <v>502</v>
      </c>
      <c r="B477" s="8" t="str">
        <f>HYPERLINK("https://www.suredividend.com/sure-analysis-research-database/","Emcor Group, Inc.")</f>
        <v>Emcor Group, Inc.</v>
      </c>
      <c r="C477" s="5">
        <v>0.043554449682167</v>
      </c>
      <c r="D477" s="5">
        <v>0.094939432979012</v>
      </c>
      <c r="E477" s="5">
        <v>0.062264705033923</v>
      </c>
      <c r="F477" s="5">
        <v>0.043554449682167</v>
      </c>
      <c r="G477" s="5">
        <v>0.538282435037476</v>
      </c>
      <c r="H477" s="5">
        <v>0.921680176230297</v>
      </c>
      <c r="I477" s="5">
        <v>2.55269255283647</v>
      </c>
    </row>
    <row r="478">
      <c r="A478" s="2" t="s">
        <v>503</v>
      </c>
      <c r="B478" s="8" t="str">
        <f>HYPERLINK("https://www.suredividend.com/sure-analysis-research-database/","Enfusion Inc")</f>
        <v>Enfusion Inc</v>
      </c>
      <c r="C478" s="5">
        <v>-0.123711340206185</v>
      </c>
      <c r="D478" s="5">
        <v>0.03030303030303</v>
      </c>
      <c r="E478" s="5">
        <v>-0.211502782931354</v>
      </c>
      <c r="F478" s="5">
        <v>-0.123711340206185</v>
      </c>
      <c r="G478" s="5">
        <v>-0.277210884353741</v>
      </c>
      <c r="H478" s="5">
        <v>-0.289297658862876</v>
      </c>
      <c r="I478" s="5">
        <v>-0.570923775870772</v>
      </c>
    </row>
    <row r="479">
      <c r="A479" s="2" t="s">
        <v>504</v>
      </c>
      <c r="B479" s="8" t="str">
        <f>HYPERLINK("https://www.suredividend.com/sure-analysis-research-database/","Enochian Biosciences Inc")</f>
        <v>Enochian Biosciences Inc</v>
      </c>
      <c r="C479" s="5">
        <v>0.531728665207877</v>
      </c>
      <c r="D479" s="5">
        <v>-0.44</v>
      </c>
      <c r="E479" s="5">
        <v>-0.363636363636363</v>
      </c>
      <c r="F479" s="5">
        <v>-0.320388349514563</v>
      </c>
      <c r="G479" s="5">
        <v>-0.755244755244755</v>
      </c>
      <c r="H479" s="5">
        <v>-0.878682842287695</v>
      </c>
      <c r="I479" s="5">
        <v>-0.916666666666666</v>
      </c>
    </row>
    <row r="480">
      <c r="A480" s="2" t="s">
        <v>505</v>
      </c>
      <c r="B480" s="8" t="str">
        <f>HYPERLINK("https://www.suredividend.com/sure-analysis-research-database/","Energizer Holdings Inc")</f>
        <v>Energizer Holdings Inc</v>
      </c>
      <c r="C480" s="5">
        <v>0.039772727272727</v>
      </c>
      <c r="D480" s="5">
        <v>0.06532299273614</v>
      </c>
      <c r="E480" s="5">
        <v>-0.068312440602796</v>
      </c>
      <c r="F480" s="5">
        <v>0.039772727272727</v>
      </c>
      <c r="G480" s="5">
        <v>-0.06428429395222</v>
      </c>
      <c r="H480" s="5">
        <v>-0.058246348345927</v>
      </c>
      <c r="I480" s="5">
        <v>-0.159039558840424</v>
      </c>
    </row>
    <row r="481">
      <c r="A481" s="2" t="s">
        <v>506</v>
      </c>
      <c r="B481" s="8" t="str">
        <f>HYPERLINK("https://www.suredividend.com/sure-analysis-research-database/","Enersys")</f>
        <v>Enersys</v>
      </c>
      <c r="C481" s="5">
        <v>-0.027832805071315</v>
      </c>
      <c r="D481" s="5">
        <v>0.14620240895194</v>
      </c>
      <c r="E481" s="5">
        <v>-0.076410884707095</v>
      </c>
      <c r="F481" s="5">
        <v>-0.027832805071315</v>
      </c>
      <c r="G481" s="5">
        <v>0.234446787985808</v>
      </c>
      <c r="H481" s="5">
        <v>0.355741631420607</v>
      </c>
      <c r="I481" s="5">
        <v>0.221684368539169</v>
      </c>
    </row>
    <row r="482">
      <c r="A482" s="2" t="s">
        <v>507</v>
      </c>
      <c r="B482" s="8" t="str">
        <f>HYPERLINK("https://www.suredividend.com/sure-analysis-ENSG/","Ensign Group Inc")</f>
        <v>Ensign Group Inc</v>
      </c>
      <c r="C482" s="5">
        <v>0.038410123874877</v>
      </c>
      <c r="D482" s="5">
        <v>0.198791331911491</v>
      </c>
      <c r="E482" s="5">
        <v>0.255107085883061</v>
      </c>
      <c r="F482" s="5">
        <v>0.038410123874877</v>
      </c>
      <c r="G482" s="5">
        <v>0.28041423356461</v>
      </c>
      <c r="H482" s="5">
        <v>0.58556067504715</v>
      </c>
      <c r="I482" s="5">
        <v>2.02293664856675</v>
      </c>
    </row>
    <row r="483">
      <c r="A483" s="2" t="s">
        <v>508</v>
      </c>
      <c r="B483" s="8" t="str">
        <f>HYPERLINK("https://www.suredividend.com/sure-analysis-research-database/","Enanta Pharmaceuticals Inc")</f>
        <v>Enanta Pharmaceuticals Inc</v>
      </c>
      <c r="C483" s="5">
        <v>0.330499468650371</v>
      </c>
      <c r="D483" s="5">
        <v>0.49940119760479</v>
      </c>
      <c r="E483" s="5">
        <v>-0.321041214750542</v>
      </c>
      <c r="F483" s="5">
        <v>0.330499468650371</v>
      </c>
      <c r="G483" s="5">
        <v>-0.759323337178008</v>
      </c>
      <c r="H483" s="5">
        <v>-0.78671209540034</v>
      </c>
      <c r="I483" s="5">
        <v>-0.837339223073924</v>
      </c>
    </row>
    <row r="484">
      <c r="A484" s="2" t="s">
        <v>509</v>
      </c>
      <c r="B484" s="8" t="str">
        <f>HYPERLINK("https://www.suredividend.com/sure-analysis-research-database/","Envestnet Inc.")</f>
        <v>Envestnet Inc.</v>
      </c>
      <c r="C484" s="5">
        <v>0.090872374798061</v>
      </c>
      <c r="D484" s="5">
        <v>0.504316346421609</v>
      </c>
      <c r="E484" s="5">
        <v>-0.119478402607986</v>
      </c>
      <c r="F484" s="5">
        <v>0.090872374798061</v>
      </c>
      <c r="G484" s="5">
        <v>-0.185832705350414</v>
      </c>
      <c r="H484" s="5">
        <v>-0.243417366946778</v>
      </c>
      <c r="I484" s="5">
        <v>0.033480007652573</v>
      </c>
    </row>
    <row r="485">
      <c r="A485" s="2" t="s">
        <v>510</v>
      </c>
      <c r="B485" s="8" t="str">
        <f>HYPERLINK("https://www.suredividend.com/sure-analysis-research-database/","Enova International Inc.")</f>
        <v>Enova International Inc.</v>
      </c>
      <c r="C485" s="5">
        <v>0.065751445086705</v>
      </c>
      <c r="D485" s="5">
        <v>0.481295505900075</v>
      </c>
      <c r="E485" s="5">
        <v>0.077822433321154</v>
      </c>
      <c r="F485" s="5">
        <v>0.065751445086705</v>
      </c>
      <c r="G485" s="5">
        <v>0.331828442437923</v>
      </c>
      <c r="H485" s="5">
        <v>0.501272264631043</v>
      </c>
      <c r="I485" s="5">
        <v>1.58545135845749</v>
      </c>
    </row>
    <row r="486">
      <c r="A486" s="2" t="s">
        <v>511</v>
      </c>
      <c r="B486" s="8" t="str">
        <f>HYPERLINK("https://www.suredividend.com/sure-analysis-research-database/","Enovix Corporation")</f>
        <v>Enovix Corporation</v>
      </c>
      <c r="C486" s="5">
        <v>-0.200479233226837</v>
      </c>
      <c r="D486" s="5">
        <v>0.141391106043329</v>
      </c>
      <c r="E486" s="5">
        <v>-0.495209278870398</v>
      </c>
      <c r="F486" s="5">
        <v>-0.200479233226837</v>
      </c>
      <c r="G486" s="5">
        <v>0.229729729729729</v>
      </c>
      <c r="H486" s="5">
        <v>-0.325016857720836</v>
      </c>
      <c r="I486" s="5">
        <v>-0.202390438247012</v>
      </c>
    </row>
    <row r="487">
      <c r="A487" s="2" t="s">
        <v>512</v>
      </c>
      <c r="B487" s="8" t="str">
        <f>HYPERLINK("https://www.suredividend.com/sure-analysis-research-database/","Evolus Inc")</f>
        <v>Evolus Inc</v>
      </c>
      <c r="C487" s="5">
        <v>0.279202279202279</v>
      </c>
      <c r="D487" s="5">
        <v>0.747081712062256</v>
      </c>
      <c r="E487" s="5">
        <v>0.329713721618953</v>
      </c>
      <c r="F487" s="5">
        <v>0.279202279202279</v>
      </c>
      <c r="G487" s="5">
        <v>0.314146341463414</v>
      </c>
      <c r="H487" s="5">
        <v>0.91063829787234</v>
      </c>
      <c r="I487" s="5">
        <v>-0.107355864811133</v>
      </c>
    </row>
    <row r="488">
      <c r="A488" s="2" t="s">
        <v>513</v>
      </c>
      <c r="B488" s="8" t="str">
        <f>HYPERLINK("https://www.suredividend.com/sure-analysis-research-database/","Empire Petroleum Corporation")</f>
        <v>Empire Petroleum Corporation</v>
      </c>
      <c r="C488" s="5">
        <v>-0.364877161055504</v>
      </c>
      <c r="D488" s="5">
        <v>-0.129675810473815</v>
      </c>
      <c r="E488" s="5">
        <v>-0.223581757508342</v>
      </c>
      <c r="F488" s="5">
        <v>-0.364877161055504</v>
      </c>
      <c r="G488" s="5">
        <v>-0.473207547169811</v>
      </c>
      <c r="H488" s="5">
        <v>26.92</v>
      </c>
      <c r="I488" s="5">
        <v>26.92</v>
      </c>
    </row>
    <row r="489">
      <c r="A489" s="2" t="s">
        <v>514</v>
      </c>
      <c r="B489" s="8" t="str">
        <f>HYPERLINK("https://www.suredividend.com/sure-analysis-research-database/","Enerpac Tool Group Corp")</f>
        <v>Enerpac Tool Group Corp</v>
      </c>
      <c r="C489" s="5">
        <v>0.026375040205854</v>
      </c>
      <c r="D489" s="5">
        <v>0.122405909250791</v>
      </c>
      <c r="E489" s="5">
        <v>0.192415772323697</v>
      </c>
      <c r="F489" s="5">
        <v>0.026375040205854</v>
      </c>
      <c r="G489" s="5">
        <v>0.235758378449551</v>
      </c>
      <c r="H489" s="5">
        <v>0.836980237063134</v>
      </c>
      <c r="I489" s="5">
        <v>0.435828672477175</v>
      </c>
    </row>
    <row r="490">
      <c r="A490" s="2" t="s">
        <v>515</v>
      </c>
      <c r="B490" s="8" t="str">
        <f>HYPERLINK("https://www.suredividend.com/sure-analysis-research-database/","Edgewell Personal Care Co")</f>
        <v>Edgewell Personal Care Co</v>
      </c>
      <c r="C490" s="5">
        <v>0.045864045864045</v>
      </c>
      <c r="D490" s="5">
        <v>0.12197650614583</v>
      </c>
      <c r="E490" s="5">
        <v>-0.022905981162055</v>
      </c>
      <c r="F490" s="5">
        <v>0.045864045864045</v>
      </c>
      <c r="G490" s="5">
        <v>-0.054358933852024</v>
      </c>
      <c r="H490" s="5">
        <v>-0.166171506180255</v>
      </c>
      <c r="I490" s="5">
        <v>0.026664880075036</v>
      </c>
    </row>
    <row r="491">
      <c r="A491" s="2" t="s">
        <v>516</v>
      </c>
      <c r="B491" s="8" t="str">
        <f>HYPERLINK("https://www.suredividend.com/sure-analysis-EPRT/","Essential Properties Realty Trust Inc")</f>
        <v>Essential Properties Realty Trust Inc</v>
      </c>
      <c r="C491" s="5">
        <v>-0.019953051643192</v>
      </c>
      <c r="D491" s="5">
        <v>0.200322002549186</v>
      </c>
      <c r="E491" s="5">
        <v>0.047354645571842</v>
      </c>
      <c r="F491" s="5">
        <v>-0.019953051643192</v>
      </c>
      <c r="G491" s="5">
        <v>0.060941675737259</v>
      </c>
      <c r="H491" s="5">
        <v>0.06975393524252</v>
      </c>
      <c r="I491" s="5">
        <v>1.01861477094161</v>
      </c>
    </row>
    <row r="492">
      <c r="A492" s="2" t="s">
        <v>517</v>
      </c>
      <c r="B492" s="8" t="str">
        <f>HYPERLINK("https://www.suredividend.com/sure-analysis-research-database/","Equity Bancshares Inc")</f>
        <v>Equity Bancshares Inc</v>
      </c>
      <c r="C492" s="5">
        <v>0.01504424778761</v>
      </c>
      <c r="D492" s="5">
        <v>0.455731546349883</v>
      </c>
      <c r="E492" s="5">
        <v>0.265599311478665</v>
      </c>
      <c r="F492" s="5">
        <v>0.01504424778761</v>
      </c>
      <c r="G492" s="5">
        <v>0.213264460624438</v>
      </c>
      <c r="H492" s="5">
        <v>0.123804671578617</v>
      </c>
      <c r="I492" s="5">
        <v>0.104988343191845</v>
      </c>
    </row>
    <row r="493">
      <c r="A493" s="2" t="s">
        <v>518</v>
      </c>
      <c r="B493" s="8" t="str">
        <f>HYPERLINK("https://www.suredividend.com/sure-analysis-research-database/","Equity Commonwealth")</f>
        <v>Equity Commonwealth</v>
      </c>
      <c r="C493" s="5">
        <v>0.008333333333333</v>
      </c>
      <c r="D493" s="5">
        <v>0.038069705093833</v>
      </c>
      <c r="E493" s="5">
        <v>-0.031031031031031</v>
      </c>
      <c r="F493" s="5">
        <v>0.008333333333333</v>
      </c>
      <c r="G493" s="5">
        <v>-0.088821115252833</v>
      </c>
      <c r="H493" s="5">
        <v>-0.064485732924207</v>
      </c>
      <c r="I493" s="5">
        <v>-0.042058386937159</v>
      </c>
    </row>
    <row r="494">
      <c r="A494" s="2" t="s">
        <v>519</v>
      </c>
      <c r="B494" s="8" t="str">
        <f>HYPERLINK("https://www.suredividend.com/sure-analysis-research-database/","EQRx Inc")</f>
        <v>EQRx Inc</v>
      </c>
      <c r="C494" s="5">
        <v>0.0</v>
      </c>
      <c r="D494" s="5">
        <v>0.0</v>
      </c>
      <c r="E494" s="5">
        <v>0.0</v>
      </c>
      <c r="F494" s="5">
        <v>0.0</v>
      </c>
      <c r="G494" s="5">
        <v>0.0</v>
      </c>
      <c r="H494" s="5">
        <v>0.0</v>
      </c>
      <c r="I494" s="5">
        <v>0.0</v>
      </c>
    </row>
    <row r="495">
      <c r="A495" s="2" t="s">
        <v>520</v>
      </c>
      <c r="B495" s="8" t="str">
        <f>HYPERLINK("https://www.suredividend.com/sure-analysis-research-database/","Erasca Inc")</f>
        <v>Erasca Inc</v>
      </c>
      <c r="C495" s="5">
        <v>-0.150234741784037</v>
      </c>
      <c r="D495" s="5">
        <v>-0.090452261306532</v>
      </c>
      <c r="E495" s="5">
        <v>-0.303846153846153</v>
      </c>
      <c r="F495" s="5">
        <v>-0.150234741784037</v>
      </c>
      <c r="G495" s="5">
        <v>-0.551980198019802</v>
      </c>
      <c r="H495" s="5">
        <v>-0.839111111111111</v>
      </c>
      <c r="I495" s="5">
        <v>-0.896156052782558</v>
      </c>
    </row>
    <row r="496">
      <c r="A496" s="2" t="s">
        <v>521</v>
      </c>
      <c r="B496" s="8" t="str">
        <f>HYPERLINK("https://www.suredividend.com/sure-analysis-research-database/","Energy Recovery Inc")</f>
        <v>Energy Recovery Inc</v>
      </c>
      <c r="C496" s="5">
        <v>-0.137473460721868</v>
      </c>
      <c r="D496" s="5">
        <v>0.095013477088948</v>
      </c>
      <c r="E496" s="5">
        <v>-0.457066488473104</v>
      </c>
      <c r="F496" s="5">
        <v>-0.137473460721868</v>
      </c>
      <c r="G496" s="5">
        <v>-0.242777260018639</v>
      </c>
      <c r="H496" s="5">
        <v>-0.144286466561348</v>
      </c>
      <c r="I496" s="5">
        <v>1.16666666666666</v>
      </c>
    </row>
    <row r="497">
      <c r="A497" s="2" t="s">
        <v>522</v>
      </c>
      <c r="B497" s="8" t="str">
        <f>HYPERLINK("https://www.suredividend.com/sure-analysis-research-database/","Esco Technologies, Inc.")</f>
        <v>Esco Technologies, Inc.</v>
      </c>
      <c r="C497" s="5">
        <v>-0.102854499451468</v>
      </c>
      <c r="D497" s="5">
        <v>0.102634784281043</v>
      </c>
      <c r="E497" s="5">
        <v>0.058567261698772</v>
      </c>
      <c r="F497" s="5">
        <v>-0.102854499451468</v>
      </c>
      <c r="G497" s="5">
        <v>0.116892628423491</v>
      </c>
      <c r="H497" s="5">
        <v>0.348055906031817</v>
      </c>
      <c r="I497" s="5">
        <v>0.67533180894958</v>
      </c>
    </row>
    <row r="498">
      <c r="A498" s="2" t="s">
        <v>523</v>
      </c>
      <c r="B498" s="8" t="str">
        <f>HYPERLINK("https://www.suredividend.com/sure-analysis-research-database/","Enstar Group Limited")</f>
        <v>Enstar Group Limited</v>
      </c>
      <c r="C498" s="5">
        <v>-0.075930015287922</v>
      </c>
      <c r="D498" s="5">
        <v>0.164184215031672</v>
      </c>
      <c r="E498" s="5">
        <v>0.060139533070896</v>
      </c>
      <c r="F498" s="5">
        <v>-0.075930015287922</v>
      </c>
      <c r="G498" s="5">
        <v>0.138075313807531</v>
      </c>
      <c r="H498" s="5">
        <v>0.019108280254777</v>
      </c>
      <c r="I498" s="5">
        <v>0.542824730572887</v>
      </c>
    </row>
    <row r="499">
      <c r="A499" s="2" t="s">
        <v>524</v>
      </c>
      <c r="B499" s="8" t="str">
        <f>HYPERLINK("https://www.suredividend.com/sure-analysis-research-database/","Engagesmart Inc")</f>
        <v>Engagesmart Inc</v>
      </c>
      <c r="C499" s="5">
        <v>0.00743006993007</v>
      </c>
      <c r="D499" s="5">
        <v>0.018559434379142</v>
      </c>
      <c r="E499" s="5">
        <v>0.257501363884342</v>
      </c>
      <c r="F499" s="5">
        <v>0.006550218340611</v>
      </c>
      <c r="G499" s="5">
        <v>0.213157894736842</v>
      </c>
      <c r="H499" s="5">
        <v>0.163553760726905</v>
      </c>
      <c r="I499" s="5">
        <v>-0.324443141852285</v>
      </c>
    </row>
    <row r="500">
      <c r="A500" s="2" t="s">
        <v>525</v>
      </c>
      <c r="B500" s="8" t="str">
        <f>HYPERLINK("https://www.suredividend.com/sure-analysis-research-database/","Essent Group Ltd")</f>
        <v>Essent Group Ltd</v>
      </c>
      <c r="C500" s="5">
        <v>0.055176336746302</v>
      </c>
      <c r="D500" s="5">
        <v>0.215322895897165</v>
      </c>
      <c r="E500" s="5">
        <v>0.130259055781787</v>
      </c>
      <c r="F500" s="5">
        <v>0.055176336746302</v>
      </c>
      <c r="G500" s="5">
        <v>0.323852661027109</v>
      </c>
      <c r="H500" s="5">
        <v>0.302964390322709</v>
      </c>
      <c r="I500" s="5">
        <v>0.563869966952181</v>
      </c>
    </row>
    <row r="501">
      <c r="A501" s="2" t="s">
        <v>526</v>
      </c>
      <c r="B501" s="8" t="str">
        <f>HYPERLINK("https://www.suredividend.com/sure-analysis-research-database/","Esperion Therapeutics Inc.")</f>
        <v>Esperion Therapeutics Inc.</v>
      </c>
      <c r="C501" s="5">
        <v>-0.274247491638796</v>
      </c>
      <c r="D501" s="5">
        <v>1.80144590756519</v>
      </c>
      <c r="E501" s="5">
        <v>0.418300653594771</v>
      </c>
      <c r="F501" s="5">
        <v>-0.274247491638796</v>
      </c>
      <c r="G501" s="5">
        <v>-0.675149700598802</v>
      </c>
      <c r="H501" s="5">
        <v>-0.466830466830466</v>
      </c>
      <c r="I501" s="5">
        <v>-0.950916082334313</v>
      </c>
    </row>
    <row r="502">
      <c r="A502" s="2" t="s">
        <v>527</v>
      </c>
      <c r="B502" s="8" t="str">
        <f>HYPERLINK("https://www.suredividend.com/sure-analysis-research-database/","Esquire Financial Holdings Inc")</f>
        <v>Esquire Financial Holdings Inc</v>
      </c>
      <c r="C502" s="5">
        <v>0.085068054443554</v>
      </c>
      <c r="D502" s="5">
        <v>0.185431071808126</v>
      </c>
      <c r="E502" s="5">
        <v>0.085706961262232</v>
      </c>
      <c r="F502" s="5">
        <v>0.085068054443554</v>
      </c>
      <c r="G502" s="5">
        <v>0.251428373558641</v>
      </c>
      <c r="H502" s="5">
        <v>0.664880270508493</v>
      </c>
      <c r="I502" s="5">
        <v>1.6068515811341</v>
      </c>
    </row>
    <row r="503">
      <c r="A503" s="2" t="s">
        <v>528</v>
      </c>
      <c r="B503" s="8" t="str">
        <f>HYPERLINK("https://www.suredividend.com/sure-analysis-ESRT/","Empire State Realty Trust Inc")</f>
        <v>Empire State Realty Trust Inc</v>
      </c>
      <c r="C503" s="5">
        <v>0.052631578947368</v>
      </c>
      <c r="D503" s="5">
        <v>0.276404044448893</v>
      </c>
      <c r="E503" s="5">
        <v>0.162658155705003</v>
      </c>
      <c r="F503" s="5">
        <v>0.052631578947368</v>
      </c>
      <c r="G503" s="5">
        <v>0.305834005453777</v>
      </c>
      <c r="H503" s="5">
        <v>0.179436183252006</v>
      </c>
      <c r="I503" s="5">
        <v>-0.25961950249334</v>
      </c>
    </row>
    <row r="504">
      <c r="A504" s="2" t="s">
        <v>529</v>
      </c>
      <c r="B504" s="8" t="str">
        <f>HYPERLINK("https://www.suredividend.com/sure-analysis-research-database/","Earthstone Energy Inc")</f>
        <v>Earthstone Energy Inc</v>
      </c>
      <c r="C504" s="5">
        <v>0.04594861660079</v>
      </c>
      <c r="D504" s="5">
        <v>0.324780976220275</v>
      </c>
      <c r="E504" s="5">
        <v>0.561209439528023</v>
      </c>
      <c r="F504" s="5">
        <v>0.487702037947997</v>
      </c>
      <c r="G504" s="5">
        <v>0.310024752475247</v>
      </c>
      <c r="H504" s="5">
        <v>1.08571428571428</v>
      </c>
      <c r="I504" s="5">
        <v>1.57229647630619</v>
      </c>
    </row>
    <row r="505">
      <c r="A505" s="2" t="s">
        <v>530</v>
      </c>
      <c r="B505" s="8" t="str">
        <f>HYPERLINK("https://www.suredividend.com/sure-analysis-ETD/","Ethan Allen Interiors, Inc.")</f>
        <v>Ethan Allen Interiors, Inc.</v>
      </c>
      <c r="C505" s="5">
        <v>-0.035401002506265</v>
      </c>
      <c r="D505" s="5">
        <v>0.204282065623398</v>
      </c>
      <c r="E505" s="5">
        <v>0.014196778550018</v>
      </c>
      <c r="F505" s="5">
        <v>-0.035401002506265</v>
      </c>
      <c r="G505" s="5">
        <v>0.19644834754901</v>
      </c>
      <c r="H505" s="5">
        <v>0.395650321375796</v>
      </c>
      <c r="I505" s="5">
        <v>0.955094421091398</v>
      </c>
    </row>
    <row r="506">
      <c r="A506" s="2" t="s">
        <v>531</v>
      </c>
      <c r="B506" s="8" t="str">
        <f>HYPERLINK("https://www.suredividend.com/sure-analysis-research-database/","Equitrans Midstream Corporation")</f>
        <v>Equitrans Midstream Corporation</v>
      </c>
      <c r="C506" s="5">
        <v>0.031434184675835</v>
      </c>
      <c r="D506" s="5">
        <v>0.217857267128292</v>
      </c>
      <c r="E506" s="5">
        <v>0.050063003780226</v>
      </c>
      <c r="F506" s="5">
        <v>0.031434184675835</v>
      </c>
      <c r="G506" s="5">
        <v>0.57942238267148</v>
      </c>
      <c r="H506" s="5">
        <v>0.509141083132114</v>
      </c>
      <c r="I506" s="5">
        <v>-0.204093234792495</v>
      </c>
    </row>
    <row r="507">
      <c r="A507" s="2" t="s">
        <v>532</v>
      </c>
      <c r="B507" s="8" t="str">
        <f>HYPERLINK("https://www.suredividend.com/sure-analysis-research-database/","E2open Parent Holdings Inc")</f>
        <v>E2open Parent Holdings Inc</v>
      </c>
      <c r="C507" s="5">
        <v>-0.084282460136674</v>
      </c>
      <c r="D507" s="5">
        <v>0.381443298969071</v>
      </c>
      <c r="E507" s="5">
        <v>-0.197604790419161</v>
      </c>
      <c r="F507" s="5">
        <v>-0.084282460136674</v>
      </c>
      <c r="G507" s="5">
        <v>-0.405325443786982</v>
      </c>
      <c r="H507" s="5">
        <v>-0.541095890410959</v>
      </c>
      <c r="I507" s="5">
        <v>-0.593939393939394</v>
      </c>
    </row>
    <row r="508">
      <c r="A508" s="2" t="s">
        <v>533</v>
      </c>
      <c r="B508" s="8" t="str">
        <f>HYPERLINK("https://www.suredividend.com/sure-analysis-research-database/","Everbridge Inc")</f>
        <v>Everbridge Inc</v>
      </c>
      <c r="C508" s="5">
        <v>-0.056766762649115</v>
      </c>
      <c r="D508" s="5">
        <v>0.168705402650356</v>
      </c>
      <c r="E508" s="5">
        <v>-0.234390651085141</v>
      </c>
      <c r="F508" s="5">
        <v>-0.056766762649115</v>
      </c>
      <c r="G508" s="5">
        <v>-0.297272448666871</v>
      </c>
      <c r="H508" s="5">
        <v>-0.51171209540034</v>
      </c>
      <c r="I508" s="5">
        <v>-0.612538019601216</v>
      </c>
    </row>
    <row r="509">
      <c r="A509" s="2" t="s">
        <v>534</v>
      </c>
      <c r="B509" s="8" t="str">
        <f>HYPERLINK("https://www.suredividend.com/sure-analysis-research-database/","Entravision Communications Corp.")</f>
        <v>Entravision Communications Corp.</v>
      </c>
      <c r="C509" s="5">
        <v>0.040767386091127</v>
      </c>
      <c r="D509" s="5">
        <v>0.295522388059701</v>
      </c>
      <c r="E509" s="5">
        <v>-0.070464767616191</v>
      </c>
      <c r="F509" s="5">
        <v>0.040767386091127</v>
      </c>
      <c r="G509" s="5">
        <v>-0.278506475155021</v>
      </c>
      <c r="H509" s="5">
        <v>-0.200972089255468</v>
      </c>
      <c r="I509" s="5">
        <v>0.406852734286362</v>
      </c>
    </row>
    <row r="510">
      <c r="A510" s="2" t="s">
        <v>535</v>
      </c>
      <c r="B510" s="8" t="str">
        <f>HYPERLINK("https://www.suredividend.com/sure-analysis-research-database/","EverCommerce Inc")</f>
        <v>EverCommerce Inc</v>
      </c>
      <c r="C510" s="5">
        <v>-0.062556663644605</v>
      </c>
      <c r="D510" s="5">
        <v>0.073727933541017</v>
      </c>
      <c r="E510" s="5">
        <v>-0.100087032201914</v>
      </c>
      <c r="F510" s="5">
        <v>-0.062556663644605</v>
      </c>
      <c r="G510" s="5">
        <v>-0.014299332697807</v>
      </c>
      <c r="H510" s="5">
        <v>-0.100087032201914</v>
      </c>
      <c r="I510" s="5">
        <v>-0.4125</v>
      </c>
    </row>
    <row r="511">
      <c r="A511" s="2" t="s">
        <v>536</v>
      </c>
      <c r="B511" s="8" t="str">
        <f>HYPERLINK("https://www.suredividend.com/sure-analysis-research-database/","EverQuote Inc")</f>
        <v>EverQuote Inc</v>
      </c>
      <c r="C511" s="5">
        <v>0.080065359477124</v>
      </c>
      <c r="D511" s="5">
        <v>0.970193740685544</v>
      </c>
      <c r="E511" s="5">
        <v>0.927113702623906</v>
      </c>
      <c r="F511" s="5">
        <v>0.080065359477124</v>
      </c>
      <c r="G511" s="5">
        <v>-0.184454040715607</v>
      </c>
      <c r="H511" s="5">
        <v>-0.151476251604621</v>
      </c>
      <c r="I511" s="5">
        <v>1.46641791044776</v>
      </c>
    </row>
    <row r="512">
      <c r="A512" s="2" t="s">
        <v>537</v>
      </c>
      <c r="B512" s="8" t="str">
        <f>HYPERLINK("https://www.suredividend.com/sure-analysis-research-database/","EVgo Inc")</f>
        <v>EVgo Inc</v>
      </c>
      <c r="C512" s="5">
        <v>-0.282122905027933</v>
      </c>
      <c r="D512" s="5">
        <v>0.173515981735159</v>
      </c>
      <c r="E512" s="5">
        <v>-0.390995260663507</v>
      </c>
      <c r="F512" s="5">
        <v>-0.282122905027933</v>
      </c>
      <c r="G512" s="5">
        <v>-0.590111642743221</v>
      </c>
      <c r="H512" s="5">
        <v>-0.655495978552278</v>
      </c>
      <c r="I512" s="5">
        <v>-0.738059807978474</v>
      </c>
    </row>
    <row r="513">
      <c r="A513" s="2" t="s">
        <v>538</v>
      </c>
      <c r="B513" s="8" t="str">
        <f>HYPERLINK("https://www.suredividend.com/sure-analysis-research-database/","Evolent Health Inc")</f>
        <v>Evolent Health Inc</v>
      </c>
      <c r="C513" s="5">
        <v>-0.077505298213745</v>
      </c>
      <c r="D513" s="5">
        <v>0.270642201834862</v>
      </c>
      <c r="E513" s="5">
        <v>0.029044241810199</v>
      </c>
      <c r="F513" s="5">
        <v>-0.077505298213745</v>
      </c>
      <c r="G513" s="5">
        <v>-0.025583626479053</v>
      </c>
      <c r="H513" s="5">
        <v>0.308848797250858</v>
      </c>
      <c r="I513" s="5">
        <v>0.79976373301831</v>
      </c>
    </row>
    <row r="514">
      <c r="A514" s="2" t="s">
        <v>539</v>
      </c>
      <c r="B514" s="8" t="str">
        <f>HYPERLINK("https://www.suredividend.com/sure-analysis-research-database/","Evolv Technologies Holdings Inc")</f>
        <v>Evolv Technologies Holdings Inc</v>
      </c>
      <c r="C514" s="5">
        <v>0.006355932203389</v>
      </c>
      <c r="D514" s="5">
        <v>0.233766233766233</v>
      </c>
      <c r="E514" s="5">
        <v>-0.225122349102773</v>
      </c>
      <c r="F514" s="5">
        <v>0.006355932203389</v>
      </c>
      <c r="G514" s="5">
        <v>0.583333333333333</v>
      </c>
      <c r="H514" s="5">
        <v>0.599326599326599</v>
      </c>
      <c r="I514" s="5">
        <v>-0.511819116135662</v>
      </c>
    </row>
    <row r="515">
      <c r="A515" s="2" t="s">
        <v>540</v>
      </c>
      <c r="B515" s="8" t="str">
        <f>HYPERLINK("https://www.suredividend.com/sure-analysis-research-database/","Everi Holdings Inc")</f>
        <v>Everi Holdings Inc</v>
      </c>
      <c r="C515" s="5">
        <v>-0.031943212067435</v>
      </c>
      <c r="D515" s="5">
        <v>0.013940520446096</v>
      </c>
      <c r="E515" s="5">
        <v>-0.264824797843665</v>
      </c>
      <c r="F515" s="5">
        <v>-0.031943212067435</v>
      </c>
      <c r="G515" s="5">
        <v>-0.360867018160515</v>
      </c>
      <c r="H515" s="5">
        <v>-0.44137224782386</v>
      </c>
      <c r="I515" s="5">
        <v>0.640601503759398</v>
      </c>
    </row>
    <row r="516">
      <c r="A516" s="2" t="s">
        <v>541</v>
      </c>
      <c r="B516" s="8" t="str">
        <f>HYPERLINK("https://www.suredividend.com/sure-analysis-research-database/","Evertec Inc")</f>
        <v>Evertec Inc</v>
      </c>
      <c r="C516" s="5">
        <v>0.006106497313141</v>
      </c>
      <c r="D516" s="5">
        <v>0.250835104767688</v>
      </c>
      <c r="E516" s="5">
        <v>0.046688029029774</v>
      </c>
      <c r="F516" s="5">
        <v>0.006106497313141</v>
      </c>
      <c r="G516" s="5">
        <v>0.13787359354238</v>
      </c>
      <c r="H516" s="5">
        <v>-0.018799786560963</v>
      </c>
      <c r="I516" s="5">
        <v>0.554732706004914</v>
      </c>
    </row>
    <row r="517">
      <c r="A517" s="2" t="s">
        <v>542</v>
      </c>
      <c r="B517" s="8" t="str">
        <f>HYPERLINK("https://www.suredividend.com/sure-analysis-research-database/","European Wax Center Inc")</f>
        <v>European Wax Center Inc</v>
      </c>
      <c r="C517" s="5">
        <v>0.137601177336276</v>
      </c>
      <c r="D517" s="5">
        <v>0.064005505849965</v>
      </c>
      <c r="E517" s="5">
        <v>-0.197716658017643</v>
      </c>
      <c r="F517" s="5">
        <v>0.137601177336276</v>
      </c>
      <c r="G517" s="5">
        <v>-0.153340635268346</v>
      </c>
      <c r="H517" s="5">
        <v>-0.259120816979839</v>
      </c>
      <c r="I517" s="5">
        <v>-0.191925527522096</v>
      </c>
    </row>
    <row r="518">
      <c r="A518" s="2" t="s">
        <v>543</v>
      </c>
      <c r="B518" s="8" t="str">
        <f>HYPERLINK("https://www.suredividend.com/sure-analysis-research-database/","Edgewise Therapeutics Inc")</f>
        <v>Edgewise Therapeutics Inc</v>
      </c>
      <c r="C518" s="5">
        <v>0.603290676416819</v>
      </c>
      <c r="D518" s="5">
        <v>1.8064</v>
      </c>
      <c r="E518" s="5">
        <v>1.49857549857549</v>
      </c>
      <c r="F518" s="5">
        <v>0.603290676416819</v>
      </c>
      <c r="G518" s="5">
        <v>0.6076993583868</v>
      </c>
      <c r="H518" s="5">
        <v>0.392063492063492</v>
      </c>
      <c r="I518" s="5">
        <v>-0.415333333333333</v>
      </c>
    </row>
    <row r="519">
      <c r="A519" s="2" t="s">
        <v>544</v>
      </c>
      <c r="B519" s="8" t="str">
        <f>HYPERLINK("https://www.suredividend.com/sure-analysis-research-database/","ExlService Holdings Inc")</f>
        <v>ExlService Holdings Inc</v>
      </c>
      <c r="C519" s="5">
        <v>0.056077795786061</v>
      </c>
      <c r="D519" s="5">
        <v>0.270670826833073</v>
      </c>
      <c r="E519" s="5">
        <v>0.142115964383369</v>
      </c>
      <c r="F519" s="5">
        <v>0.056077795786061</v>
      </c>
      <c r="G519" s="5">
        <v>-0.041821069348861</v>
      </c>
      <c r="H519" s="5">
        <v>0.379456346854094</v>
      </c>
      <c r="I519" s="5">
        <v>1.91048776130069</v>
      </c>
    </row>
    <row r="520">
      <c r="A520" s="2" t="s">
        <v>545</v>
      </c>
      <c r="B520" s="8" t="str">
        <f>HYPERLINK("https://www.suredividend.com/sure-analysis-research-database/","eXp World Holdings Inc")</f>
        <v>eXp World Holdings Inc</v>
      </c>
      <c r="C520" s="5">
        <v>-0.144974226804123</v>
      </c>
      <c r="D520" s="5">
        <v>-0.071820267472441</v>
      </c>
      <c r="E520" s="5">
        <v>-0.447858631837794</v>
      </c>
      <c r="F520" s="5">
        <v>-0.144974226804123</v>
      </c>
      <c r="G520" s="5">
        <v>-0.198444002826889</v>
      </c>
      <c r="H520" s="5">
        <v>-0.450155588979908</v>
      </c>
      <c r="I520" s="5">
        <v>1.61035486662994</v>
      </c>
    </row>
    <row r="521">
      <c r="A521" s="2" t="s">
        <v>546</v>
      </c>
      <c r="B521" s="8" t="str">
        <f>HYPERLINK("https://www.suredividend.com/sure-analysis-EXPO/","Exponent Inc.")</f>
        <v>Exponent Inc.</v>
      </c>
      <c r="C521" s="5">
        <v>0.028282598818718</v>
      </c>
      <c r="D521" s="5">
        <v>0.252658422616206</v>
      </c>
      <c r="E521" s="5">
        <v>0.028810793365062</v>
      </c>
      <c r="F521" s="5">
        <v>0.028282598818718</v>
      </c>
      <c r="G521" s="5">
        <v>-0.089406721270746</v>
      </c>
      <c r="H521" s="5">
        <v>-0.005798502053636</v>
      </c>
      <c r="I521" s="5">
        <v>0.959095522407439</v>
      </c>
    </row>
    <row r="522">
      <c r="A522" s="2" t="s">
        <v>547</v>
      </c>
      <c r="B522" s="8" t="str">
        <f>HYPERLINK("https://www.suredividend.com/sure-analysis-research-database/","Express Inc.")</f>
        <v>Express Inc.</v>
      </c>
      <c r="C522" s="5">
        <v>-0.146953405017921</v>
      </c>
      <c r="D522" s="5">
        <v>-0.173611111111111</v>
      </c>
      <c r="E522" s="5">
        <v>-0.53551912568306</v>
      </c>
      <c r="F522" s="5">
        <v>-0.146953405017921</v>
      </c>
      <c r="G522" s="5">
        <v>-0.684070796460177</v>
      </c>
      <c r="H522" s="5">
        <v>-0.876896551724137</v>
      </c>
      <c r="I522" s="5">
        <v>-0.934011090573012</v>
      </c>
    </row>
    <row r="523">
      <c r="A523" s="2" t="s">
        <v>548</v>
      </c>
      <c r="B523" s="8" t="str">
        <f>HYPERLINK("https://www.suredividend.com/sure-analysis-research-database/","Extreme Networks Inc.")</f>
        <v>Extreme Networks Inc.</v>
      </c>
      <c r="C523" s="5">
        <v>-0.032312925170068</v>
      </c>
      <c r="D523" s="5">
        <v>-0.168938656280428</v>
      </c>
      <c r="E523" s="5">
        <v>-0.373348017621145</v>
      </c>
      <c r="F523" s="5">
        <v>-0.032312925170068</v>
      </c>
      <c r="G523" s="5">
        <v>-0.025128498001142</v>
      </c>
      <c r="H523" s="5">
        <v>0.414250207125103</v>
      </c>
      <c r="I523" s="5">
        <v>1.46320346320346</v>
      </c>
    </row>
    <row r="524">
      <c r="A524" s="2" t="s">
        <v>549</v>
      </c>
      <c r="B524" s="8" t="str">
        <f>HYPERLINK("https://www.suredividend.com/sure-analysis-research-database/","National Vision Holdings Inc")</f>
        <v>National Vision Holdings Inc</v>
      </c>
      <c r="C524" s="5">
        <v>-0.061634018155757</v>
      </c>
      <c r="D524" s="5">
        <v>0.257362355953905</v>
      </c>
      <c r="E524" s="5">
        <v>-0.051207729468598</v>
      </c>
      <c r="F524" s="5">
        <v>-0.061634018155757</v>
      </c>
      <c r="G524" s="5">
        <v>-0.513500123854347</v>
      </c>
      <c r="H524" s="5">
        <v>-0.495504752119188</v>
      </c>
      <c r="I524" s="5">
        <v>-0.378284267173156</v>
      </c>
    </row>
    <row r="525">
      <c r="A525" s="2" t="s">
        <v>550</v>
      </c>
      <c r="B525" s="8" t="str">
        <f>HYPERLINK("https://www.suredividend.com/sure-analysis-research-database/","EyePoint Pharmaceuticals Inc")</f>
        <v>EyePoint Pharmaceuticals Inc</v>
      </c>
      <c r="C525" s="5">
        <v>0.155776720034617</v>
      </c>
      <c r="D525" s="5">
        <v>3.52711864406779</v>
      </c>
      <c r="E525" s="5">
        <v>1.25591216216216</v>
      </c>
      <c r="F525" s="5">
        <v>0.155776720034617</v>
      </c>
      <c r="G525" s="5">
        <v>4.64693446088794</v>
      </c>
      <c r="H525" s="5">
        <v>2.07718894009216</v>
      </c>
      <c r="I525" s="5">
        <v>0.214090909090909</v>
      </c>
    </row>
    <row r="526">
      <c r="A526" s="2" t="s">
        <v>551</v>
      </c>
      <c r="B526" s="8" t="str">
        <f>HYPERLINK("https://www.suredividend.com/sure-analysis-research-database/","EZCorp, Inc.")</f>
        <v>EZCorp, Inc.</v>
      </c>
      <c r="C526" s="5">
        <v>0.004576659038901</v>
      </c>
      <c r="D526" s="5">
        <v>0.094763092269326</v>
      </c>
      <c r="E526" s="5">
        <v>-0.031973539140022</v>
      </c>
      <c r="F526" s="5">
        <v>0.004576659038901</v>
      </c>
      <c r="G526" s="5">
        <v>-0.028761061946902</v>
      </c>
      <c r="H526" s="5">
        <v>0.478114478114477</v>
      </c>
      <c r="I526" s="5">
        <v>-0.035164835164835</v>
      </c>
    </row>
    <row r="527">
      <c r="A527" s="2" t="s">
        <v>552</v>
      </c>
      <c r="B527" s="8" t="str">
        <f>HYPERLINK("https://www.suredividend.com/sure-analysis-research-database/","First Advantage Corp.")</f>
        <v>First Advantage Corp.</v>
      </c>
      <c r="C527" s="5">
        <v>0.006638503319251</v>
      </c>
      <c r="D527" s="5">
        <v>0.300077942322681</v>
      </c>
      <c r="E527" s="5">
        <v>0.225749559082892</v>
      </c>
      <c r="F527" s="5">
        <v>0.006638503319251</v>
      </c>
      <c r="G527" s="5">
        <v>0.351898980402327</v>
      </c>
      <c r="H527" s="5">
        <v>0.131399734107496</v>
      </c>
      <c r="I527" s="5">
        <v>-0.059842066994707</v>
      </c>
    </row>
    <row r="528">
      <c r="A528" s="2" t="s">
        <v>553</v>
      </c>
      <c r="B528" s="8" t="str">
        <f>HYPERLINK("https://www.suredividend.com/sure-analysis-research-database/","Faro Technologies Inc.")</f>
        <v>Faro Technologies Inc.</v>
      </c>
      <c r="C528" s="5">
        <v>0.050599201065246</v>
      </c>
      <c r="D528" s="5">
        <v>0.868192580899763</v>
      </c>
      <c r="E528" s="5">
        <v>0.472014925373134</v>
      </c>
      <c r="F528" s="5">
        <v>0.050599201065246</v>
      </c>
      <c r="G528" s="5">
        <v>-0.134868421052631</v>
      </c>
      <c r="H528" s="5">
        <v>-0.540299087201398</v>
      </c>
      <c r="I528" s="5">
        <v>-0.413091991073642</v>
      </c>
    </row>
    <row r="529">
      <c r="A529" s="2" t="s">
        <v>554</v>
      </c>
      <c r="B529" s="8" t="str">
        <f>HYPERLINK("https://www.suredividend.com/sure-analysis-research-database/","Fate Therapeutics Inc")</f>
        <v>Fate Therapeutics Inc</v>
      </c>
      <c r="C529" s="5">
        <v>0.529411764705882</v>
      </c>
      <c r="D529" s="5">
        <v>2.46666666666666</v>
      </c>
      <c r="E529" s="5">
        <v>0.358669833729216</v>
      </c>
      <c r="F529" s="5">
        <v>0.529411764705882</v>
      </c>
      <c r="G529" s="5">
        <v>-0.033783783783783</v>
      </c>
      <c r="H529" s="5">
        <v>-0.843843843843843</v>
      </c>
      <c r="I529" s="5">
        <v>-0.6016713091922</v>
      </c>
    </row>
    <row r="530">
      <c r="A530" s="2" t="s">
        <v>555</v>
      </c>
      <c r="B530" s="8" t="str">
        <f>HYPERLINK("https://www.suredividend.com/sure-analysis-research-database/","First Business Financial Services Inc")</f>
        <v>First Business Financial Services Inc</v>
      </c>
      <c r="C530" s="5">
        <v>-0.03291770573566</v>
      </c>
      <c r="D530" s="5">
        <v>0.32927945375458</v>
      </c>
      <c r="E530" s="5">
        <v>0.16856505755439</v>
      </c>
      <c r="F530" s="5">
        <v>-0.03291770573566</v>
      </c>
      <c r="G530" s="5">
        <v>0.185001390344591</v>
      </c>
      <c r="H530" s="5">
        <v>0.267759419929779</v>
      </c>
      <c r="I530" s="5">
        <v>1.22580626646539</v>
      </c>
    </row>
    <row r="531">
      <c r="A531" s="2" t="s">
        <v>556</v>
      </c>
      <c r="B531" s="8" t="str">
        <f>HYPERLINK("https://www.suredividend.com/sure-analysis-research-database/","FB Financial Corp")</f>
        <v>FB Financial Corp</v>
      </c>
      <c r="C531" s="5">
        <v>-0.011794228356336</v>
      </c>
      <c r="D531" s="5">
        <v>0.36977724597554</v>
      </c>
      <c r="E531" s="5">
        <v>0.140794558485275</v>
      </c>
      <c r="F531" s="5">
        <v>-0.011794228356336</v>
      </c>
      <c r="G531" s="5">
        <v>0.089202293465062</v>
      </c>
      <c r="H531" s="5">
        <v>-0.076122529894638</v>
      </c>
      <c r="I531" s="5">
        <v>0.216475865094124</v>
      </c>
    </row>
    <row r="532">
      <c r="A532" s="2" t="s">
        <v>557</v>
      </c>
      <c r="B532" s="8" t="str">
        <f>HYPERLINK("https://www.suredividend.com/sure-analysis-research-database/","First Bancshares Inc Miss")</f>
        <v>First Bancshares Inc Miss</v>
      </c>
      <c r="C532" s="5">
        <v>-0.093419706784861</v>
      </c>
      <c r="D532" s="5">
        <v>0.136567642658687</v>
      </c>
      <c r="E532" s="5">
        <v>-0.106938940014778</v>
      </c>
      <c r="F532" s="5">
        <v>-0.093419706784861</v>
      </c>
      <c r="G532" s="5">
        <v>-0.051183968256233</v>
      </c>
      <c r="H532" s="5">
        <v>-0.199286916667419</v>
      </c>
      <c r="I532" s="5">
        <v>-0.053275084293766</v>
      </c>
    </row>
    <row r="533">
      <c r="A533" s="2" t="s">
        <v>558</v>
      </c>
      <c r="B533" s="8" t="str">
        <f>HYPERLINK("https://www.suredividend.com/sure-analysis-research-database/","First Bancorp")</f>
        <v>First Bancorp</v>
      </c>
      <c r="C533" s="5">
        <v>-0.015401242907322</v>
      </c>
      <c r="D533" s="5">
        <v>0.321755279403976</v>
      </c>
      <c r="E533" s="5">
        <v>0.090175852186035</v>
      </c>
      <c r="F533" s="5">
        <v>-0.015401242907322</v>
      </c>
      <c r="G533" s="5">
        <v>-0.004716942481707</v>
      </c>
      <c r="H533" s="5">
        <v>-0.095132737869092</v>
      </c>
      <c r="I533" s="5">
        <v>0.103784186564971</v>
      </c>
    </row>
    <row r="534">
      <c r="A534" s="2" t="s">
        <v>559</v>
      </c>
      <c r="B534" s="8" t="str">
        <f>HYPERLINK("https://www.suredividend.com/sure-analysis-research-database/","First Bancorp PR")</f>
        <v>First Bancorp PR</v>
      </c>
      <c r="C534" s="5">
        <v>0.056534954407294</v>
      </c>
      <c r="D534" s="5">
        <v>0.33416238706062</v>
      </c>
      <c r="E534" s="5">
        <v>0.205078246881565</v>
      </c>
      <c r="F534" s="5">
        <v>0.056534954407294</v>
      </c>
      <c r="G534" s="5">
        <v>0.347015330243516</v>
      </c>
      <c r="H534" s="5">
        <v>0.288008478030488</v>
      </c>
      <c r="I534" s="5">
        <v>0.926658389499822</v>
      </c>
    </row>
    <row r="535">
      <c r="A535" s="2" t="s">
        <v>560</v>
      </c>
      <c r="B535" s="8" t="str">
        <f>HYPERLINK("https://www.suredividend.com/sure-analysis-research-database/","Franklin BSP Realty Trust Inc.")</f>
        <v>Franklin BSP Realty Trust Inc.</v>
      </c>
      <c r="C535" s="5">
        <v>-0.004441154700222</v>
      </c>
      <c r="D535" s="5">
        <v>0.130309091214682</v>
      </c>
      <c r="E535" s="5">
        <v>-0.00646352723915</v>
      </c>
      <c r="F535" s="5">
        <v>-0.004441154700222</v>
      </c>
      <c r="G535" s="5">
        <v>0.051257601100498</v>
      </c>
      <c r="H535" s="5">
        <v>0.231064939819687</v>
      </c>
      <c r="I535" s="5">
        <v>0.006111472662941</v>
      </c>
    </row>
    <row r="536">
      <c r="A536" s="2" t="s">
        <v>561</v>
      </c>
      <c r="B536" s="8" t="str">
        <f>HYPERLINK("https://www.suredividend.com/sure-analysis-research-database/","Franklin Covey Co.")</f>
        <v>Franklin Covey Co.</v>
      </c>
      <c r="C536" s="5">
        <v>-0.014932230645531</v>
      </c>
      <c r="D536" s="5">
        <v>0.13770230830459</v>
      </c>
      <c r="E536" s="5">
        <v>-0.07705553164012</v>
      </c>
      <c r="F536" s="5">
        <v>-0.014932230645531</v>
      </c>
      <c r="G536" s="5">
        <v>-0.047111111111111</v>
      </c>
      <c r="H536" s="5">
        <v>-0.042001787310098</v>
      </c>
      <c r="I536" s="5">
        <v>0.777777777777777</v>
      </c>
    </row>
    <row r="537">
      <c r="A537" s="2" t="s">
        <v>562</v>
      </c>
      <c r="B537" s="8" t="str">
        <f>HYPERLINK("https://www.suredividend.com/sure-analysis-research-database/","First Community Bankshares Inc.")</f>
        <v>First Community Bankshares Inc.</v>
      </c>
      <c r="C537" s="5">
        <v>-0.018598382749326</v>
      </c>
      <c r="D537" s="5">
        <v>0.159554140127388</v>
      </c>
      <c r="E537" s="5">
        <v>0.115270103042258</v>
      </c>
      <c r="F537" s="5">
        <v>-0.018598382749326</v>
      </c>
      <c r="G537" s="5">
        <v>0.197843158542322</v>
      </c>
      <c r="H537" s="5">
        <v>0.246358654165425</v>
      </c>
      <c r="I537" s="5">
        <v>0.297132841223244</v>
      </c>
    </row>
    <row r="538">
      <c r="A538" s="2" t="s">
        <v>563</v>
      </c>
      <c r="B538" s="8" t="str">
        <f>HYPERLINK("https://www.suredividend.com/sure-analysis-research-database/","Fuelcell Energy Inc")</f>
        <v>Fuelcell Energy Inc</v>
      </c>
      <c r="C538" s="5">
        <v>-0.2125</v>
      </c>
      <c r="D538" s="5">
        <v>0.211538461538461</v>
      </c>
      <c r="E538" s="5">
        <v>-0.413953488372093</v>
      </c>
      <c r="F538" s="5">
        <v>-0.2125</v>
      </c>
      <c r="G538" s="5">
        <v>-0.65</v>
      </c>
      <c r="H538" s="5">
        <v>-0.657608695652174</v>
      </c>
      <c r="I538" s="5">
        <v>-0.798657718120805</v>
      </c>
    </row>
    <row r="539">
      <c r="A539" s="2" t="s">
        <v>564</v>
      </c>
      <c r="B539" s="8" t="str">
        <f>HYPERLINK("https://www.suredividend.com/sure-analysis-research-database/","First Commonwealth Financial Corp.")</f>
        <v>First Commonwealth Financial Corp.</v>
      </c>
      <c r="C539" s="5">
        <v>-0.025259067357512</v>
      </c>
      <c r="D539" s="5">
        <v>0.268147998348458</v>
      </c>
      <c r="E539" s="5">
        <v>0.057208688077776</v>
      </c>
      <c r="F539" s="5">
        <v>-0.025259067357512</v>
      </c>
      <c r="G539" s="5">
        <v>0.109906561354602</v>
      </c>
      <c r="H539" s="5">
        <v>-0.025435801797601</v>
      </c>
      <c r="I539" s="5">
        <v>0.334160719826248</v>
      </c>
    </row>
    <row r="540">
      <c r="A540" s="2" t="s">
        <v>565</v>
      </c>
      <c r="B540" s="8" t="str">
        <f>HYPERLINK("https://www.suredividend.com/sure-analysis-research-database/","FirstCash Holdings Inc")</f>
        <v>FirstCash Holdings Inc</v>
      </c>
      <c r="C540" s="5">
        <v>0.075191438324568</v>
      </c>
      <c r="D540" s="5">
        <v>0.095213258339324</v>
      </c>
      <c r="E540" s="5">
        <v>0.238289430763002</v>
      </c>
      <c r="F540" s="5">
        <v>0.075191438324568</v>
      </c>
      <c r="G540" s="5">
        <v>0.314275919000726</v>
      </c>
      <c r="H540" s="5">
        <v>0.76619912553896</v>
      </c>
      <c r="I540" s="5">
        <v>0.850846014820744</v>
      </c>
    </row>
    <row r="541">
      <c r="A541" s="2" t="s">
        <v>566</v>
      </c>
      <c r="B541" s="8" t="str">
        <f>HYPERLINK("https://www.suredividend.com/sure-analysis-FCPT/","Four Corners Property Trust Inc")</f>
        <v>Four Corners Property Trust Inc</v>
      </c>
      <c r="C541" s="5">
        <v>-0.052173913043478</v>
      </c>
      <c r="D541" s="5">
        <v>0.17934039560526</v>
      </c>
      <c r="E541" s="5">
        <v>-0.057441807447703</v>
      </c>
      <c r="F541" s="5">
        <v>-0.052173913043478</v>
      </c>
      <c r="G541" s="5">
        <v>-0.112427130563523</v>
      </c>
      <c r="H541" s="5">
        <v>-0.011830832691174</v>
      </c>
      <c r="I541" s="5">
        <v>0.10752405100707</v>
      </c>
    </row>
    <row r="542">
      <c r="A542" s="2" t="s">
        <v>567</v>
      </c>
      <c r="B542" s="8" t="str">
        <f>HYPERLINK("https://www.suredividend.com/sure-analysis-research-database/","Focus Universal Inc")</f>
        <v>Focus Universal Inc</v>
      </c>
      <c r="C542" s="5">
        <v>0.054794520547945</v>
      </c>
      <c r="D542" s="5">
        <v>-0.094117647058823</v>
      </c>
      <c r="E542" s="5">
        <v>-0.12</v>
      </c>
      <c r="F542" s="5">
        <v>0.054794520547945</v>
      </c>
      <c r="G542" s="5">
        <v>-0.624390243902438</v>
      </c>
      <c r="H542" s="5">
        <v>-0.647863169688793</v>
      </c>
      <c r="I542" s="5">
        <v>-0.547058823529411</v>
      </c>
    </row>
    <row r="543">
      <c r="A543" s="2" t="s">
        <v>568</v>
      </c>
      <c r="B543" s="8" t="str">
        <f>HYPERLINK("https://www.suredividend.com/sure-analysis-research-database/","4D Molecular Therapeutics Inc")</f>
        <v>4D Molecular Therapeutics Inc</v>
      </c>
      <c r="C543" s="5">
        <v>-0.11056268509378</v>
      </c>
      <c r="D543" s="5">
        <v>0.721107927411652</v>
      </c>
      <c r="E543" s="5">
        <v>-0.017448200654307</v>
      </c>
      <c r="F543" s="5">
        <v>-0.11056268509378</v>
      </c>
      <c r="G543" s="5">
        <v>-0.152398871119473</v>
      </c>
      <c r="H543" s="5">
        <v>0.230034129692832</v>
      </c>
      <c r="I543" s="5">
        <v>-0.555061728395061</v>
      </c>
    </row>
    <row r="544">
      <c r="A544" s="2" t="s">
        <v>569</v>
      </c>
      <c r="B544" s="8" t="str">
        <f>HYPERLINK("https://www.suredividend.com/sure-analysis-research-database/","Fresh Del Monte Produce Inc")</f>
        <v>Fresh Del Monte Produce Inc</v>
      </c>
      <c r="C544" s="5">
        <v>-0.046095238095238</v>
      </c>
      <c r="D544" s="5">
        <v>0.009779211614074</v>
      </c>
      <c r="E544" s="5">
        <v>-0.034475844544441</v>
      </c>
      <c r="F544" s="5">
        <v>-0.046095238095238</v>
      </c>
      <c r="G544" s="5">
        <v>-0.056216195842677</v>
      </c>
      <c r="H544" s="5">
        <v>-0.046204243324572</v>
      </c>
      <c r="I544" s="5">
        <v>-0.126052297253905</v>
      </c>
    </row>
    <row r="545">
      <c r="A545" s="2" t="s">
        <v>570</v>
      </c>
      <c r="B545" s="8" t="str">
        <f>HYPERLINK("https://www.suredividend.com/sure-analysis-research-database/","5E Advanced Materials Inc")</f>
        <v>5E Advanced Materials Inc</v>
      </c>
      <c r="C545" s="5">
        <v>0.056737588652482</v>
      </c>
      <c r="D545" s="5">
        <v>-0.389344262295082</v>
      </c>
      <c r="E545" s="5">
        <v>-0.551204819277108</v>
      </c>
      <c r="F545" s="5">
        <v>0.056737588652482</v>
      </c>
      <c r="G545" s="5">
        <v>-0.861007462686567</v>
      </c>
      <c r="H545" s="5">
        <v>-0.954862162980914</v>
      </c>
      <c r="I545" s="5">
        <v>-0.954862162980914</v>
      </c>
    </row>
    <row r="546">
      <c r="A546" s="2" t="s">
        <v>571</v>
      </c>
      <c r="B546" s="8" t="str">
        <f>HYPERLINK("https://www.suredividend.com/sure-analysis-FELE/","Franklin Electric Co., Inc.")</f>
        <v>Franklin Electric Co., Inc.</v>
      </c>
      <c r="C546" s="5">
        <v>0.001655457837558</v>
      </c>
      <c r="D546" s="5">
        <v>0.158507689877507</v>
      </c>
      <c r="E546" s="5">
        <v>0.00548911265404</v>
      </c>
      <c r="F546" s="5">
        <v>0.001655457837558</v>
      </c>
      <c r="G546" s="5">
        <v>0.127499050809083</v>
      </c>
      <c r="H546" s="5">
        <v>0.164443867093906</v>
      </c>
      <c r="I546" s="5">
        <v>1.2115160569635</v>
      </c>
    </row>
    <row r="547">
      <c r="A547" s="2" t="s">
        <v>572</v>
      </c>
      <c r="B547" s="8" t="str">
        <f>HYPERLINK("https://www.suredividend.com/sure-analysis-research-database/","Futurefuel Corp")</f>
        <v>Futurefuel Corp</v>
      </c>
      <c r="C547" s="5">
        <v>-0.041118421052631</v>
      </c>
      <c r="D547" s="5">
        <v>-0.105018344821233</v>
      </c>
      <c r="E547" s="5">
        <v>-0.385299916704448</v>
      </c>
      <c r="F547" s="5">
        <v>-0.041118421052631</v>
      </c>
      <c r="G547" s="5">
        <v>-0.334846946342799</v>
      </c>
      <c r="H547" s="5">
        <v>-0.181248771170968</v>
      </c>
      <c r="I547" s="5">
        <v>-0.417861564883971</v>
      </c>
    </row>
    <row r="548">
      <c r="A548" s="2" t="s">
        <v>573</v>
      </c>
      <c r="B548" s="8" t="str">
        <f>HYPERLINK("https://www.suredividend.com/sure-analysis-research-database/","First Financial Bancorp")</f>
        <v>First Financial Bancorp</v>
      </c>
      <c r="C548" s="5">
        <v>-0.009263157894736</v>
      </c>
      <c r="D548" s="5">
        <v>0.324514494793132</v>
      </c>
      <c r="E548" s="5">
        <v>0.068379949146385</v>
      </c>
      <c r="F548" s="5">
        <v>-0.009263157894736</v>
      </c>
      <c r="G548" s="5">
        <v>0.047994869145391</v>
      </c>
      <c r="H548" s="5">
        <v>0.063858646507758</v>
      </c>
      <c r="I548" s="5">
        <v>0.143815472862941</v>
      </c>
    </row>
    <row r="549">
      <c r="A549" s="2" t="s">
        <v>574</v>
      </c>
      <c r="B549" s="8" t="str">
        <f>HYPERLINK("https://www.suredividend.com/sure-analysis-research-database/","Flushing Financial Corp.")</f>
        <v>Flushing Financial Corp.</v>
      </c>
      <c r="C549" s="5">
        <v>0.0625</v>
      </c>
      <c r="D549" s="5">
        <v>0.496849861941032</v>
      </c>
      <c r="E549" s="5">
        <v>0.18139189690652</v>
      </c>
      <c r="F549" s="5">
        <v>0.0625</v>
      </c>
      <c r="G549" s="5">
        <v>0.065694496853432</v>
      </c>
      <c r="H549" s="5">
        <v>-0.134706141066125</v>
      </c>
      <c r="I549" s="5">
        <v>0.054857404484499</v>
      </c>
    </row>
    <row r="550">
      <c r="A550" s="2" t="s">
        <v>575</v>
      </c>
      <c r="B550" s="8" t="str">
        <f>HYPERLINK("https://www.suredividend.com/sure-analysis-research-database/","Faraday Future Intelligent Electric Inc")</f>
        <v>Faraday Future Intelligent Electric Inc</v>
      </c>
      <c r="C550" s="5">
        <v>-0.365526201818969</v>
      </c>
      <c r="D550" s="5">
        <v>-0.86047619047619</v>
      </c>
      <c r="E550" s="5">
        <v>-0.992866186209583</v>
      </c>
      <c r="F550" s="5">
        <v>-0.365526201818969</v>
      </c>
      <c r="G550" s="5">
        <v>-0.99791096281086</v>
      </c>
      <c r="H550" s="5">
        <v>-0.997267198925533</v>
      </c>
      <c r="I550" s="5">
        <v>-0.997267198925533</v>
      </c>
    </row>
    <row r="551">
      <c r="A551" s="2" t="s">
        <v>576</v>
      </c>
      <c r="B551" s="8" t="str">
        <f>HYPERLINK("https://www.suredividend.com/sure-analysis-FFIN/","First Financial Bankshares, Inc.")</f>
        <v>First Financial Bankshares, Inc.</v>
      </c>
      <c r="C551" s="5">
        <v>0.09042904290429</v>
      </c>
      <c r="D551" s="5">
        <v>0.413663416324731</v>
      </c>
      <c r="E551" s="5">
        <v>0.032203241568049</v>
      </c>
      <c r="F551" s="5">
        <v>0.09042904290429</v>
      </c>
      <c r="G551" s="5">
        <v>-0.014772449411666</v>
      </c>
      <c r="H551" s="5">
        <v>-0.243832105094521</v>
      </c>
      <c r="I551" s="5">
        <v>0.169557522123893</v>
      </c>
    </row>
    <row r="552">
      <c r="A552" s="2" t="s">
        <v>577</v>
      </c>
      <c r="B552" s="8" t="str">
        <f>HYPERLINK("https://www.suredividend.com/sure-analysis-research-database/","First Foundation Inc")</f>
        <v>First Foundation Inc</v>
      </c>
      <c r="C552" s="5">
        <v>0.099173553719008</v>
      </c>
      <c r="D552" s="5">
        <v>1.17586912065439</v>
      </c>
      <c r="E552" s="5">
        <v>0.541872563652962</v>
      </c>
      <c r="F552" s="5">
        <v>0.099173553719008</v>
      </c>
      <c r="G552" s="5">
        <v>-0.309919901417128</v>
      </c>
      <c r="H552" s="5">
        <v>-0.572314606018948</v>
      </c>
      <c r="I552" s="5">
        <v>-0.205703407860848</v>
      </c>
    </row>
    <row r="553">
      <c r="A553" s="2" t="s">
        <v>578</v>
      </c>
      <c r="B553" s="8" t="str">
        <f>HYPERLINK("https://www.suredividend.com/sure-analysis-research-database/","First Guaranty Bancshares Inc")</f>
        <v>First Guaranty Bancshares Inc</v>
      </c>
      <c r="C553" s="5">
        <v>0.169964028776978</v>
      </c>
      <c r="D553" s="5">
        <v>0.304653028479743</v>
      </c>
      <c r="E553" s="5">
        <v>0.019448667115924</v>
      </c>
      <c r="F553" s="5">
        <v>0.169964028776978</v>
      </c>
      <c r="G553" s="5">
        <v>-0.344881413968477</v>
      </c>
      <c r="H553" s="5">
        <v>-0.292634921325344</v>
      </c>
      <c r="I553" s="5">
        <v>-0.089694162427668</v>
      </c>
    </row>
    <row r="554">
      <c r="A554" s="2" t="s">
        <v>579</v>
      </c>
      <c r="B554" s="8" t="str">
        <f>HYPERLINK("https://www.suredividend.com/sure-analysis-research-database/","FibroGen Inc")</f>
        <v>FibroGen Inc</v>
      </c>
      <c r="C554" s="5">
        <v>0.92936928805145</v>
      </c>
      <c r="D554" s="5">
        <v>2.59168241965973</v>
      </c>
      <c r="E554" s="5">
        <v>-0.109375</v>
      </c>
      <c r="F554" s="5">
        <v>0.92936928805145</v>
      </c>
      <c r="G554" s="5">
        <v>-0.921379310344827</v>
      </c>
      <c r="H554" s="5">
        <v>-0.882068965517241</v>
      </c>
      <c r="I554" s="5">
        <v>-0.968132687290346</v>
      </c>
    </row>
    <row r="555">
      <c r="A555" s="2" t="s">
        <v>580</v>
      </c>
      <c r="B555" s="8" t="str">
        <f>HYPERLINK("https://www.suredividend.com/sure-analysis-research-database/","Federated Hermes Inc")</f>
        <v>Federated Hermes Inc</v>
      </c>
      <c r="C555" s="5">
        <v>0.051683402244536</v>
      </c>
      <c r="D555" s="5">
        <v>0.139119030101404</v>
      </c>
      <c r="E555" s="5">
        <v>0.072344884905864</v>
      </c>
      <c r="F555" s="5">
        <v>0.051683402244536</v>
      </c>
      <c r="G555" s="5">
        <v>-0.050384806156898</v>
      </c>
      <c r="H555" s="5">
        <v>0.15228175084698</v>
      </c>
      <c r="I555" s="5">
        <v>0.380098827632981</v>
      </c>
    </row>
    <row r="556">
      <c r="A556" s="2" t="s">
        <v>581</v>
      </c>
      <c r="B556" s="8" t="str">
        <f>HYPERLINK("https://www.suredividend.com/sure-analysis-research-database/","Foghorn Therapeutics Inc")</f>
        <v>Foghorn Therapeutics Inc</v>
      </c>
      <c r="C556" s="5">
        <v>-0.41860465116279</v>
      </c>
      <c r="D556" s="5">
        <v>0.119402985074626</v>
      </c>
      <c r="E556" s="5">
        <v>-0.585176991150442</v>
      </c>
      <c r="F556" s="5">
        <v>-0.41860465116279</v>
      </c>
      <c r="G556" s="5">
        <v>-0.559341950646298</v>
      </c>
      <c r="H556" s="5">
        <v>-0.73271560940841</v>
      </c>
      <c r="I556" s="5">
        <v>-0.793046357615894</v>
      </c>
    </row>
    <row r="557">
      <c r="A557" s="2" t="s">
        <v>582</v>
      </c>
      <c r="B557" s="8" t="str">
        <f>HYPERLINK("https://www.suredividend.com/sure-analysis-research-database/","First Interstate BancSystem Inc.")</f>
        <v>First Interstate BancSystem Inc.</v>
      </c>
      <c r="C557" s="5">
        <v>-0.04390243902439</v>
      </c>
      <c r="D557" s="5">
        <v>0.33945656333716</v>
      </c>
      <c r="E557" s="5">
        <v>0.096254092309069</v>
      </c>
      <c r="F557" s="5">
        <v>-0.04390243902439</v>
      </c>
      <c r="G557" s="5">
        <v>-0.009430624766256</v>
      </c>
      <c r="H557" s="5">
        <v>-0.056670367256835</v>
      </c>
      <c r="I557" s="5">
        <v>0.027364948684169</v>
      </c>
    </row>
    <row r="558">
      <c r="A558" s="2" t="s">
        <v>583</v>
      </c>
      <c r="B558" s="8" t="str">
        <f>HYPERLINK("https://www.suredividend.com/sure-analysis-research-database/","Figs Inc")</f>
        <v>Figs Inc</v>
      </c>
      <c r="C558" s="5">
        <v>-0.109352517985611</v>
      </c>
      <c r="D558" s="5">
        <v>0.085964912280701</v>
      </c>
      <c r="E558" s="5">
        <v>-0.137883008356545</v>
      </c>
      <c r="F558" s="5">
        <v>-0.109352517985611</v>
      </c>
      <c r="G558" s="5">
        <v>-0.285219399538106</v>
      </c>
      <c r="H558" s="5">
        <v>-0.705658582976699</v>
      </c>
      <c r="I558" s="5">
        <v>-0.793804130579613</v>
      </c>
    </row>
    <row r="559">
      <c r="A559" s="2" t="s">
        <v>584</v>
      </c>
      <c r="B559" s="8" t="str">
        <f>HYPERLINK("https://www.suredividend.com/sure-analysis-FISI/","Financial Institutions Inc.")</f>
        <v>Financial Institutions Inc.</v>
      </c>
      <c r="C559" s="5">
        <v>0.015962441314554</v>
      </c>
      <c r="D559" s="5">
        <v>0.435156016845176</v>
      </c>
      <c r="E559" s="5">
        <v>0.175467280835646</v>
      </c>
      <c r="F559" s="5">
        <v>0.015962441314554</v>
      </c>
      <c r="G559" s="5">
        <v>0.004707826878255</v>
      </c>
      <c r="H559" s="5">
        <v>-0.208578366833435</v>
      </c>
      <c r="I559" s="5">
        <v>0.054277766139365</v>
      </c>
    </row>
    <row r="560">
      <c r="A560" s="2" t="s">
        <v>585</v>
      </c>
      <c r="B560" s="8" t="str">
        <f>HYPERLINK("https://www.suredividend.com/sure-analysis-research-database/","Comfort Systems USA, Inc.")</f>
        <v>Comfort Systems USA, Inc.</v>
      </c>
      <c r="C560" s="5">
        <v>0.035639616861963</v>
      </c>
      <c r="D560" s="5">
        <v>0.212280572947702</v>
      </c>
      <c r="E560" s="5">
        <v>0.228754233577526</v>
      </c>
      <c r="F560" s="5">
        <v>0.035639616861963</v>
      </c>
      <c r="G560" s="5">
        <v>0.796629927131052</v>
      </c>
      <c r="H560" s="5">
        <v>1.46355841929764</v>
      </c>
      <c r="I560" s="5">
        <v>3.65193481176044</v>
      </c>
    </row>
    <row r="561">
      <c r="A561" s="2" t="s">
        <v>586</v>
      </c>
      <c r="B561" s="8" t="str">
        <f>HYPERLINK("https://www.suredividend.com/sure-analysis-research-database/","National Beverage Corp.")</f>
        <v>National Beverage Corp.</v>
      </c>
      <c r="C561" s="5">
        <v>-0.045454545454545</v>
      </c>
      <c r="D561" s="5">
        <v>0.04953560371517</v>
      </c>
      <c r="E561" s="5">
        <v>-0.102835538752362</v>
      </c>
      <c r="F561" s="5">
        <v>-0.045454545454545</v>
      </c>
      <c r="G561" s="5">
        <v>0.102951429235417</v>
      </c>
      <c r="H561" s="5">
        <v>0.097341040462427</v>
      </c>
      <c r="I561" s="5">
        <v>0.30746683122493</v>
      </c>
    </row>
    <row r="562">
      <c r="A562" s="2" t="s">
        <v>587</v>
      </c>
      <c r="B562" s="8" t="str">
        <f>HYPERLINK("https://www.suredividend.com/sure-analysis-research-database/","Foot Locker Inc")</f>
        <v>Foot Locker Inc</v>
      </c>
      <c r="C562" s="5">
        <v>-0.063563402889245</v>
      </c>
      <c r="D562" s="5">
        <v>0.488265306122448</v>
      </c>
      <c r="E562" s="5">
        <v>0.131975893609012</v>
      </c>
      <c r="F562" s="5">
        <v>-0.063563402889245</v>
      </c>
      <c r="G562" s="5">
        <v>-0.306341611893732</v>
      </c>
      <c r="H562" s="5">
        <v>-0.276453356418034</v>
      </c>
      <c r="I562" s="5">
        <v>-0.384893732326501</v>
      </c>
    </row>
    <row r="563">
      <c r="A563" s="2" t="s">
        <v>588</v>
      </c>
      <c r="B563" s="8" t="str">
        <f>HYPERLINK("https://www.suredividend.com/sure-analysis-research-database/","Fulgent Genetics Inc")</f>
        <v>Fulgent Genetics Inc</v>
      </c>
      <c r="C563" s="5">
        <v>-0.092355586302317</v>
      </c>
      <c r="D563" s="5">
        <v>0.091968372867249</v>
      </c>
      <c r="E563" s="5">
        <v>-0.320735179911985</v>
      </c>
      <c r="F563" s="5">
        <v>-0.092355586302317</v>
      </c>
      <c r="G563" s="5">
        <v>-0.245109321058688</v>
      </c>
      <c r="H563" s="5">
        <v>-0.581098339719029</v>
      </c>
      <c r="I563" s="5">
        <v>5.81558441558441</v>
      </c>
    </row>
    <row r="564">
      <c r="A564" s="2" t="s">
        <v>589</v>
      </c>
      <c r="B564" s="8" t="str">
        <f>HYPERLINK("https://www.suredividend.com/sure-analysis-FLIC/","First Of Long Island Corp.")</f>
        <v>First Of Long Island Corp.</v>
      </c>
      <c r="C564" s="5">
        <v>-0.044561933534743</v>
      </c>
      <c r="D564" s="5">
        <v>0.230844076866942</v>
      </c>
      <c r="E564" s="5">
        <v>-0.045866300601141</v>
      </c>
      <c r="F564" s="5">
        <v>-0.044561933534743</v>
      </c>
      <c r="G564" s="5">
        <v>-0.224639901930738</v>
      </c>
      <c r="H564" s="5">
        <v>-0.312817448461308</v>
      </c>
      <c r="I564" s="5">
        <v>-0.214363789933919</v>
      </c>
    </row>
    <row r="565">
      <c r="A565" s="2" t="s">
        <v>590</v>
      </c>
      <c r="B565" s="8" t="str">
        <f>HYPERLINK("https://www.suredividend.com/sure-analysis-research-database/","Full House Resorts, Inc.")</f>
        <v>Full House Resorts, Inc.</v>
      </c>
      <c r="C565" s="5">
        <v>-0.074487895716946</v>
      </c>
      <c r="D565" s="5">
        <v>0.376731301939058</v>
      </c>
      <c r="E565" s="5">
        <v>-0.222222222222222</v>
      </c>
      <c r="F565" s="5">
        <v>-0.074487895716946</v>
      </c>
      <c r="G565" s="5">
        <v>-0.458605664488017</v>
      </c>
      <c r="H565" s="5">
        <v>-0.430045871559633</v>
      </c>
      <c r="I565" s="5">
        <v>1.18942731277533</v>
      </c>
    </row>
    <row r="566">
      <c r="A566" s="2" t="s">
        <v>591</v>
      </c>
      <c r="B566" s="8" t="str">
        <f>HYPERLINK("https://www.suredividend.com/sure-analysis-research-database/","Fluence Energy Inc")</f>
        <v>Fluence Energy Inc</v>
      </c>
      <c r="C566" s="5">
        <v>-0.117400419287211</v>
      </c>
      <c r="D566" s="5">
        <v>0.219582850521436</v>
      </c>
      <c r="E566" s="5">
        <v>-0.229784120014635</v>
      </c>
      <c r="F566" s="5">
        <v>-0.117400419287211</v>
      </c>
      <c r="G566" s="5">
        <v>-0.075131810193321</v>
      </c>
      <c r="H566" s="5">
        <v>0.236054022313564</v>
      </c>
      <c r="I566" s="5">
        <v>-0.398571428571428</v>
      </c>
    </row>
    <row r="567">
      <c r="A567" s="2" t="s">
        <v>592</v>
      </c>
      <c r="B567" s="8" t="str">
        <f>HYPERLINK("https://www.suredividend.com/sure-analysis-research-database/","Flex Lng Ltd")</f>
        <v>Flex Lng Ltd</v>
      </c>
      <c r="C567" s="5">
        <v>0.043014452856159</v>
      </c>
      <c r="D567" s="5">
        <v>0.024703086279932</v>
      </c>
      <c r="E567" s="5">
        <v>0.010515226074026</v>
      </c>
      <c r="F567" s="5">
        <v>0.043014452856159</v>
      </c>
      <c r="G567" s="5">
        <v>0.083200211565333</v>
      </c>
      <c r="H567" s="5">
        <v>0.740363690650497</v>
      </c>
      <c r="I567" s="5">
        <v>2.80177106590071</v>
      </c>
    </row>
    <row r="568">
      <c r="A568" s="2" t="s">
        <v>593</v>
      </c>
      <c r="B568" s="8" t="str">
        <f>HYPERLINK("https://www.suredividend.com/sure-analysis-research-database/","Fluor Corporation")</f>
        <v>Fluor Corporation</v>
      </c>
      <c r="C568" s="5">
        <v>-0.019657901455195</v>
      </c>
      <c r="D568" s="5">
        <v>0.153499549414238</v>
      </c>
      <c r="E568" s="5">
        <v>0.253263707571801</v>
      </c>
      <c r="F568" s="5">
        <v>-0.019657901455195</v>
      </c>
      <c r="G568" s="5">
        <v>0.02618920363442</v>
      </c>
      <c r="H568" s="5">
        <v>0.807909604519774</v>
      </c>
      <c r="I568" s="5">
        <v>0.10380352297291</v>
      </c>
    </row>
    <row r="569">
      <c r="A569" s="2" t="s">
        <v>594</v>
      </c>
      <c r="B569" s="8" t="str">
        <f>HYPERLINK("https://www.suredividend.com/sure-analysis-research-database/","1-800 Flowers.com Inc.")</f>
        <v>1-800 Flowers.com Inc.</v>
      </c>
      <c r="C569" s="5">
        <v>-0.001855287569573</v>
      </c>
      <c r="D569" s="5">
        <v>0.515492957746478</v>
      </c>
      <c r="E569" s="5">
        <v>0.30741190765492</v>
      </c>
      <c r="F569" s="5">
        <v>-0.001855287569573</v>
      </c>
      <c r="G569" s="5">
        <v>0.062191510365251</v>
      </c>
      <c r="H569" s="5">
        <v>-0.363125184965966</v>
      </c>
      <c r="I569" s="5">
        <v>-0.189759036144578</v>
      </c>
    </row>
    <row r="570">
      <c r="A570" s="2" t="s">
        <v>595</v>
      </c>
      <c r="B570" s="8" t="str">
        <f>HYPERLINK("https://www.suredividend.com/sure-analysis-research-database/","Flywire Corp")</f>
        <v>Flywire Corp</v>
      </c>
      <c r="C570" s="5">
        <v>-0.042332613390928</v>
      </c>
      <c r="D570" s="5">
        <v>-0.159590598938589</v>
      </c>
      <c r="E570" s="5">
        <v>-0.341941228851291</v>
      </c>
      <c r="F570" s="5">
        <v>-0.042332613390928</v>
      </c>
      <c r="G570" s="5">
        <v>-0.1776706231454</v>
      </c>
      <c r="H570" s="5">
        <v>-0.152198852772466</v>
      </c>
      <c r="I570" s="5">
        <v>-0.368376068376068</v>
      </c>
    </row>
    <row r="571">
      <c r="A571" s="2" t="s">
        <v>596</v>
      </c>
      <c r="B571" s="8" t="str">
        <f>HYPERLINK("https://www.suredividend.com/sure-analysis-FMAO/","Farmers &amp; Merchants Bancorp Inc.")</f>
        <v>Farmers &amp; Merchants Bancorp Inc.</v>
      </c>
      <c r="C571" s="5">
        <v>-0.032258064516129</v>
      </c>
      <c r="D571" s="5">
        <v>0.397363640598071</v>
      </c>
      <c r="E571" s="5">
        <v>0.106725200132806</v>
      </c>
      <c r="F571" s="5">
        <v>-0.032258064516129</v>
      </c>
      <c r="G571" s="5">
        <v>-0.071099585865232</v>
      </c>
      <c r="H571" s="5">
        <v>-0.174599680845209</v>
      </c>
      <c r="I571" s="5">
        <v>-0.071918576323096</v>
      </c>
    </row>
    <row r="572">
      <c r="A572" s="2" t="s">
        <v>597</v>
      </c>
      <c r="B572" s="8" t="str">
        <f>HYPERLINK("https://www.suredividend.com/sure-analysis-FMBH/","First Mid Bancshares Inc.")</f>
        <v>First Mid Bancshares Inc.</v>
      </c>
      <c r="C572" s="5">
        <v>-0.033467974610501</v>
      </c>
      <c r="D572" s="5">
        <v>0.272428933894468</v>
      </c>
      <c r="E572" s="5">
        <v>0.131359252154648</v>
      </c>
      <c r="F572" s="5">
        <v>-0.033467974610501</v>
      </c>
      <c r="G572" s="5">
        <v>0.127687936768685</v>
      </c>
      <c r="H572" s="5">
        <v>-0.098240627086159</v>
      </c>
      <c r="I572" s="5">
        <v>0.20077279586504</v>
      </c>
    </row>
    <row r="573">
      <c r="A573" s="2" t="s">
        <v>598</v>
      </c>
      <c r="B573" s="8" t="str">
        <f>HYPERLINK("https://www.suredividend.com/sure-analysis-research-database/","Farmers National Banc Corp.")</f>
        <v>Farmers National Banc Corp.</v>
      </c>
      <c r="C573" s="5">
        <v>-0.017301038062283</v>
      </c>
      <c r="D573" s="5">
        <v>0.31407260713856</v>
      </c>
      <c r="E573" s="5">
        <v>0.08898210848409</v>
      </c>
      <c r="F573" s="5">
        <v>-0.017301038062283</v>
      </c>
      <c r="G573" s="5">
        <v>0.156841659334571</v>
      </c>
      <c r="H573" s="5">
        <v>-0.064268910664039</v>
      </c>
      <c r="I573" s="5">
        <v>0.372404994780995</v>
      </c>
    </row>
    <row r="574">
      <c r="A574" s="2" t="s">
        <v>599</v>
      </c>
      <c r="B574" s="8" t="str">
        <f>HYPERLINK("https://www.suredividend.com/sure-analysis-research-database/","Fabrinet")</f>
        <v>Fabrinet</v>
      </c>
      <c r="C574" s="5">
        <v>0.116429359533441</v>
      </c>
      <c r="D574" s="5">
        <v>0.398236494044877</v>
      </c>
      <c r="E574" s="5">
        <v>0.707569913211186</v>
      </c>
      <c r="F574" s="5">
        <v>0.116429359533441</v>
      </c>
      <c r="G574" s="5">
        <v>0.653618677042801</v>
      </c>
      <c r="H574" s="5">
        <v>0.942321755027422</v>
      </c>
      <c r="I574" s="5">
        <v>2.83625203105253</v>
      </c>
    </row>
    <row r="575">
      <c r="A575" s="2" t="s">
        <v>600</v>
      </c>
      <c r="B575" s="8" t="str">
        <f>HYPERLINK("https://www.suredividend.com/sure-analysis-research-database/","Paragon 28 Inc")</f>
        <v>Paragon 28 Inc</v>
      </c>
      <c r="C575" s="5">
        <v>0.024135156878519</v>
      </c>
      <c r="D575" s="5">
        <v>0.541162227602905</v>
      </c>
      <c r="E575" s="5">
        <v>-0.273816314888762</v>
      </c>
      <c r="F575" s="5">
        <v>0.024135156878519</v>
      </c>
      <c r="G575" s="5">
        <v>-0.24181060154854</v>
      </c>
      <c r="H575" s="5">
        <v>-0.108543417366946</v>
      </c>
      <c r="I575" s="5">
        <v>-0.319615179048637</v>
      </c>
    </row>
    <row r="576">
      <c r="A576" s="2" t="s">
        <v>601</v>
      </c>
      <c r="B576" s="8" t="str">
        <f>HYPERLINK("https://www.suredividend.com/sure-analysis-research-database/","Funko Inc")</f>
        <v>Funko Inc</v>
      </c>
      <c r="C576" s="5">
        <v>-0.032341526520051</v>
      </c>
      <c r="D576" s="5">
        <v>0.016304347826086</v>
      </c>
      <c r="E576" s="5">
        <v>-0.003994673768308</v>
      </c>
      <c r="F576" s="5">
        <v>-0.032341526520051</v>
      </c>
      <c r="G576" s="5">
        <v>-0.379253112033195</v>
      </c>
      <c r="H576" s="5">
        <v>-0.553166069295101</v>
      </c>
      <c r="I576" s="5">
        <v>-0.567630057803468</v>
      </c>
    </row>
    <row r="577">
      <c r="A577" s="2" t="s">
        <v>602</v>
      </c>
      <c r="B577" s="8" t="str">
        <f>HYPERLINK("https://www.suredividend.com/sure-analysis-research-database/","First Bancorp Inc (ME)")</f>
        <v>First Bancorp Inc (ME)</v>
      </c>
      <c r="C577" s="5">
        <v>-0.04758791286628</v>
      </c>
      <c r="D577" s="5">
        <v>0.185577731757386</v>
      </c>
      <c r="E577" s="5">
        <v>0.039980961446929</v>
      </c>
      <c r="F577" s="5">
        <v>-0.04758791286628</v>
      </c>
      <c r="G577" s="5">
        <v>0.00163883699875</v>
      </c>
      <c r="H577" s="5">
        <v>-0.04869712867623</v>
      </c>
      <c r="I577" s="5">
        <v>0.356588144599258</v>
      </c>
    </row>
    <row r="578">
      <c r="A578" s="2" t="s">
        <v>603</v>
      </c>
      <c r="B578" s="8" t="str">
        <f>HYPERLINK("https://www.suredividend.com/sure-analysis-research-database/","Finance of America Companies Inc")</f>
        <v>Finance of America Companies Inc</v>
      </c>
      <c r="C578" s="5">
        <v>-0.18</v>
      </c>
      <c r="D578" s="5">
        <v>-0.124271844660194</v>
      </c>
      <c r="E578" s="5">
        <v>-0.535051546391752</v>
      </c>
      <c r="F578" s="5">
        <v>-0.18</v>
      </c>
      <c r="G578" s="5">
        <v>-0.525263157894736</v>
      </c>
      <c r="H578" s="5">
        <v>-0.759466666666666</v>
      </c>
      <c r="I578" s="5">
        <v>-0.906866288074341</v>
      </c>
    </row>
    <row r="579">
      <c r="A579" s="2" t="s">
        <v>604</v>
      </c>
      <c r="B579" s="8" t="str">
        <f>HYPERLINK("https://www.suredividend.com/sure-analysis-research-database/","Focus Financial Partners Inc")</f>
        <v>Focus Financial Partners Inc</v>
      </c>
      <c r="C579" s="5">
        <v>0.0</v>
      </c>
      <c r="D579" s="5">
        <v>0.0</v>
      </c>
      <c r="E579" s="5">
        <v>0.0</v>
      </c>
      <c r="F579" s="5">
        <v>0.0</v>
      </c>
      <c r="G579" s="5">
        <v>0.0</v>
      </c>
      <c r="H579" s="5">
        <v>0.0</v>
      </c>
      <c r="I579" s="5">
        <v>0.0</v>
      </c>
    </row>
    <row r="580">
      <c r="A580" s="2" t="s">
        <v>605</v>
      </c>
      <c r="B580" s="8" t="str">
        <f>HYPERLINK("https://www.suredividend.com/sure-analysis-research-database/","Amicus Therapeutics Inc")</f>
        <v>Amicus Therapeutics Inc</v>
      </c>
      <c r="C580" s="5">
        <v>-0.085976039464411</v>
      </c>
      <c r="D580" s="5">
        <v>0.211017740429505</v>
      </c>
      <c r="E580" s="5">
        <v>-0.04421518054532</v>
      </c>
      <c r="F580" s="5">
        <v>-0.085976039464411</v>
      </c>
      <c r="G580" s="5">
        <v>0.01091192517537</v>
      </c>
      <c r="H580" s="5">
        <v>0.420591456736034</v>
      </c>
      <c r="I580" s="5">
        <v>0.14373897707231</v>
      </c>
    </row>
    <row r="581">
      <c r="A581" s="2" t="s">
        <v>606</v>
      </c>
      <c r="B581" s="8" t="str">
        <f>HYPERLINK("https://www.suredividend.com/sure-analysis-research-database/","Forestar Group Inc")</f>
        <v>Forestar Group Inc</v>
      </c>
      <c r="C581" s="5">
        <v>-0.034472331418203</v>
      </c>
      <c r="D581" s="5">
        <v>0.365113296280461</v>
      </c>
      <c r="E581" s="5">
        <v>0.065043362241494</v>
      </c>
      <c r="F581" s="5">
        <v>-0.034472331418203</v>
      </c>
      <c r="G581" s="5">
        <v>1.14151576123407</v>
      </c>
      <c r="H581" s="5">
        <v>0.608564231738035</v>
      </c>
      <c r="I581" s="5">
        <v>1.00313676286072</v>
      </c>
    </row>
    <row r="582">
      <c r="A582" s="2" t="s">
        <v>607</v>
      </c>
      <c r="B582" s="8" t="str">
        <f>HYPERLINK("https://www.suredividend.com/sure-analysis-research-database/","ForgeRock Inc")</f>
        <v>ForgeRock Inc</v>
      </c>
      <c r="C582" s="5">
        <v>0.137745098039215</v>
      </c>
      <c r="D582" s="5">
        <v>0.169269521410579</v>
      </c>
      <c r="E582" s="5">
        <v>0.138861629048086</v>
      </c>
      <c r="F582" s="5">
        <v>0.019323671497584</v>
      </c>
      <c r="G582" s="5">
        <v>0.242505353319058</v>
      </c>
      <c r="H582" s="5">
        <v>-0.364109589041095</v>
      </c>
      <c r="I582" s="5">
        <v>-0.364109589041095</v>
      </c>
    </row>
    <row r="583">
      <c r="A583" s="2" t="s">
        <v>608</v>
      </c>
      <c r="B583" s="8" t="str">
        <f>HYPERLINK("https://www.suredividend.com/sure-analysis-research-database/","FormFactor Inc.")</f>
        <v>FormFactor Inc.</v>
      </c>
      <c r="C583" s="5">
        <v>0.0067130184608</v>
      </c>
      <c r="D583" s="5">
        <v>0.288827501534683</v>
      </c>
      <c r="E583" s="5">
        <v>0.137940379403794</v>
      </c>
      <c r="F583" s="5">
        <v>0.0067130184608</v>
      </c>
      <c r="G583" s="5">
        <v>0.471268395234758</v>
      </c>
      <c r="H583" s="5">
        <v>0.04426759512559</v>
      </c>
      <c r="I583" s="5">
        <v>1.91394864677307</v>
      </c>
    </row>
    <row r="584">
      <c r="A584" s="2" t="s">
        <v>609</v>
      </c>
      <c r="B584" s="8" t="str">
        <f>HYPERLINK("https://www.suredividend.com/sure-analysis-research-database/","Forrester Research Inc.")</f>
        <v>Forrester Research Inc.</v>
      </c>
      <c r="C584" s="5">
        <v>0.008951883625512</v>
      </c>
      <c r="D584" s="5">
        <v>0.075119236883942</v>
      </c>
      <c r="E584" s="5">
        <v>-0.146687697160883</v>
      </c>
      <c r="F584" s="5">
        <v>0.008951883625512</v>
      </c>
      <c r="G584" s="5">
        <v>-0.271870794078061</v>
      </c>
      <c r="H584" s="5">
        <v>-0.498330860534124</v>
      </c>
      <c r="I584" s="5">
        <v>-0.379017447199265</v>
      </c>
    </row>
    <row r="585">
      <c r="A585" s="2" t="s">
        <v>610</v>
      </c>
      <c r="B585" s="8" t="str">
        <f>HYPERLINK("https://www.suredividend.com/sure-analysis-research-database/","Fossil Group Inc")</f>
        <v>Fossil Group Inc</v>
      </c>
      <c r="C585" s="5">
        <v>-0.178082191780821</v>
      </c>
      <c r="D585" s="5">
        <v>-0.210526315789473</v>
      </c>
      <c r="E585" s="5">
        <v>-0.568345323741007</v>
      </c>
      <c r="F585" s="5">
        <v>-0.178082191780821</v>
      </c>
      <c r="G585" s="5">
        <v>-0.781818181818181</v>
      </c>
      <c r="H585" s="5">
        <v>-0.884393063583815</v>
      </c>
      <c r="I585" s="5">
        <v>-0.931153184165232</v>
      </c>
    </row>
    <row r="586">
      <c r="A586" s="2" t="s">
        <v>611</v>
      </c>
      <c r="B586" s="8" t="str">
        <f>HYPERLINK("https://www.suredividend.com/sure-analysis-research-database/","Fox Factory Holding Corp")</f>
        <v>Fox Factory Holding Corp</v>
      </c>
      <c r="C586" s="5">
        <v>-0.019116775340841</v>
      </c>
      <c r="D586" s="5">
        <v>-0.181829419035846</v>
      </c>
      <c r="E586" s="5">
        <v>-0.391300349457421</v>
      </c>
      <c r="F586" s="5">
        <v>-0.019116775340841</v>
      </c>
      <c r="G586" s="5">
        <v>-0.420808540427021</v>
      </c>
      <c r="H586" s="5">
        <v>-0.470098470899047</v>
      </c>
      <c r="I586" s="5">
        <v>0.113934702120498</v>
      </c>
    </row>
    <row r="587">
      <c r="A587" s="2" t="s">
        <v>612</v>
      </c>
      <c r="B587" s="8" t="str">
        <f>HYPERLINK("https://www.suredividend.com/sure-analysis-research-database/","Farmland Partners Inc")</f>
        <v>Farmland Partners Inc</v>
      </c>
      <c r="C587" s="5">
        <v>-0.087339743589743</v>
      </c>
      <c r="D587" s="5">
        <v>0.117301995252202</v>
      </c>
      <c r="E587" s="5">
        <v>0.022680338319535</v>
      </c>
      <c r="F587" s="5">
        <v>-0.087339743589743</v>
      </c>
      <c r="G587" s="5">
        <v>-0.088216458533461</v>
      </c>
      <c r="H587" s="5">
        <v>0.093825026409296</v>
      </c>
      <c r="I587" s="5">
        <v>1.3811514822093</v>
      </c>
    </row>
    <row r="588">
      <c r="A588" s="2" t="s">
        <v>613</v>
      </c>
      <c r="B588" s="8" t="str">
        <f>HYPERLINK("https://www.suredividend.com/sure-analysis-research-database/","First Bank (NJ)")</f>
        <v>First Bank (NJ)</v>
      </c>
      <c r="C588" s="5">
        <v>-0.010204081632652</v>
      </c>
      <c r="D588" s="5">
        <v>0.335082857719623</v>
      </c>
      <c r="E588" s="5">
        <v>0.15965823955112</v>
      </c>
      <c r="F588" s="5">
        <v>-0.010204081632652</v>
      </c>
      <c r="G588" s="5">
        <v>0.115472485012036</v>
      </c>
      <c r="H588" s="5">
        <v>0.061214963495664</v>
      </c>
      <c r="I588" s="5">
        <v>0.433229247727026</v>
      </c>
    </row>
    <row r="589">
      <c r="A589" s="2" t="s">
        <v>614</v>
      </c>
      <c r="B589" s="8" t="str">
        <f>HYPERLINK("https://www.suredividend.com/sure-analysis-research-database/","Republic First Bancorp, Inc.")</f>
        <v>Republic First Bancorp, Inc.</v>
      </c>
      <c r="C589" s="5">
        <v>0.666666666666666</v>
      </c>
      <c r="D589" s="5">
        <v>-0.375</v>
      </c>
      <c r="E589" s="5">
        <v>-0.852941176470588</v>
      </c>
      <c r="F589" s="5">
        <v>0.666666666666666</v>
      </c>
      <c r="G589" s="5">
        <v>-0.852941176470588</v>
      </c>
      <c r="H589" s="5">
        <v>-0.852941176470588</v>
      </c>
      <c r="I589" s="5">
        <v>-0.852941176470588</v>
      </c>
    </row>
    <row r="590">
      <c r="A590" s="2" t="s">
        <v>615</v>
      </c>
      <c r="B590" s="8" t="str">
        <f>HYPERLINK("https://www.suredividend.com/sure-analysis-research-database/","Whole Earth Brands Inc")</f>
        <v>Whole Earth Brands Inc</v>
      </c>
      <c r="C590" s="5">
        <v>0.143695014662756</v>
      </c>
      <c r="D590" s="5">
        <v>0.143695014662756</v>
      </c>
      <c r="E590" s="5">
        <v>-0.039408866995073</v>
      </c>
      <c r="F590" s="5">
        <v>0.143695014662756</v>
      </c>
      <c r="G590" s="5">
        <v>0.023622047244094</v>
      </c>
      <c r="H590" s="5">
        <v>-0.572836801752464</v>
      </c>
      <c r="I590" s="5">
        <v>-0.597938144329896</v>
      </c>
    </row>
    <row r="591">
      <c r="A591" s="2" t="s">
        <v>616</v>
      </c>
      <c r="B591" s="8" t="str">
        <f>HYPERLINK("https://www.suredividend.com/sure-analysis-research-database/","Franchise Group Inc")</f>
        <v>Franchise Group Inc</v>
      </c>
      <c r="C591" s="5">
        <v>0.0</v>
      </c>
      <c r="D591" s="5">
        <v>0.0</v>
      </c>
      <c r="E591" s="5">
        <v>0.0</v>
      </c>
      <c r="F591" s="5">
        <v>0.0</v>
      </c>
      <c r="G591" s="5">
        <v>0.0</v>
      </c>
      <c r="H591" s="5">
        <v>0.0</v>
      </c>
      <c r="I591" s="5">
        <v>0.0</v>
      </c>
    </row>
    <row r="592">
      <c r="A592" s="2" t="s">
        <v>617</v>
      </c>
      <c r="B592" s="8" t="str">
        <f>HYPERLINK("https://www.suredividend.com/sure-analysis-research-database/","First Merchants Corp.")</f>
        <v>First Merchants Corp.</v>
      </c>
      <c r="C592" s="5">
        <v>-0.050431499460625</v>
      </c>
      <c r="D592" s="5">
        <v>0.341921222630867</v>
      </c>
      <c r="E592" s="5">
        <v>0.162683186167999</v>
      </c>
      <c r="F592" s="5">
        <v>-0.050431499460625</v>
      </c>
      <c r="G592" s="5">
        <v>-0.065839603519086</v>
      </c>
      <c r="H592" s="5">
        <v>-0.083593168461654</v>
      </c>
      <c r="I592" s="5">
        <v>0.154308906307883</v>
      </c>
    </row>
    <row r="593">
      <c r="A593" s="2" t="s">
        <v>618</v>
      </c>
      <c r="B593" s="8" t="str">
        <f>HYPERLINK("https://www.suredividend.com/sure-analysis-research-database/","Frontline Plc")</f>
        <v>Frontline Plc</v>
      </c>
      <c r="C593" s="5">
        <v>0.11072319201995</v>
      </c>
      <c r="D593" s="5">
        <v>0.016129400223575</v>
      </c>
      <c r="E593" s="5">
        <v>0.478054834706081</v>
      </c>
      <c r="F593" s="5">
        <v>0.11072319201995</v>
      </c>
      <c r="G593" s="5">
        <v>0.864799912914597</v>
      </c>
      <c r="H593" s="5">
        <v>2.96566768167815</v>
      </c>
      <c r="I593" s="5">
        <v>5.16027219164061</v>
      </c>
    </row>
    <row r="594">
      <c r="A594" s="2" t="s">
        <v>619</v>
      </c>
      <c r="B594" s="8" t="str">
        <f>HYPERLINK("https://www.suredividend.com/sure-analysis-research-database/","FRP Holdings Inc")</f>
        <v>FRP Holdings Inc</v>
      </c>
      <c r="C594" s="5">
        <v>-0.025127226463104</v>
      </c>
      <c r="D594" s="5">
        <v>0.134344929681717</v>
      </c>
      <c r="E594" s="5">
        <v>0.078655639626957</v>
      </c>
      <c r="F594" s="5">
        <v>-0.025127226463104</v>
      </c>
      <c r="G594" s="5">
        <v>0.114545454545454</v>
      </c>
      <c r="H594" s="5">
        <v>0.09620886981402</v>
      </c>
      <c r="I594" s="5">
        <v>0.240890688259109</v>
      </c>
    </row>
    <row r="595">
      <c r="A595" s="2" t="s">
        <v>620</v>
      </c>
      <c r="B595" s="8" t="str">
        <f>HYPERLINK("https://www.suredividend.com/sure-analysis-research-database/","Primis Financial Corp")</f>
        <v>Primis Financial Corp</v>
      </c>
      <c r="C595" s="5">
        <v>0.054502369668246</v>
      </c>
      <c r="D595" s="5">
        <v>0.642066420664206</v>
      </c>
      <c r="E595" s="5">
        <v>0.485115471899612</v>
      </c>
      <c r="F595" s="5">
        <v>0.054502369668246</v>
      </c>
      <c r="G595" s="5">
        <v>0.207379940309306</v>
      </c>
      <c r="H595" s="5">
        <v>-0.027003389089318</v>
      </c>
      <c r="I595" s="5">
        <v>-0.080388510022731</v>
      </c>
    </row>
    <row r="596">
      <c r="A596" s="2" t="s">
        <v>621</v>
      </c>
      <c r="B596" s="8" t="str">
        <f>HYPERLINK("https://www.suredividend.com/sure-analysis-research-database/","Five Star Bancorp")</f>
        <v>Five Star Bancorp</v>
      </c>
      <c r="C596" s="5">
        <v>-0.025974025974025</v>
      </c>
      <c r="D596" s="5">
        <v>0.373500595183591</v>
      </c>
      <c r="E596" s="5">
        <v>0.058332814542737</v>
      </c>
      <c r="F596" s="5">
        <v>-0.025974025974025</v>
      </c>
      <c r="G596" s="5">
        <v>0.018305539582135</v>
      </c>
      <c r="H596" s="5">
        <v>-0.056226683247468</v>
      </c>
      <c r="I596" s="5">
        <v>0.157954008791368</v>
      </c>
    </row>
    <row r="597">
      <c r="A597" s="2" t="s">
        <v>622</v>
      </c>
      <c r="B597" s="8" t="str">
        <f>HYPERLINK("https://www.suredividend.com/sure-analysis-research-database/","Fastly Inc")</f>
        <v>Fastly Inc</v>
      </c>
      <c r="C597" s="5">
        <v>0.190449438202247</v>
      </c>
      <c r="D597" s="5">
        <v>0.50070821529745</v>
      </c>
      <c r="E597" s="5">
        <v>0.199207696661007</v>
      </c>
      <c r="F597" s="5">
        <v>0.190449438202247</v>
      </c>
      <c r="G597" s="5">
        <v>1.0085308056872</v>
      </c>
      <c r="H597" s="5">
        <v>-0.154091816367265</v>
      </c>
      <c r="I597" s="5">
        <v>-0.11671529804085</v>
      </c>
    </row>
    <row r="598">
      <c r="A598" s="2" t="s">
        <v>623</v>
      </c>
      <c r="B598" s="8" t="str">
        <f>HYPERLINK("https://www.suredividend.com/sure-analysis-research-database/","Franklin Street Properties Corp.")</f>
        <v>Franklin Street Properties Corp.</v>
      </c>
      <c r="C598" s="5">
        <v>-0.01937618147448</v>
      </c>
      <c r="D598" s="5">
        <v>0.503260082105771</v>
      </c>
      <c r="E598" s="5">
        <v>0.539222352723002</v>
      </c>
      <c r="F598" s="5">
        <v>-0.01937618147448</v>
      </c>
      <c r="G598" s="5">
        <v>-0.138974376707355</v>
      </c>
      <c r="H598" s="5">
        <v>-0.526606969714253</v>
      </c>
      <c r="I598" s="5">
        <v>-0.538213312067654</v>
      </c>
    </row>
    <row r="599">
      <c r="A599" s="2" t="s">
        <v>624</v>
      </c>
      <c r="B599" s="8" t="str">
        <f>HYPERLINK("https://www.suredividend.com/sure-analysis-research-database/","Fisker Inc")</f>
        <v>Fisker Inc</v>
      </c>
      <c r="C599" s="5">
        <v>-0.479028571428571</v>
      </c>
      <c r="D599" s="5">
        <v>-0.809665970772442</v>
      </c>
      <c r="E599" s="5">
        <v>-0.845474576271186</v>
      </c>
      <c r="F599" s="5">
        <v>-0.479028571428571</v>
      </c>
      <c r="G599" s="5">
        <v>-0.883711734693877</v>
      </c>
      <c r="H599" s="5">
        <v>-0.912755980861244</v>
      </c>
      <c r="I599" s="5">
        <v>-0.906396303901437</v>
      </c>
    </row>
    <row r="600">
      <c r="A600" s="2" t="s">
        <v>625</v>
      </c>
      <c r="B600" s="8" t="str">
        <f>HYPERLINK("https://www.suredividend.com/sure-analysis-research-database/","Federal Signal Corp.")</f>
        <v>Federal Signal Corp.</v>
      </c>
      <c r="C600" s="5">
        <v>0.021370862653114</v>
      </c>
      <c r="D600" s="5">
        <v>0.370586424934251</v>
      </c>
      <c r="E600" s="5">
        <v>0.280507628642985</v>
      </c>
      <c r="F600" s="5">
        <v>0.021370862653114</v>
      </c>
      <c r="G600" s="5">
        <v>0.476055064876367</v>
      </c>
      <c r="H600" s="5">
        <v>1.08771158789137</v>
      </c>
      <c r="I600" s="5">
        <v>2.83044022206583</v>
      </c>
    </row>
    <row r="601">
      <c r="A601" s="2" t="s">
        <v>626</v>
      </c>
      <c r="B601" s="8" t="str">
        <f>HYPERLINK("https://www.suredividend.com/sure-analysis-research-database/","FTC Solar Inc")</f>
        <v>FTC Solar Inc</v>
      </c>
      <c r="C601" s="5">
        <v>-0.163106235565819</v>
      </c>
      <c r="D601" s="5">
        <v>-0.482321428571428</v>
      </c>
      <c r="E601" s="5">
        <v>-0.842445652173913</v>
      </c>
      <c r="F601" s="5">
        <v>-0.163106235565819</v>
      </c>
      <c r="G601" s="5">
        <v>-0.802789115646258</v>
      </c>
      <c r="H601" s="5">
        <v>-0.844973262032085</v>
      </c>
      <c r="I601" s="5">
        <v>-0.959340813464235</v>
      </c>
    </row>
    <row r="602">
      <c r="A602" s="2" t="s">
        <v>627</v>
      </c>
      <c r="B602" s="8" t="str">
        <f>HYPERLINK("https://www.suredividend.com/sure-analysis-research-database/","Frontdoor Inc.")</f>
        <v>Frontdoor Inc.</v>
      </c>
      <c r="C602" s="5">
        <v>-0.045996592844974</v>
      </c>
      <c r="D602" s="5">
        <v>0.186021884927638</v>
      </c>
      <c r="E602" s="5">
        <v>-0.026933101650738</v>
      </c>
      <c r="F602" s="5">
        <v>-0.045996592844974</v>
      </c>
      <c r="G602" s="5">
        <v>0.25</v>
      </c>
      <c r="H602" s="5">
        <v>-0.04572564612326</v>
      </c>
      <c r="I602" s="5">
        <v>0.132457027300303</v>
      </c>
    </row>
    <row r="603">
      <c r="A603" s="2" t="s">
        <v>628</v>
      </c>
      <c r="B603" s="8" t="str">
        <f>HYPERLINK("https://www.suredividend.com/sure-analysis-research-database/","fuboTV Inc")</f>
        <v>fuboTV Inc</v>
      </c>
      <c r="C603" s="5">
        <v>-0.144654088050314</v>
      </c>
      <c r="D603" s="5">
        <v>0.208888888888888</v>
      </c>
      <c r="E603" s="5">
        <v>-0.032028469750889</v>
      </c>
      <c r="F603" s="5">
        <v>-0.144654088050314</v>
      </c>
      <c r="G603" s="5">
        <v>0.12396694214876</v>
      </c>
      <c r="H603" s="5">
        <v>-0.723577235772357</v>
      </c>
      <c r="I603" s="5">
        <v>5.32558139534883</v>
      </c>
    </row>
    <row r="604">
      <c r="A604" s="2" t="s">
        <v>629</v>
      </c>
      <c r="B604" s="8" t="str">
        <f>HYPERLINK("https://www.suredividend.com/sure-analysis-FUL/","H.B. Fuller Company")</f>
        <v>H.B. Fuller Company</v>
      </c>
      <c r="C604" s="5">
        <v>-0.041641076034885</v>
      </c>
      <c r="D604" s="5">
        <v>0.203269586674891</v>
      </c>
      <c r="E604" s="5">
        <v>0.07173568432013</v>
      </c>
      <c r="F604" s="5">
        <v>-0.041641076034885</v>
      </c>
      <c r="G604" s="5">
        <v>0.154664685493729</v>
      </c>
      <c r="H604" s="5">
        <v>0.111586026101327</v>
      </c>
      <c r="I604" s="5">
        <v>0.74676595306434</v>
      </c>
    </row>
    <row r="605">
      <c r="A605" s="2" t="s">
        <v>630</v>
      </c>
      <c r="B605" s="8" t="str">
        <f>HYPERLINK("https://www.suredividend.com/sure-analysis-research-database/","Fulcrum Therapeutics Inc")</f>
        <v>Fulcrum Therapeutics Inc</v>
      </c>
      <c r="C605" s="5">
        <v>0.109629629629629</v>
      </c>
      <c r="D605" s="5">
        <v>1.35534591194968</v>
      </c>
      <c r="E605" s="5">
        <v>0.945454545454545</v>
      </c>
      <c r="F605" s="5">
        <v>0.109629629629629</v>
      </c>
      <c r="G605" s="5">
        <v>-0.418026418026417</v>
      </c>
      <c r="H605" s="5">
        <v>-0.379453189726594</v>
      </c>
      <c r="I605" s="5">
        <v>-0.445185185185185</v>
      </c>
    </row>
    <row r="606">
      <c r="A606" s="2" t="s">
        <v>631</v>
      </c>
      <c r="B606" s="8" t="str">
        <f>HYPERLINK("https://www.suredividend.com/sure-analysis-FULT/","Fulton Financial Corp.")</f>
        <v>Fulton Financial Corp.</v>
      </c>
      <c r="C606" s="5">
        <v>0.0</v>
      </c>
      <c r="D606" s="5">
        <v>0.337645873289341</v>
      </c>
      <c r="E606" s="5">
        <v>0.199892111766378</v>
      </c>
      <c r="F606" s="5">
        <v>0.0</v>
      </c>
      <c r="G606" s="5">
        <v>0.095041047407427</v>
      </c>
      <c r="H606" s="5">
        <v>0.025174703222511</v>
      </c>
      <c r="I606" s="5">
        <v>0.286158558502242</v>
      </c>
    </row>
    <row r="607">
      <c r="A607" s="2" t="s">
        <v>632</v>
      </c>
      <c r="B607" s="8" t="str">
        <f>HYPERLINK("https://www.suredividend.com/sure-analysis-research-database/","FVCBankcorp Inc")</f>
        <v>FVCBankcorp Inc</v>
      </c>
      <c r="C607" s="5">
        <v>-0.080281690140844</v>
      </c>
      <c r="D607" s="5">
        <v>0.184043517679057</v>
      </c>
      <c r="E607" s="5">
        <v>0.038981702466189</v>
      </c>
      <c r="F607" s="5">
        <v>-0.080281690140844</v>
      </c>
      <c r="G607" s="5">
        <v>-0.044203747072599</v>
      </c>
      <c r="H607" s="5">
        <v>-0.197788697788697</v>
      </c>
      <c r="I607" s="5">
        <v>-0.053623188405797</v>
      </c>
    </row>
    <row r="608">
      <c r="A608" s="2" t="s">
        <v>633</v>
      </c>
      <c r="B608" s="8" t="str">
        <f>HYPERLINK("https://www.suredividend.com/sure-analysis-research-database/","Forward Air Corp.")</f>
        <v>Forward Air Corp.</v>
      </c>
      <c r="C608" s="5">
        <v>-0.257515508191506</v>
      </c>
      <c r="D608" s="5">
        <v>-0.331673493580887</v>
      </c>
      <c r="E608" s="5">
        <v>-0.604065873667496</v>
      </c>
      <c r="F608" s="5">
        <v>-0.257515508191506</v>
      </c>
      <c r="G608" s="5">
        <v>-0.549699462012403</v>
      </c>
      <c r="H608" s="5">
        <v>-0.535924586751183</v>
      </c>
      <c r="I608" s="5">
        <v>-0.145802758756985</v>
      </c>
    </row>
    <row r="609">
      <c r="A609" s="2" t="s">
        <v>634</v>
      </c>
      <c r="B609" s="8" t="str">
        <f>HYPERLINK("https://www.suredividend.com/sure-analysis-research-database/","First Watch Restaurant Group Inc")</f>
        <v>First Watch Restaurant Group Inc</v>
      </c>
      <c r="C609" s="5">
        <v>0.073631840796019</v>
      </c>
      <c r="D609" s="5">
        <v>0.289127837514934</v>
      </c>
      <c r="E609" s="5">
        <v>0.178590933915892</v>
      </c>
      <c r="F609" s="5">
        <v>0.073631840796019</v>
      </c>
      <c r="G609" s="5">
        <v>0.369289340101522</v>
      </c>
      <c r="H609" s="5">
        <v>0.541428571428571</v>
      </c>
      <c r="I609" s="5">
        <v>-0.024853140533212</v>
      </c>
    </row>
    <row r="610">
      <c r="A610" s="2" t="s">
        <v>635</v>
      </c>
      <c r="B610" s="8" t="str">
        <f>HYPERLINK("https://www.suredividend.com/sure-analysis-research-database/","F45 Training Holdings Inc")</f>
        <v>F45 Training Holdings Inc</v>
      </c>
      <c r="C610" s="5">
        <v>0.0</v>
      </c>
      <c r="D610" s="5">
        <v>0.0</v>
      </c>
      <c r="E610" s="5">
        <v>0.0</v>
      </c>
      <c r="F610" s="5">
        <v>0.0</v>
      </c>
      <c r="G610" s="5">
        <v>0.0</v>
      </c>
      <c r="H610" s="5">
        <v>0.0</v>
      </c>
      <c r="I610" s="5">
        <v>0.0</v>
      </c>
    </row>
    <row r="611">
      <c r="A611" s="2" t="s">
        <v>636</v>
      </c>
      <c r="B611" s="8" t="str">
        <f>HYPERLINK("https://www.suredividend.com/sure-analysis-research-database/","German American Bancorp Inc")</f>
        <v>German American Bancorp Inc</v>
      </c>
      <c r="C611" s="5">
        <v>0.021598272138229</v>
      </c>
      <c r="D611" s="5">
        <v>0.244512268462833</v>
      </c>
      <c r="E611" s="5">
        <v>0.175226189335292</v>
      </c>
      <c r="F611" s="5">
        <v>0.021598272138229</v>
      </c>
      <c r="G611" s="5">
        <v>-0.062706121143322</v>
      </c>
      <c r="H611" s="5">
        <v>-0.08948160125839</v>
      </c>
      <c r="I611" s="5">
        <v>0.313247898843024</v>
      </c>
    </row>
    <row r="612">
      <c r="A612" s="2" t="s">
        <v>637</v>
      </c>
      <c r="B612" s="8" t="str">
        <f>HYPERLINK("https://www.suredividend.com/sure-analysis-research-database/","Gambling.com Group Ltd")</f>
        <v>Gambling.com Group Ltd</v>
      </c>
      <c r="C612" s="5">
        <v>-0.026666666666666</v>
      </c>
      <c r="D612" s="5">
        <v>-0.25039494470774</v>
      </c>
      <c r="E612" s="5">
        <v>-0.198479729729729</v>
      </c>
      <c r="F612" s="5">
        <v>-0.026666666666666</v>
      </c>
      <c r="G612" s="5">
        <v>-0.01248699271592</v>
      </c>
      <c r="H612" s="5">
        <v>-0.029652351738241</v>
      </c>
      <c r="I612" s="5">
        <v>0.18625</v>
      </c>
    </row>
    <row r="613">
      <c r="A613" s="2" t="s">
        <v>638</v>
      </c>
      <c r="B613" s="8" t="str">
        <f>HYPERLINK("https://www.suredividend.com/sure-analysis-GATX/","GATX Corp.")</f>
        <v>GATX Corp.</v>
      </c>
      <c r="C613" s="5">
        <v>0.062801530527366</v>
      </c>
      <c r="D613" s="5">
        <v>0.26257560680607</v>
      </c>
      <c r="E613" s="5">
        <v>0.030865452573896</v>
      </c>
      <c r="F613" s="5">
        <v>0.062801530527366</v>
      </c>
      <c r="G613" s="5">
        <v>0.144581713029526</v>
      </c>
      <c r="H613" s="5">
        <v>0.267248997517473</v>
      </c>
      <c r="I613" s="5">
        <v>0.868982525737455</v>
      </c>
    </row>
    <row r="614">
      <c r="A614" s="2" t="s">
        <v>639</v>
      </c>
      <c r="B614" s="8" t="str">
        <f>HYPERLINK("https://www.suredividend.com/sure-analysis-research-database/","Glacier Bancorp, Inc.")</f>
        <v>Glacier Bancorp, Inc.</v>
      </c>
      <c r="C614" s="5">
        <v>-0.007986447241045</v>
      </c>
      <c r="D614" s="5">
        <v>0.374281259953397</v>
      </c>
      <c r="E614" s="5">
        <v>0.262777185599595</v>
      </c>
      <c r="F614" s="5">
        <v>-0.007986447241045</v>
      </c>
      <c r="G614" s="5">
        <v>-0.053127865853236</v>
      </c>
      <c r="H614" s="5">
        <v>-0.12266244871139</v>
      </c>
      <c r="I614" s="5">
        <v>0.153783362325693</v>
      </c>
    </row>
    <row r="615">
      <c r="A615" s="2" t="s">
        <v>640</v>
      </c>
      <c r="B615" s="8" t="str">
        <f>HYPERLINK("https://www.suredividend.com/sure-analysis-research-database/","Generation Bio Co")</f>
        <v>Generation Bio Co</v>
      </c>
      <c r="C615" s="5">
        <v>0.151515151515151</v>
      </c>
      <c r="D615" s="5">
        <v>1.07809252980422</v>
      </c>
      <c r="E615" s="5">
        <v>-0.631067961165048</v>
      </c>
      <c r="F615" s="5">
        <v>0.151515151515151</v>
      </c>
      <c r="G615" s="5">
        <v>-0.689034369885433</v>
      </c>
      <c r="H615" s="5">
        <v>-0.689034369885433</v>
      </c>
      <c r="I615" s="5">
        <v>-0.923045767517213</v>
      </c>
    </row>
    <row r="616">
      <c r="A616" s="2" t="s">
        <v>641</v>
      </c>
      <c r="B616" s="8" t="str">
        <f>HYPERLINK("https://www.suredividend.com/sure-analysis-research-database/","Greenbrier Cos., Inc.")</f>
        <v>Greenbrier Cos., Inc.</v>
      </c>
      <c r="C616" s="5">
        <v>0.044875416947669</v>
      </c>
      <c r="D616" s="5">
        <v>0.408995944451271</v>
      </c>
      <c r="E616" s="5">
        <v>0.038585747867796</v>
      </c>
      <c r="F616" s="5">
        <v>0.044875416947669</v>
      </c>
      <c r="G616" s="5">
        <v>0.599040436266767</v>
      </c>
      <c r="H616" s="5">
        <v>0.258116994455616</v>
      </c>
      <c r="I616" s="5">
        <v>0.291769126548869</v>
      </c>
    </row>
    <row r="617">
      <c r="A617" s="2" t="s">
        <v>642</v>
      </c>
      <c r="B617" s="8" t="str">
        <f>HYPERLINK("https://www.suredividend.com/sure-analysis-research-database/","Greene County Bancorp Inc")</f>
        <v>Greene County Bancorp Inc</v>
      </c>
      <c r="C617" s="5">
        <v>0.0</v>
      </c>
      <c r="D617" s="5">
        <v>0.265890971773324</v>
      </c>
      <c r="E617" s="5">
        <v>-0.173020527859237</v>
      </c>
      <c r="F617" s="5">
        <v>0.0</v>
      </c>
      <c r="G617" s="5">
        <v>1.39323783013103</v>
      </c>
      <c r="H617" s="5">
        <v>2.09600922215513</v>
      </c>
      <c r="I617" s="5">
        <v>2.95212601956442</v>
      </c>
    </row>
    <row r="618">
      <c r="A618" s="2" t="s">
        <v>643</v>
      </c>
      <c r="B618" s="8" t="str">
        <f>HYPERLINK("https://www.suredividend.com/sure-analysis-research-database/","New Media Investment Group Inc")</f>
        <v>New Media Investment Group Inc</v>
      </c>
      <c r="C618" s="5">
        <v>0.126086956521739</v>
      </c>
      <c r="D618" s="5">
        <v>0.15111111111111</v>
      </c>
      <c r="E618" s="5">
        <v>-0.047794117647058</v>
      </c>
      <c r="F618" s="5">
        <v>0.126086956521739</v>
      </c>
      <c r="G618" s="5">
        <v>0.166666666666666</v>
      </c>
      <c r="H618" s="5">
        <v>-0.458158995815899</v>
      </c>
      <c r="I618" s="5">
        <v>-0.77838244857446</v>
      </c>
    </row>
    <row r="619">
      <c r="A619" s="2" t="s">
        <v>644</v>
      </c>
      <c r="B619" s="8" t="str">
        <f>HYPERLINK("https://www.suredividend.com/sure-analysis-research-database/","GCM Grosvenor Inc")</f>
        <v>GCM Grosvenor Inc</v>
      </c>
      <c r="C619" s="5">
        <v>-0.014508928571428</v>
      </c>
      <c r="D619" s="5">
        <v>0.162897894140733</v>
      </c>
      <c r="E619" s="5">
        <v>0.199369753606259</v>
      </c>
      <c r="F619" s="5">
        <v>-0.014508928571428</v>
      </c>
      <c r="G619" s="5">
        <v>0.095615058192917</v>
      </c>
      <c r="H619" s="5">
        <v>0.157455956375838</v>
      </c>
      <c r="I619" s="5">
        <v>-0.034371138304736</v>
      </c>
    </row>
    <row r="620">
      <c r="A620" s="2" t="s">
        <v>645</v>
      </c>
      <c r="B620" s="8" t="str">
        <f>HYPERLINK("https://www.suredividend.com/sure-analysis-research-database/","Genesco Inc.")</f>
        <v>Genesco Inc.</v>
      </c>
      <c r="C620" s="5">
        <v>-0.192274921897188</v>
      </c>
      <c r="D620" s="5">
        <v>0.097645696642223</v>
      </c>
      <c r="E620" s="5">
        <v>0.024864864864864</v>
      </c>
      <c r="F620" s="5">
        <v>-0.192274921897188</v>
      </c>
      <c r="G620" s="5">
        <v>-0.404522613065326</v>
      </c>
      <c r="H620" s="5">
        <v>-0.548141086749285</v>
      </c>
      <c r="I620" s="5">
        <v>-0.421245421245421</v>
      </c>
    </row>
    <row r="621">
      <c r="A621" s="2" t="s">
        <v>646</v>
      </c>
      <c r="B621" s="8" t="str">
        <f>HYPERLINK("https://www.suredividend.com/sure-analysis-research-database/","Golden Entertainment Inc")</f>
        <v>Golden Entertainment Inc</v>
      </c>
      <c r="C621" s="5">
        <v>-0.009266215877786</v>
      </c>
      <c r="D621" s="5">
        <v>0.253485424588086</v>
      </c>
      <c r="E621" s="5">
        <v>0.025295459257723</v>
      </c>
      <c r="F621" s="5">
        <v>-0.009266215877786</v>
      </c>
      <c r="G621" s="5">
        <v>0.111629396921382</v>
      </c>
      <c r="H621" s="5">
        <v>-0.033228493855038</v>
      </c>
      <c r="I621" s="5">
        <v>1.3852735286492</v>
      </c>
    </row>
    <row r="622">
      <c r="A622" s="2" t="s">
        <v>647</v>
      </c>
      <c r="B622" s="8" t="str">
        <f>HYPERLINK("https://www.suredividend.com/sure-analysis-research-database/","Green Dot Corp.")</f>
        <v>Green Dot Corp.</v>
      </c>
      <c r="C622" s="5">
        <v>-0.044444444444444</v>
      </c>
      <c r="D622" s="5">
        <v>-0.131313131313131</v>
      </c>
      <c r="E622" s="5">
        <v>-0.509844559585492</v>
      </c>
      <c r="F622" s="5">
        <v>-0.044444444444444</v>
      </c>
      <c r="G622" s="5">
        <v>-0.479074889867841</v>
      </c>
      <c r="H622" s="5">
        <v>-0.686547382372432</v>
      </c>
      <c r="I622" s="5">
        <v>-0.872041119978357</v>
      </c>
    </row>
    <row r="623">
      <c r="A623" s="2" t="s">
        <v>648</v>
      </c>
      <c r="B623" s="8" t="str">
        <f>HYPERLINK("https://www.suredividend.com/sure-analysis-research-database/","Grid Dynamics Holdings Inc")</f>
        <v>Grid Dynamics Holdings Inc</v>
      </c>
      <c r="C623" s="5">
        <v>0.0</v>
      </c>
      <c r="D623" s="5">
        <v>0.333</v>
      </c>
      <c r="E623" s="5">
        <v>0.304305283757338</v>
      </c>
      <c r="F623" s="5">
        <v>0.0</v>
      </c>
      <c r="G623" s="5">
        <v>0.085504885993485</v>
      </c>
      <c r="H623" s="5">
        <v>-0.467439073112265</v>
      </c>
      <c r="I623" s="5">
        <v>0.367193509677022</v>
      </c>
    </row>
    <row r="624">
      <c r="A624" s="2" t="s">
        <v>649</v>
      </c>
      <c r="B624" s="8" t="str">
        <f>HYPERLINK("https://www.suredividend.com/sure-analysis-GEF/","Greif Inc")</f>
        <v>Greif Inc</v>
      </c>
      <c r="C624" s="5">
        <v>-0.029272754993139</v>
      </c>
      <c r="D624" s="5">
        <v>0.01076968992691</v>
      </c>
      <c r="E624" s="5">
        <v>-0.124551069458423</v>
      </c>
      <c r="F624" s="5">
        <v>-0.029272754993139</v>
      </c>
      <c r="G624" s="5">
        <v>-0.057258899182819</v>
      </c>
      <c r="H624" s="5">
        <v>0.152279312360534</v>
      </c>
      <c r="I624" s="5">
        <v>0.978816377525966</v>
      </c>
    </row>
    <row r="625">
      <c r="A625" s="2" t="s">
        <v>650</v>
      </c>
      <c r="B625" s="8" t="str">
        <f>HYPERLINK("https://www.suredividend.com/sure-analysis-research-database/","Geo Group, Inc.")</f>
        <v>Geo Group, Inc.</v>
      </c>
      <c r="C625" s="5">
        <v>0.07848568790397</v>
      </c>
      <c r="D625" s="5">
        <v>0.327272727272727</v>
      </c>
      <c r="E625" s="5">
        <v>0.569892473118279</v>
      </c>
      <c r="F625" s="5">
        <v>0.07848568790397</v>
      </c>
      <c r="G625" s="5">
        <v>0.030891438658428</v>
      </c>
      <c r="H625" s="5">
        <v>0.799691833590138</v>
      </c>
      <c r="I625" s="5">
        <v>-0.32695244296671</v>
      </c>
    </row>
    <row r="626">
      <c r="A626" s="2" t="s">
        <v>651</v>
      </c>
      <c r="B626" s="8" t="str">
        <f>HYPERLINK("https://www.suredividend.com/sure-analysis-research-database/","Geron Corp.")</f>
        <v>Geron Corp.</v>
      </c>
      <c r="C626" s="5">
        <v>0.0</v>
      </c>
      <c r="D626" s="5">
        <v>0.17877094972067</v>
      </c>
      <c r="E626" s="5">
        <v>-0.336477987421383</v>
      </c>
      <c r="F626" s="5">
        <v>0.0</v>
      </c>
      <c r="G626" s="5">
        <v>-0.368263473053892</v>
      </c>
      <c r="H626" s="5">
        <v>0.971962616822429</v>
      </c>
      <c r="I626" s="5">
        <v>1.04854368932038</v>
      </c>
    </row>
    <row r="627">
      <c r="A627" s="2" t="s">
        <v>652</v>
      </c>
      <c r="B627" s="8" t="str">
        <f>HYPERLINK("https://www.suredividend.com/sure-analysis-research-database/","Guess Inc.")</f>
        <v>Guess Inc.</v>
      </c>
      <c r="C627" s="5">
        <v>0.00477016478751</v>
      </c>
      <c r="D627" s="5">
        <v>0.112471492017764</v>
      </c>
      <c r="E627" s="5">
        <v>0.146365718865805</v>
      </c>
      <c r="F627" s="5">
        <v>0.00477016478751</v>
      </c>
      <c r="G627" s="5">
        <v>0.074755083865222</v>
      </c>
      <c r="H627" s="5">
        <v>0.196358773383728</v>
      </c>
      <c r="I627" s="5">
        <v>0.415030963344774</v>
      </c>
    </row>
    <row r="628">
      <c r="A628" s="2" t="s">
        <v>653</v>
      </c>
      <c r="B628" s="8" t="str">
        <f>HYPERLINK("https://www.suredividend.com/sure-analysis-research-database/","Gevo Inc")</f>
        <v>Gevo Inc</v>
      </c>
      <c r="C628" s="5">
        <v>-0.157499999999999</v>
      </c>
      <c r="D628" s="5">
        <v>-0.051165048543689</v>
      </c>
      <c r="E628" s="5">
        <v>-0.404085365853658</v>
      </c>
      <c r="F628" s="5">
        <v>-0.157499999999999</v>
      </c>
      <c r="G628" s="5">
        <v>-0.545441860465116</v>
      </c>
      <c r="H628" s="5">
        <v>-0.67531561461794</v>
      </c>
      <c r="I628" s="5">
        <v>-0.628403041825095</v>
      </c>
    </row>
    <row r="629">
      <c r="A629" s="2" t="s">
        <v>654</v>
      </c>
      <c r="B629" s="8" t="str">
        <f>HYPERLINK("https://www.suredividend.com/sure-analysis-research-database/","Griffon Corp.")</f>
        <v>Griffon Corp.</v>
      </c>
      <c r="C629" s="5">
        <v>-0.013453650533224</v>
      </c>
      <c r="D629" s="5">
        <v>0.523682583443984</v>
      </c>
      <c r="E629" s="5">
        <v>0.455220449078174</v>
      </c>
      <c r="F629" s="5">
        <v>-0.013453650533224</v>
      </c>
      <c r="G629" s="5">
        <v>0.634047317531835</v>
      </c>
      <c r="H629" s="5">
        <v>2.21666051472987</v>
      </c>
      <c r="I629" s="5">
        <v>4.34545907118981</v>
      </c>
    </row>
    <row r="630">
      <c r="A630" s="2" t="s">
        <v>655</v>
      </c>
      <c r="B630" s="8" t="str">
        <f>HYPERLINK("https://www.suredividend.com/sure-analysis-research-database/","Graham Holdings Co.")</f>
        <v>Graham Holdings Co.</v>
      </c>
      <c r="C630" s="5">
        <v>0.059222994314592</v>
      </c>
      <c r="D630" s="5">
        <v>0.303895231699126</v>
      </c>
      <c r="E630" s="5">
        <v>0.276368778660211</v>
      </c>
      <c r="F630" s="5">
        <v>0.059222994314592</v>
      </c>
      <c r="G630" s="5">
        <v>0.171998672591606</v>
      </c>
      <c r="H630" s="5">
        <v>0.312927846716114</v>
      </c>
      <c r="I630" s="5">
        <v>0.172521885952114</v>
      </c>
    </row>
    <row r="631">
      <c r="A631" s="2" t="s">
        <v>656</v>
      </c>
      <c r="B631" s="8" t="str">
        <f>HYPERLINK("https://www.suredividend.com/sure-analysis-research-database/","Global Industrial Co")</f>
        <v>Global Industrial Co</v>
      </c>
      <c r="C631" s="5">
        <v>0.086251287332646</v>
      </c>
      <c r="D631" s="5">
        <v>0.361112634570776</v>
      </c>
      <c r="E631" s="5">
        <v>0.505173028897609</v>
      </c>
      <c r="F631" s="5">
        <v>0.086251287332646</v>
      </c>
      <c r="G631" s="5">
        <v>0.716017245586919</v>
      </c>
      <c r="H631" s="5">
        <v>0.316179429665979</v>
      </c>
      <c r="I631" s="5">
        <v>0.963654473143452</v>
      </c>
    </row>
    <row r="632">
      <c r="A632" s="2" t="s">
        <v>657</v>
      </c>
      <c r="B632" s="8" t="str">
        <f>HYPERLINK("https://www.suredividend.com/sure-analysis-research-database/","G-III Apparel Group Ltd.")</f>
        <v>G-III Apparel Group Ltd.</v>
      </c>
      <c r="C632" s="5">
        <v>-0.071806945261918</v>
      </c>
      <c r="D632" s="5">
        <v>0.283679283679283</v>
      </c>
      <c r="E632" s="5">
        <v>0.526621490803485</v>
      </c>
      <c r="F632" s="5">
        <v>-0.071806945261918</v>
      </c>
      <c r="G632" s="5">
        <v>0.930232558139534</v>
      </c>
      <c r="H632" s="5">
        <v>0.201523809523809</v>
      </c>
      <c r="I632" s="5">
        <v>-0.07912408759124</v>
      </c>
    </row>
    <row r="633">
      <c r="A633" s="2" t="s">
        <v>658</v>
      </c>
      <c r="B633" s="8" t="str">
        <f>HYPERLINK("https://www.suredividend.com/sure-analysis-research-database/","Glaukos Corporation")</f>
        <v>Glaukos Corporation</v>
      </c>
      <c r="C633" s="5">
        <v>0.184677317901623</v>
      </c>
      <c r="D633" s="5">
        <v>0.396145292809488</v>
      </c>
      <c r="E633" s="5">
        <v>0.233398821218074</v>
      </c>
      <c r="F633" s="5">
        <v>0.184677317901623</v>
      </c>
      <c r="G633" s="5">
        <v>0.960241465445462</v>
      </c>
      <c r="H633" s="5">
        <v>0.825353750726884</v>
      </c>
      <c r="I633" s="5">
        <v>0.543517456154728</v>
      </c>
    </row>
    <row r="634">
      <c r="A634" s="2" t="s">
        <v>659</v>
      </c>
      <c r="B634" s="8" t="str">
        <f>HYPERLINK("https://www.suredividend.com/sure-analysis-research-database/","Great Lakes Dredge &amp; Dock Corporation")</f>
        <v>Great Lakes Dredge &amp; Dock Corporation</v>
      </c>
      <c r="C634" s="5">
        <v>0.024739583333333</v>
      </c>
      <c r="D634" s="5">
        <v>0.046542553191489</v>
      </c>
      <c r="E634" s="5">
        <v>-0.035539215686274</v>
      </c>
      <c r="F634" s="5">
        <v>0.024739583333333</v>
      </c>
      <c r="G634" s="5">
        <v>0.159057437407952</v>
      </c>
      <c r="H634" s="5">
        <v>-0.422173274596182</v>
      </c>
      <c r="I634" s="5">
        <v>0.113154172560113</v>
      </c>
    </row>
    <row r="635">
      <c r="A635" s="2" t="s">
        <v>660</v>
      </c>
      <c r="B635" s="8" t="str">
        <f>HYPERLINK("https://www.suredividend.com/sure-analysis-research-database/","Golar Lng")</f>
        <v>Golar Lng</v>
      </c>
      <c r="C635" s="5">
        <v>-0.020443671161374</v>
      </c>
      <c r="D635" s="5">
        <v>0.027203561458884</v>
      </c>
      <c r="E635" s="5">
        <v>-0.023336701636301</v>
      </c>
      <c r="F635" s="5">
        <v>-0.020443671161374</v>
      </c>
      <c r="G635" s="5">
        <v>0.019955252407221</v>
      </c>
      <c r="H635" s="5">
        <v>0.672273088432949</v>
      </c>
      <c r="I635" s="5">
        <v>0.125302312566208</v>
      </c>
    </row>
    <row r="636">
      <c r="A636" s="2" t="s">
        <v>661</v>
      </c>
      <c r="B636" s="8" t="str">
        <f>HYPERLINK("https://www.suredividend.com/sure-analysis-research-database/","Greenlight Capital Re Ltd")</f>
        <v>Greenlight Capital Re Ltd</v>
      </c>
      <c r="C636" s="5">
        <v>0.001751313485113</v>
      </c>
      <c r="D636" s="5">
        <v>0.064186046511627</v>
      </c>
      <c r="E636" s="5">
        <v>0.134920634920634</v>
      </c>
      <c r="F636" s="5">
        <v>0.001751313485113</v>
      </c>
      <c r="G636" s="5">
        <v>0.224839400428265</v>
      </c>
      <c r="H636" s="5">
        <v>0.615819209039548</v>
      </c>
      <c r="I636" s="5">
        <v>0.134920634920634</v>
      </c>
    </row>
    <row r="637">
      <c r="A637" s="2" t="s">
        <v>662</v>
      </c>
      <c r="B637" s="8" t="str">
        <f>HYPERLINK("https://www.suredividend.com/sure-analysis-research-database/","Glatfelter Corporation")</f>
        <v>Glatfelter Corporation</v>
      </c>
      <c r="C637" s="5">
        <v>-0.154639175257731</v>
      </c>
      <c r="D637" s="5">
        <v>0.006134969325153</v>
      </c>
      <c r="E637" s="5">
        <v>-0.493827160493827</v>
      </c>
      <c r="F637" s="5">
        <v>-0.154639175257731</v>
      </c>
      <c r="G637" s="5">
        <v>-0.622988505747126</v>
      </c>
      <c r="H637" s="5">
        <v>-0.900452214027739</v>
      </c>
      <c r="I637" s="5">
        <v>-0.85079108021799</v>
      </c>
    </row>
    <row r="638">
      <c r="A638" s="2" t="s">
        <v>663</v>
      </c>
      <c r="B638" s="8" t="str">
        <f>HYPERLINK("https://www.suredividend.com/sure-analysis-research-database/","Monte Rosa Therapeutics Inc")</f>
        <v>Monte Rosa Therapeutics Inc</v>
      </c>
      <c r="C638" s="5">
        <v>0.040707964601769</v>
      </c>
      <c r="D638" s="5">
        <v>1.11510791366906</v>
      </c>
      <c r="E638" s="5">
        <v>-0.169491525423728</v>
      </c>
      <c r="F638" s="5">
        <v>0.040707964601769</v>
      </c>
      <c r="G638" s="5">
        <v>-0.210738255033557</v>
      </c>
      <c r="H638" s="5">
        <v>-0.452003727865796</v>
      </c>
      <c r="I638" s="5">
        <v>-0.722379603399433</v>
      </c>
    </row>
    <row r="639">
      <c r="A639" s="2" t="s">
        <v>664</v>
      </c>
      <c r="B639" s="8" t="str">
        <f>HYPERLINK("https://www.suredividend.com/sure-analysis-GMRE/","Global Medical REIT Inc")</f>
        <v>Global Medical REIT Inc</v>
      </c>
      <c r="C639" s="5">
        <v>-0.063963963963963</v>
      </c>
      <c r="D639" s="5">
        <v>0.250963205548063</v>
      </c>
      <c r="E639" s="5">
        <v>0.094167947934876</v>
      </c>
      <c r="F639" s="5">
        <v>-0.063963963963963</v>
      </c>
      <c r="G639" s="5">
        <v>0.037474911879537</v>
      </c>
      <c r="H639" s="5">
        <v>-0.252931829130625</v>
      </c>
      <c r="I639" s="5">
        <v>0.547950715871336</v>
      </c>
    </row>
    <row r="640">
      <c r="A640" s="2" t="s">
        <v>665</v>
      </c>
      <c r="B640" s="8" t="str">
        <f>HYPERLINK("https://www.suredividend.com/sure-analysis-research-database/","GMS Inc")</f>
        <v>GMS Inc</v>
      </c>
      <c r="C640" s="5">
        <v>0.025961421812446</v>
      </c>
      <c r="D640" s="5">
        <v>0.468994267847837</v>
      </c>
      <c r="E640" s="5">
        <v>0.159446120098711</v>
      </c>
      <c r="F640" s="5">
        <v>0.025961421812446</v>
      </c>
      <c r="G640" s="5">
        <v>0.484726123595505</v>
      </c>
      <c r="H640" s="5">
        <v>0.707450030284675</v>
      </c>
      <c r="I640" s="5">
        <v>3.46044303797468</v>
      </c>
    </row>
    <row r="641">
      <c r="A641" s="2" t="s">
        <v>666</v>
      </c>
      <c r="B641" s="8" t="str">
        <f>HYPERLINK("https://www.suredividend.com/sure-analysis-research-database/","Genco Shipping &amp; Trading Limited")</f>
        <v>Genco Shipping &amp; Trading Limited</v>
      </c>
      <c r="C641" s="5">
        <v>0.068716094032549</v>
      </c>
      <c r="D641" s="5">
        <v>0.362536023054755</v>
      </c>
      <c r="E641" s="5">
        <v>0.24897855673589</v>
      </c>
      <c r="F641" s="5">
        <v>0.068716094032549</v>
      </c>
      <c r="G641" s="5">
        <v>0.049509873561585</v>
      </c>
      <c r="H641" s="5">
        <v>0.37726923166554</v>
      </c>
      <c r="I641" s="5">
        <v>2.22545434699557</v>
      </c>
    </row>
    <row r="642">
      <c r="A642" s="2" t="s">
        <v>667</v>
      </c>
      <c r="B642" s="8" t="str">
        <f>HYPERLINK("https://www.suredividend.com/sure-analysis-GNL/","Global Net Lease Inc")</f>
        <v>Global Net Lease Inc</v>
      </c>
      <c r="C642" s="5">
        <v>-0.074681921910656</v>
      </c>
      <c r="D642" s="5">
        <v>0.208261898930524</v>
      </c>
      <c r="E642" s="5">
        <v>-0.111039923116966</v>
      </c>
      <c r="F642" s="5">
        <v>-0.074681921910656</v>
      </c>
      <c r="G642" s="5">
        <v>-0.295422627407107</v>
      </c>
      <c r="H642" s="5">
        <v>-0.177282623801361</v>
      </c>
      <c r="I642" s="5">
        <v>-0.202335504154502</v>
      </c>
    </row>
    <row r="643">
      <c r="A643" s="2" t="s">
        <v>668</v>
      </c>
      <c r="B643" s="8" t="str">
        <f>HYPERLINK("https://www.suredividend.com/sure-analysis-research-database/","Guaranty Bancshares, Inc. (TX)")</f>
        <v>Guaranty Bancshares, Inc. (TX)</v>
      </c>
      <c r="C643" s="5">
        <v>-0.023795359904818</v>
      </c>
      <c r="D643" s="5">
        <v>0.169707359319702</v>
      </c>
      <c r="E643" s="5">
        <v>0.05671895525848</v>
      </c>
      <c r="F643" s="5">
        <v>-0.023795359904818</v>
      </c>
      <c r="G643" s="5">
        <v>0.035422687177416</v>
      </c>
      <c r="H643" s="5">
        <v>-0.018863412155092</v>
      </c>
      <c r="I643" s="5">
        <v>0.375546949655484</v>
      </c>
    </row>
    <row r="644">
      <c r="A644" s="2" t="s">
        <v>669</v>
      </c>
      <c r="B644" s="8" t="str">
        <f>HYPERLINK("https://www.suredividend.com/sure-analysis-research-database/","Genworth Financial Inc")</f>
        <v>Genworth Financial Inc</v>
      </c>
      <c r="C644" s="5">
        <v>-0.062874251497005</v>
      </c>
      <c r="D644" s="5">
        <v>0.077452667814113</v>
      </c>
      <c r="E644" s="5">
        <v>0.098245614035087</v>
      </c>
      <c r="F644" s="5">
        <v>-0.062874251497005</v>
      </c>
      <c r="G644" s="5">
        <v>0.140255009107468</v>
      </c>
      <c r="H644" s="5">
        <v>0.634464751958224</v>
      </c>
      <c r="I644" s="5">
        <v>0.317894736842105</v>
      </c>
    </row>
    <row r="645">
      <c r="A645" s="2" t="s">
        <v>670</v>
      </c>
      <c r="B645" s="8" t="str">
        <f>HYPERLINK("https://www.suredividend.com/sure-analysis-research-database/","Canoo Inc")</f>
        <v>Canoo Inc</v>
      </c>
      <c r="C645" s="5">
        <v>-0.273328149300155</v>
      </c>
      <c r="D645" s="5">
        <v>-0.29391764261428</v>
      </c>
      <c r="E645" s="5">
        <v>-0.655166051660516</v>
      </c>
      <c r="F645" s="5">
        <v>-0.273328149300155</v>
      </c>
      <c r="G645" s="5">
        <v>-0.864565217391304</v>
      </c>
      <c r="H645" s="5">
        <v>-0.965324675324675</v>
      </c>
      <c r="I645" s="5">
        <v>-0.981006097560975</v>
      </c>
    </row>
    <row r="646">
      <c r="A646" s="2" t="s">
        <v>671</v>
      </c>
      <c r="B646" s="8" t="str">
        <f>HYPERLINK("https://www.suredividend.com/sure-analysis-research-database/","Golden Ocean Group Limited")</f>
        <v>Golden Ocean Group Limited</v>
      </c>
      <c r="C646" s="5">
        <v>0.072745901639344</v>
      </c>
      <c r="D646" s="5">
        <v>0.424296014147735</v>
      </c>
      <c r="E646" s="5">
        <v>0.40633185133447</v>
      </c>
      <c r="F646" s="5">
        <v>0.072745901639344</v>
      </c>
      <c r="G646" s="5">
        <v>0.203641965373738</v>
      </c>
      <c r="H646" s="5">
        <v>0.508080546193069</v>
      </c>
      <c r="I646" s="5">
        <v>2.20418655894234</v>
      </c>
    </row>
    <row r="647">
      <c r="A647" s="2" t="s">
        <v>672</v>
      </c>
      <c r="B647" s="8" t="str">
        <f>HYPERLINK("https://www.suredividend.com/sure-analysis-research-database/","Gogo Inc")</f>
        <v>Gogo Inc</v>
      </c>
      <c r="C647" s="5">
        <v>-0.106614017769002</v>
      </c>
      <c r="D647" s="5">
        <v>-0.150234741784037</v>
      </c>
      <c r="E647" s="5">
        <v>-0.427939317319848</v>
      </c>
      <c r="F647" s="5">
        <v>-0.106614017769002</v>
      </c>
      <c r="G647" s="5">
        <v>-0.455147501505117</v>
      </c>
      <c r="H647" s="5">
        <v>-0.300618238021638</v>
      </c>
      <c r="I647" s="5">
        <v>1.22358722358722</v>
      </c>
    </row>
    <row r="648">
      <c r="A648" s="2" t="s">
        <v>673</v>
      </c>
      <c r="B648" s="8" t="str">
        <f>HYPERLINK("https://www.suredividend.com/sure-analysis-research-database/","Acushnet Holdings Corp")</f>
        <v>Acushnet Holdings Corp</v>
      </c>
      <c r="C648" s="5">
        <v>0.043849928763653</v>
      </c>
      <c r="D648" s="5">
        <v>0.333454666788</v>
      </c>
      <c r="E648" s="5">
        <v>0.161447141297072</v>
      </c>
      <c r="F648" s="5">
        <v>0.043849928763653</v>
      </c>
      <c r="G648" s="5">
        <v>0.428429074618847</v>
      </c>
      <c r="H648" s="5">
        <v>0.488417027635258</v>
      </c>
      <c r="I648" s="5">
        <v>2.14056829331021</v>
      </c>
    </row>
    <row r="649">
      <c r="A649" s="2" t="s">
        <v>674</v>
      </c>
      <c r="B649" s="8" t="str">
        <f>HYPERLINK("https://www.suredividend.com/sure-analysis-GOOD/","Gladstone Commercial Corp")</f>
        <v>Gladstone Commercial Corp</v>
      </c>
      <c r="C649" s="5">
        <v>0.022786518232281</v>
      </c>
      <c r="D649" s="5">
        <v>0.199446132820226</v>
      </c>
      <c r="E649" s="5">
        <v>0.102734517078332</v>
      </c>
      <c r="F649" s="5">
        <v>0.022786518232281</v>
      </c>
      <c r="G649" s="5">
        <v>-0.064299592472311</v>
      </c>
      <c r="H649" s="5">
        <v>-0.269929182036098</v>
      </c>
      <c r="I649" s="5">
        <v>0.076205689207286</v>
      </c>
    </row>
    <row r="650">
      <c r="A650" s="2" t="s">
        <v>675</v>
      </c>
      <c r="B650" s="8" t="str">
        <f>HYPERLINK("https://www.suredividend.com/sure-analysis-research-database/","Gossamer Bio Inc")</f>
        <v>Gossamer Bio Inc</v>
      </c>
      <c r="C650" s="5">
        <v>-0.053260273972602</v>
      </c>
      <c r="D650" s="5">
        <v>0.763061224489795</v>
      </c>
      <c r="E650" s="5">
        <v>-0.325078125</v>
      </c>
      <c r="F650" s="5">
        <v>-0.053260273972602</v>
      </c>
      <c r="G650" s="5">
        <v>-0.644485596707818</v>
      </c>
      <c r="H650" s="5">
        <v>-0.905170142700329</v>
      </c>
      <c r="I650" s="5">
        <v>-0.951845039018952</v>
      </c>
    </row>
    <row r="651">
      <c r="A651" s="2" t="s">
        <v>676</v>
      </c>
      <c r="B651" s="8" t="str">
        <f>HYPERLINK("https://www.suredividend.com/sure-analysis-research-database/","Group 1 Automotive, Inc.")</f>
        <v>Group 1 Automotive, Inc.</v>
      </c>
      <c r="C651" s="5">
        <v>-0.091848789131718</v>
      </c>
      <c r="D651" s="5">
        <v>0.111535063057273</v>
      </c>
      <c r="E651" s="5">
        <v>0.092990485157445</v>
      </c>
      <c r="F651" s="5">
        <v>-0.091848789131718</v>
      </c>
      <c r="G651" s="5">
        <v>0.34707651540632</v>
      </c>
      <c r="H651" s="5">
        <v>0.679716969966599</v>
      </c>
      <c r="I651" s="5">
        <v>3.79826482260723</v>
      </c>
    </row>
    <row r="652">
      <c r="A652" s="2" t="s">
        <v>677</v>
      </c>
      <c r="B652" s="8" t="str">
        <f>HYPERLINK("https://www.suredividend.com/sure-analysis-research-database/","Granite Point Mortgage Trust Inc")</f>
        <v>Granite Point Mortgage Trust Inc</v>
      </c>
      <c r="C652" s="5">
        <v>0.025252525252525</v>
      </c>
      <c r="D652" s="5">
        <v>0.568011534797497</v>
      </c>
      <c r="E652" s="5">
        <v>0.113895341393375</v>
      </c>
      <c r="F652" s="5">
        <v>0.025252525252525</v>
      </c>
      <c r="G652" s="5">
        <v>0.10590542601874</v>
      </c>
      <c r="H652" s="5">
        <v>-0.330541173366751</v>
      </c>
      <c r="I652" s="5">
        <v>-0.484841307437233</v>
      </c>
    </row>
    <row r="653">
      <c r="A653" s="2" t="s">
        <v>678</v>
      </c>
      <c r="B653" s="8" t="str">
        <f>HYPERLINK("https://www.suredividend.com/sure-analysis-research-database/","Gulfport Energy Corp.")</f>
        <v>Gulfport Energy Corp.</v>
      </c>
      <c r="C653" s="5">
        <v>-0.026651651651651</v>
      </c>
      <c r="D653" s="5">
        <v>0.046155087549422</v>
      </c>
      <c r="E653" s="5">
        <v>0.258982326665371</v>
      </c>
      <c r="F653" s="5">
        <v>-0.026651651651651</v>
      </c>
      <c r="G653" s="5">
        <v>0.841619318181818</v>
      </c>
      <c r="H653" s="5">
        <v>1.01194909993792</v>
      </c>
      <c r="I653" s="5">
        <v>0.777244688142563</v>
      </c>
    </row>
    <row r="654">
      <c r="A654" s="2" t="s">
        <v>679</v>
      </c>
      <c r="B654" s="8" t="str">
        <f>HYPERLINK("https://www.suredividend.com/sure-analysis-research-database/","Green Plains Inc")</f>
        <v>Green Plains Inc</v>
      </c>
      <c r="C654" s="5">
        <v>-0.132831086439333</v>
      </c>
      <c r="D654" s="5">
        <v>-0.205882352941176</v>
      </c>
      <c r="E654" s="5">
        <v>-0.382377859361762</v>
      </c>
      <c r="F654" s="5">
        <v>-0.132831086439333</v>
      </c>
      <c r="G654" s="5">
        <v>-0.299038461538461</v>
      </c>
      <c r="H654" s="5">
        <v>-0.26462676529926</v>
      </c>
      <c r="I654" s="5">
        <v>0.59036039442683</v>
      </c>
    </row>
    <row r="655">
      <c r="A655" s="2" t="s">
        <v>680</v>
      </c>
      <c r="B655" s="8" t="str">
        <f>HYPERLINK("https://www.suredividend.com/sure-analysis-research-database/","GoPro Inc.")</f>
        <v>GoPro Inc.</v>
      </c>
      <c r="C655" s="5">
        <v>-0.072046109510086</v>
      </c>
      <c r="D655" s="5">
        <v>0.325102880658436</v>
      </c>
      <c r="E655" s="5">
        <v>-0.208845208845208</v>
      </c>
      <c r="F655" s="5">
        <v>-0.072046109510086</v>
      </c>
      <c r="G655" s="5">
        <v>-0.477272727272727</v>
      </c>
      <c r="H655" s="5">
        <v>-0.621621621621621</v>
      </c>
      <c r="I655" s="5">
        <v>-0.331950207468879</v>
      </c>
    </row>
    <row r="656">
      <c r="A656" s="2" t="s">
        <v>681</v>
      </c>
      <c r="B656" s="8" t="str">
        <f>HYPERLINK("https://www.suredividend.com/sure-analysis-research-database/","Green Brick Partners Inc")</f>
        <v>Green Brick Partners Inc</v>
      </c>
      <c r="C656" s="5">
        <v>-0.005968425105891</v>
      </c>
      <c r="D656" s="5">
        <v>0.345933263816475</v>
      </c>
      <c r="E656" s="5">
        <v>-0.083599574014909</v>
      </c>
      <c r="F656" s="5">
        <v>-0.005968425105891</v>
      </c>
      <c r="G656" s="5">
        <v>0.707906053589149</v>
      </c>
      <c r="H656" s="5">
        <v>1.24771441010013</v>
      </c>
      <c r="I656" s="5">
        <v>5.13182897862232</v>
      </c>
    </row>
    <row r="657">
      <c r="A657" s="2" t="s">
        <v>682</v>
      </c>
      <c r="B657" s="8" t="str">
        <f>HYPERLINK("https://www.suredividend.com/sure-analysis-GRC/","Gorman-Rupp Co.")</f>
        <v>Gorman-Rupp Co.</v>
      </c>
      <c r="C657" s="5">
        <v>-0.044469462426118</v>
      </c>
      <c r="D657" s="5">
        <v>0.104927423029356</v>
      </c>
      <c r="E657" s="5">
        <v>0.115976043495125</v>
      </c>
      <c r="F657" s="5">
        <v>-0.044469462426118</v>
      </c>
      <c r="G657" s="5">
        <v>0.224933070667272</v>
      </c>
      <c r="H657" s="5">
        <v>-0.091838044897173</v>
      </c>
      <c r="I657" s="5">
        <v>0.132278096838959</v>
      </c>
    </row>
    <row r="658">
      <c r="A658" s="2" t="s">
        <v>683</v>
      </c>
      <c r="B658" s="8" t="str">
        <f>HYPERLINK("https://www.suredividend.com/sure-analysis-research-database/","Greenidge Generation Holdings Inc")</f>
        <v>Greenidge Generation Holdings Inc</v>
      </c>
      <c r="C658" s="5">
        <v>-0.393442622950819</v>
      </c>
      <c r="D658" s="5">
        <v>-0.16938775510204</v>
      </c>
      <c r="E658" s="5">
        <v>-0.34775641025641</v>
      </c>
      <c r="F658" s="5">
        <v>-0.393442622950819</v>
      </c>
      <c r="G658" s="5">
        <v>-0.535970812906168</v>
      </c>
      <c r="H658" s="5">
        <v>-0.963067150635208</v>
      </c>
      <c r="I658" s="5">
        <v>-0.990622119815668</v>
      </c>
    </row>
    <row r="659">
      <c r="A659" s="2" t="s">
        <v>684</v>
      </c>
      <c r="B659" s="8" t="str">
        <f>HYPERLINK("https://www.suredividend.com/sure-analysis-research-database/","GreenLight Biosciences Holdings PBC")</f>
        <v>GreenLight Biosciences Holdings PBC</v>
      </c>
      <c r="C659" s="5">
        <v>0.0</v>
      </c>
      <c r="D659" s="5">
        <v>0.0</v>
      </c>
      <c r="E659" s="5">
        <v>0.0</v>
      </c>
      <c r="F659" s="5">
        <v>0.0</v>
      </c>
      <c r="G659" s="5">
        <v>0.0</v>
      </c>
      <c r="H659" s="5">
        <v>0.0</v>
      </c>
      <c r="I659" s="5">
        <v>0.0</v>
      </c>
    </row>
    <row r="660">
      <c r="A660" s="2" t="s">
        <v>685</v>
      </c>
      <c r="B660" s="8" t="str">
        <f>HYPERLINK("https://www.suredividend.com/sure-analysis-research-database/","Groupon Inc")</f>
        <v>Groupon Inc</v>
      </c>
      <c r="C660" s="5">
        <v>0.113707165109034</v>
      </c>
      <c r="D660" s="5">
        <v>0.214953271028037</v>
      </c>
      <c r="E660" s="5">
        <v>0.777501553760099</v>
      </c>
      <c r="F660" s="5">
        <v>0.113707165109034</v>
      </c>
      <c r="G660" s="5">
        <v>0.547619047619047</v>
      </c>
      <c r="H660" s="5">
        <v>-0.472519365547768</v>
      </c>
      <c r="I660" s="5">
        <v>-0.806756756756756</v>
      </c>
    </row>
    <row r="661">
      <c r="A661" s="2" t="s">
        <v>686</v>
      </c>
      <c r="B661" s="8" t="str">
        <f>HYPERLINK("https://www.suredividend.com/sure-analysis-research-database/","GrowGeneration Corp")</f>
        <v>GrowGeneration Corp</v>
      </c>
      <c r="C661" s="5">
        <v>0.023904382470119</v>
      </c>
      <c r="D661" s="5">
        <v>0.381720430107526</v>
      </c>
      <c r="E661" s="5">
        <v>-0.299727520435967</v>
      </c>
      <c r="F661" s="5">
        <v>0.023904382470119</v>
      </c>
      <c r="G661" s="5">
        <v>-0.446120689655172</v>
      </c>
      <c r="H661" s="5">
        <v>-0.649863760217983</v>
      </c>
      <c r="I661" s="5">
        <v>-0.408814869341185</v>
      </c>
    </row>
    <row r="662">
      <c r="A662" s="2" t="s">
        <v>687</v>
      </c>
      <c r="B662" s="8" t="str">
        <f>HYPERLINK("https://www.suredividend.com/sure-analysis-research-database/","Globalstar Inc.")</f>
        <v>Globalstar Inc.</v>
      </c>
      <c r="C662" s="5">
        <v>-0.139175257731958</v>
      </c>
      <c r="D662" s="5">
        <v>0.284615384615384</v>
      </c>
      <c r="E662" s="5">
        <v>0.546296296296296</v>
      </c>
      <c r="F662" s="5">
        <v>-0.139175257731958</v>
      </c>
      <c r="G662" s="5">
        <v>0.246268656716417</v>
      </c>
      <c r="H662" s="5">
        <v>0.60576923076923</v>
      </c>
      <c r="I662" s="5">
        <v>1.49216534845545</v>
      </c>
    </row>
    <row r="663">
      <c r="A663" s="2" t="s">
        <v>688</v>
      </c>
      <c r="B663" s="8" t="str">
        <f>HYPERLINK("https://www.suredividend.com/sure-analysis-research-database/","Great Southern Bancorp, Inc.")</f>
        <v>Great Southern Bancorp, Inc.</v>
      </c>
      <c r="C663" s="5">
        <v>-0.081718618365627</v>
      </c>
      <c r="D663" s="5">
        <v>0.138826027085253</v>
      </c>
      <c r="E663" s="5">
        <v>0.013026216003211</v>
      </c>
      <c r="F663" s="5">
        <v>-0.081718618365627</v>
      </c>
      <c r="G663" s="5">
        <v>0.022358703461575</v>
      </c>
      <c r="H663" s="5">
        <v>0.005640814624416</v>
      </c>
      <c r="I663" s="5">
        <v>0.241146865250165</v>
      </c>
    </row>
    <row r="664">
      <c r="A664" s="2" t="s">
        <v>689</v>
      </c>
      <c r="B664" s="8" t="str">
        <f>HYPERLINK("https://www.suredividend.com/sure-analysis-research-database/","Goosehead Insurance Inc")</f>
        <v>Goosehead Insurance Inc</v>
      </c>
      <c r="C664" s="5">
        <v>0.046701846965699</v>
      </c>
      <c r="D664" s="5">
        <v>0.211297709923664</v>
      </c>
      <c r="E664" s="5">
        <v>0.166764705882352</v>
      </c>
      <c r="F664" s="5">
        <v>0.046701846965699</v>
      </c>
      <c r="G664" s="5">
        <v>1.15422210154765</v>
      </c>
      <c r="H664" s="5">
        <v>-0.114904060687193</v>
      </c>
      <c r="I664" s="5">
        <v>1.96766760925834</v>
      </c>
    </row>
    <row r="665">
      <c r="A665" s="2" t="s">
        <v>690</v>
      </c>
      <c r="B665" s="8" t="str">
        <f>HYPERLINK("https://www.suredividend.com/sure-analysis-research-database/","Goodyear Tire &amp; Rubber Co.")</f>
        <v>Goodyear Tire &amp; Rubber Co.</v>
      </c>
      <c r="C665" s="5">
        <v>0.026536312849162</v>
      </c>
      <c r="D665" s="5">
        <v>0.234256926952141</v>
      </c>
      <c r="E665" s="5">
        <v>-0.085820895522388</v>
      </c>
      <c r="F665" s="5">
        <v>0.026536312849162</v>
      </c>
      <c r="G665" s="5">
        <v>0.324324324324324</v>
      </c>
      <c r="H665" s="5">
        <v>-0.262048192771084</v>
      </c>
      <c r="I665" s="5">
        <v>-0.260116770686531</v>
      </c>
    </row>
    <row r="666">
      <c r="A666" s="2" t="s">
        <v>691</v>
      </c>
      <c r="B666" s="8" t="str">
        <f>HYPERLINK("https://www.suredividend.com/sure-analysis-research-database/","Chart Industries Inc")</f>
        <v>Chart Industries Inc</v>
      </c>
      <c r="C666" s="5">
        <v>-0.123303748257903</v>
      </c>
      <c r="D666" s="5">
        <v>0.085361423901198</v>
      </c>
      <c r="E666" s="5">
        <v>-0.302113745182763</v>
      </c>
      <c r="F666" s="5">
        <v>-0.123303748257903</v>
      </c>
      <c r="G666" s="5">
        <v>-0.065008214034264</v>
      </c>
      <c r="H666" s="5">
        <v>0.033820603754</v>
      </c>
      <c r="I666" s="5">
        <v>0.649006622516556</v>
      </c>
    </row>
    <row r="667">
      <c r="A667" s="2" t="s">
        <v>692</v>
      </c>
      <c r="B667" s="8" t="str">
        <f>HYPERLINK("https://www.suredividend.com/sure-analysis-research-database/","Gray Television, Inc.")</f>
        <v>Gray Television, Inc.</v>
      </c>
      <c r="C667" s="5">
        <v>0.0859375</v>
      </c>
      <c r="D667" s="5">
        <v>0.618241389059823</v>
      </c>
      <c r="E667" s="5">
        <v>0.093565608316942</v>
      </c>
      <c r="F667" s="5">
        <v>0.0859375</v>
      </c>
      <c r="G667" s="5">
        <v>-0.20748692719957</v>
      </c>
      <c r="H667" s="5">
        <v>-0.508796728677083</v>
      </c>
      <c r="I667" s="5">
        <v>-0.368062817023985</v>
      </c>
    </row>
    <row r="668">
      <c r="A668" s="2" t="s">
        <v>693</v>
      </c>
      <c r="B668" s="8" t="str">
        <f>HYPERLINK("https://www.suredividend.com/sure-analysis-research-database/","Getty Realty Corp.")</f>
        <v>Getty Realty Corp.</v>
      </c>
      <c r="C668" s="5">
        <v>-0.033538672142368</v>
      </c>
      <c r="D668" s="5">
        <v>0.090499065507174</v>
      </c>
      <c r="E668" s="5">
        <v>-0.095173403737215</v>
      </c>
      <c r="F668" s="5">
        <v>-0.033538672142368</v>
      </c>
      <c r="G668" s="5">
        <v>-0.172958314053265</v>
      </c>
      <c r="H668" s="5">
        <v>0.077110262679121</v>
      </c>
      <c r="I668" s="5">
        <v>0.170977666835291</v>
      </c>
    </row>
    <row r="669">
      <c r="A669" s="2" t="s">
        <v>694</v>
      </c>
      <c r="B669" s="8" t="str">
        <f>HYPERLINK("https://www.suredividend.com/sure-analysis-research-database/","Granite Construction Inc.")</f>
        <v>Granite Construction Inc.</v>
      </c>
      <c r="C669" s="5">
        <v>-0.09968541093197</v>
      </c>
      <c r="D669" s="5">
        <v>0.339495970395939</v>
      </c>
      <c r="E669" s="5">
        <v>0.149007071198791</v>
      </c>
      <c r="F669" s="5">
        <v>-0.09968541093197</v>
      </c>
      <c r="G669" s="5">
        <v>0.11720530324841</v>
      </c>
      <c r="H669" s="5">
        <v>0.317386976310625</v>
      </c>
      <c r="I669" s="5">
        <v>0.159774883617261</v>
      </c>
    </row>
    <row r="670">
      <c r="A670" s="2" t="s">
        <v>695</v>
      </c>
      <c r="B670" s="8" t="str">
        <f>HYPERLINK("https://www.suredividend.com/sure-analysis-research-database/","ESS Tech Inc")</f>
        <v>ESS Tech Inc</v>
      </c>
      <c r="C670" s="5">
        <v>-0.061403508771929</v>
      </c>
      <c r="D670" s="5">
        <v>-0.1640625</v>
      </c>
      <c r="E670" s="5">
        <v>-0.415300546448087</v>
      </c>
      <c r="F670" s="5">
        <v>-0.061403508771929</v>
      </c>
      <c r="G670" s="5">
        <v>-0.532751091703056</v>
      </c>
      <c r="H670" s="5">
        <v>-0.788537549407114</v>
      </c>
      <c r="I670" s="5">
        <v>-0.897312859884836</v>
      </c>
    </row>
    <row r="671">
      <c r="A671" s="2" t="s">
        <v>696</v>
      </c>
      <c r="B671" s="8" t="str">
        <f>HYPERLINK("https://www.suredividend.com/sure-analysis-GWRS/","Global Water Resources Inc")</f>
        <v>Global Water Resources Inc</v>
      </c>
      <c r="C671" s="5">
        <v>-0.041251516035432</v>
      </c>
      <c r="D671" s="5">
        <v>0.268445265926655</v>
      </c>
      <c r="E671" s="5">
        <v>-0.00974399226189</v>
      </c>
      <c r="F671" s="5">
        <v>-0.041251516035432</v>
      </c>
      <c r="G671" s="5">
        <v>-0.084592720716494</v>
      </c>
      <c r="H671" s="5">
        <v>-0.10622280741928</v>
      </c>
      <c r="I671" s="5">
        <v>0.505109418683119</v>
      </c>
    </row>
    <row r="672">
      <c r="A672" s="2" t="s">
        <v>697</v>
      </c>
      <c r="B672" s="8" t="str">
        <f>HYPERLINK("https://www.suredividend.com/sure-analysis-research-database/","Hawaiian Holdings, Inc.")</f>
        <v>Hawaiian Holdings, Inc.</v>
      </c>
      <c r="C672" s="5">
        <v>0.036619718309859</v>
      </c>
      <c r="D672" s="5">
        <v>2.76470588235294</v>
      </c>
      <c r="E672" s="5">
        <v>0.328519855595667</v>
      </c>
      <c r="F672" s="5">
        <v>0.036619718309859</v>
      </c>
      <c r="G672" s="5">
        <v>0.23489932885906</v>
      </c>
      <c r="H672" s="5">
        <v>-0.080574640849469</v>
      </c>
      <c r="I672" s="5">
        <v>-0.544303483973227</v>
      </c>
    </row>
    <row r="673">
      <c r="A673" s="2" t="s">
        <v>698</v>
      </c>
      <c r="B673" s="8" t="str">
        <f>HYPERLINK("https://www.suredividend.com/sure-analysis-research-database/","Haemonetics Corp.")</f>
        <v>Haemonetics Corp.</v>
      </c>
      <c r="C673" s="5">
        <v>-0.048766226172377</v>
      </c>
      <c r="D673" s="5">
        <v>-0.037965700768775</v>
      </c>
      <c r="E673" s="5">
        <v>-0.125658389766741</v>
      </c>
      <c r="F673" s="5">
        <v>-0.048766226172377</v>
      </c>
      <c r="G673" s="5">
        <v>-0.045081004930734</v>
      </c>
      <c r="H673" s="5">
        <v>0.769799825935596</v>
      </c>
      <c r="I673" s="5">
        <v>-0.152266805627931</v>
      </c>
    </row>
    <row r="674">
      <c r="A674" s="2" t="s">
        <v>699</v>
      </c>
      <c r="B674" s="8" t="str">
        <f>HYPERLINK("https://www.suredividend.com/sure-analysis-research-database/","Hanmi Financial Corp.")</f>
        <v>Hanmi Financial Corp.</v>
      </c>
      <c r="C674" s="5">
        <v>-0.108762886597938</v>
      </c>
      <c r="D674" s="5">
        <v>0.256997455470737</v>
      </c>
      <c r="E674" s="5">
        <v>-0.038386669781203</v>
      </c>
      <c r="F674" s="5">
        <v>-0.108762886597938</v>
      </c>
      <c r="G674" s="5">
        <v>-0.170524598815035</v>
      </c>
      <c r="H674" s="5">
        <v>-0.251009339640623</v>
      </c>
      <c r="I674" s="5">
        <v>-0.009498275644771</v>
      </c>
    </row>
    <row r="675">
      <c r="A675" s="2" t="s">
        <v>700</v>
      </c>
      <c r="B675" s="8" t="str">
        <f>HYPERLINK("https://www.suredividend.com/sure-analysis-research-database/","Hain Celestial Group Inc")</f>
        <v>Hain Celestial Group Inc</v>
      </c>
      <c r="C675" s="5">
        <v>0.005479452054794</v>
      </c>
      <c r="D675" s="5">
        <v>0.010091743119265</v>
      </c>
      <c r="E675" s="5">
        <v>-0.136470588235294</v>
      </c>
      <c r="F675" s="5">
        <v>0.005479452054794</v>
      </c>
      <c r="G675" s="5">
        <v>-0.444500504540867</v>
      </c>
      <c r="H675" s="5">
        <v>-0.697859495060373</v>
      </c>
      <c r="I675" s="5">
        <v>-0.390365448504983</v>
      </c>
    </row>
    <row r="676">
      <c r="A676" s="2" t="s">
        <v>701</v>
      </c>
      <c r="B676" s="8" t="str">
        <f>HYPERLINK("https://www.suredividend.com/sure-analysis-research-database/","Halozyme Therapeutics Inc.")</f>
        <v>Halozyme Therapeutics Inc.</v>
      </c>
      <c r="C676" s="5">
        <v>-0.068993506493506</v>
      </c>
      <c r="D676" s="5">
        <v>0.030856800479328</v>
      </c>
      <c r="E676" s="5">
        <v>-0.211864406779661</v>
      </c>
      <c r="F676" s="5">
        <v>-0.068993506493506</v>
      </c>
      <c r="G676" s="5">
        <v>-0.321435614277262</v>
      </c>
      <c r="H676" s="5">
        <v>0.056818181818181</v>
      </c>
      <c r="I676" s="5">
        <v>1.15601503759398</v>
      </c>
    </row>
    <row r="677">
      <c r="A677" s="2" t="s">
        <v>702</v>
      </c>
      <c r="B677" s="8" t="str">
        <f>HYPERLINK("https://www.suredividend.com/sure-analysis-HASI/","Hannon Armstrong Sustainable Infrastructure capital Inc")</f>
        <v>Hannon Armstrong Sustainable Infrastructure capital Inc</v>
      </c>
      <c r="C677" s="5">
        <v>-0.111675126903553</v>
      </c>
      <c r="D677" s="5">
        <v>0.481544192346766</v>
      </c>
      <c r="E677" s="5">
        <v>-0.025581469343599</v>
      </c>
      <c r="F677" s="5">
        <v>-0.111675126903553</v>
      </c>
      <c r="G677" s="5">
        <v>-0.269186828658614</v>
      </c>
      <c r="H677" s="5">
        <v>-0.267810874054504</v>
      </c>
      <c r="I677" s="5">
        <v>0.369372994846686</v>
      </c>
    </row>
    <row r="678">
      <c r="A678" s="2" t="s">
        <v>703</v>
      </c>
      <c r="B678" s="8" t="str">
        <f>HYPERLINK("https://www.suredividend.com/sure-analysis-research-database/","Haynes International Inc.")</f>
        <v>Haynes International Inc.</v>
      </c>
      <c r="C678" s="5">
        <v>-0.012269938650306</v>
      </c>
      <c r="D678" s="5">
        <v>0.32716580033868</v>
      </c>
      <c r="E678" s="5">
        <v>0.160661504967054</v>
      </c>
      <c r="F678" s="5">
        <v>-0.012269938650306</v>
      </c>
      <c r="G678" s="5">
        <v>0.063882008216529</v>
      </c>
      <c r="H678" s="5">
        <v>0.903857719154802</v>
      </c>
      <c r="I678" s="5">
        <v>1.08470525560299</v>
      </c>
    </row>
    <row r="679">
      <c r="A679" s="2" t="s">
        <v>704</v>
      </c>
      <c r="B679" s="8" t="str">
        <f>HYPERLINK("https://www.suredividend.com/sure-analysis-research-database/","Home Bancorp Inc")</f>
        <v>Home Bancorp Inc</v>
      </c>
      <c r="C679" s="5">
        <v>0.021899547726731</v>
      </c>
      <c r="D679" s="5">
        <v>0.294632086851628</v>
      </c>
      <c r="E679" s="5">
        <v>0.195395513577331</v>
      </c>
      <c r="F679" s="5">
        <v>0.021899547726731</v>
      </c>
      <c r="G679" s="5">
        <v>0.189255973982082</v>
      </c>
      <c r="H679" s="5">
        <v>0.189440494727451</v>
      </c>
      <c r="I679" s="5">
        <v>0.413659114857745</v>
      </c>
    </row>
    <row r="680">
      <c r="A680" s="2" t="s">
        <v>705</v>
      </c>
      <c r="B680" s="8" t="str">
        <f>HYPERLINK("https://www.suredividend.com/sure-analysis-HBNC/","Horizon Bancorp Inc (IN)")</f>
        <v>Horizon Bancorp Inc (IN)</v>
      </c>
      <c r="C680" s="5">
        <v>-0.003260496510696</v>
      </c>
      <c r="D680" s="5">
        <v>0.52876021275429</v>
      </c>
      <c r="E680" s="5">
        <v>0.168375086957614</v>
      </c>
      <c r="F680" s="5">
        <v>-0.003260496510696</v>
      </c>
      <c r="G680" s="5">
        <v>0.061957689289768</v>
      </c>
      <c r="H680" s="5">
        <v>-0.219397468921491</v>
      </c>
      <c r="I680" s="5">
        <v>0.077571213233873</v>
      </c>
    </row>
    <row r="681">
      <c r="A681" s="2" t="s">
        <v>706</v>
      </c>
      <c r="B681" s="8" t="str">
        <f>HYPERLINK("https://www.suredividend.com/sure-analysis-research-database/","HBT Financial Inc")</f>
        <v>HBT Financial Inc</v>
      </c>
      <c r="C681" s="5">
        <v>-0.043581241117953</v>
      </c>
      <c r="D681" s="5">
        <v>0.154156162645126</v>
      </c>
      <c r="E681" s="5">
        <v>0.058669924650387</v>
      </c>
      <c r="F681" s="5">
        <v>-0.043581241117953</v>
      </c>
      <c r="G681" s="5">
        <v>0.047965576484877</v>
      </c>
      <c r="H681" s="5">
        <v>0.202157810750946</v>
      </c>
      <c r="I681" s="5">
        <v>0.548728569784835</v>
      </c>
    </row>
    <row r="682">
      <c r="A682" s="2" t="s">
        <v>707</v>
      </c>
      <c r="B682" s="8" t="str">
        <f>HYPERLINK("https://www.suredividend.com/sure-analysis-research-database/","Health Catalyst Inc")</f>
        <v>Health Catalyst Inc</v>
      </c>
      <c r="C682" s="5">
        <v>0.161987041036717</v>
      </c>
      <c r="D682" s="5">
        <v>0.568513119533527</v>
      </c>
      <c r="E682" s="5">
        <v>-0.211143695014662</v>
      </c>
      <c r="F682" s="5">
        <v>0.161987041036717</v>
      </c>
      <c r="G682" s="5">
        <v>-0.214598540145985</v>
      </c>
      <c r="H682" s="5">
        <v>-0.620458553791887</v>
      </c>
      <c r="I682" s="5">
        <v>-0.725299974470257</v>
      </c>
    </row>
    <row r="683">
      <c r="A683" s="2" t="s">
        <v>708</v>
      </c>
      <c r="B683" s="8" t="str">
        <f>HYPERLINK("https://www.suredividend.com/sure-analysis-research-database/","Warrior Met Coal Inc")</f>
        <v>Warrior Met Coal Inc</v>
      </c>
      <c r="C683" s="5">
        <v>0.068886337543053</v>
      </c>
      <c r="D683" s="5">
        <v>0.355951246509731</v>
      </c>
      <c r="E683" s="5">
        <v>0.539115545846371</v>
      </c>
      <c r="F683" s="5">
        <v>0.068886337543053</v>
      </c>
      <c r="G683" s="5">
        <v>0.819623566596212</v>
      </c>
      <c r="H683" s="5">
        <v>1.67484813659497</v>
      </c>
      <c r="I683" s="5">
        <v>2.09164397468618</v>
      </c>
    </row>
    <row r="684">
      <c r="A684" s="2" t="s">
        <v>709</v>
      </c>
      <c r="B684" s="8" t="str">
        <f>HYPERLINK("https://www.suredividend.com/sure-analysis-research-database/","Heritage-Crystal Clean Inc")</f>
        <v>Heritage-Crystal Clean Inc</v>
      </c>
      <c r="C684" s="5">
        <v>0.0</v>
      </c>
      <c r="D684" s="5">
        <v>0.0</v>
      </c>
      <c r="E684" s="5">
        <v>0.0</v>
      </c>
      <c r="F684" s="5">
        <v>0.0</v>
      </c>
      <c r="G684" s="5">
        <v>0.0</v>
      </c>
      <c r="H684" s="5">
        <v>0.0</v>
      </c>
      <c r="I684" s="5">
        <v>0.0</v>
      </c>
    </row>
    <row r="685">
      <c r="A685" s="2" t="s">
        <v>710</v>
      </c>
      <c r="B685" s="8" t="str">
        <f>HYPERLINK("https://www.suredividend.com/sure-analysis-research-database/","HCI Group Inc")</f>
        <v>HCI Group Inc</v>
      </c>
      <c r="C685" s="5">
        <v>0.054004576659038</v>
      </c>
      <c r="D685" s="5">
        <v>0.631756547308009</v>
      </c>
      <c r="E685" s="5">
        <v>0.521100899252659</v>
      </c>
      <c r="F685" s="5">
        <v>0.054004576659038</v>
      </c>
      <c r="G685" s="5">
        <v>0.874117565681595</v>
      </c>
      <c r="H685" s="5">
        <v>0.491582726008299</v>
      </c>
      <c r="I685" s="5">
        <v>1.26464818302054</v>
      </c>
    </row>
    <row r="686">
      <c r="A686" s="2" t="s">
        <v>711</v>
      </c>
      <c r="B686" s="8" t="str">
        <f>HYPERLINK("https://www.suredividend.com/sure-analysis-research-database/","Hackett Group Inc (The)")</f>
        <v>Hackett Group Inc (The)</v>
      </c>
      <c r="C686" s="5">
        <v>0.027667984189723</v>
      </c>
      <c r="D686" s="5">
        <v>0.07753658559048</v>
      </c>
      <c r="E686" s="5">
        <v>0.043557371127354</v>
      </c>
      <c r="F686" s="5">
        <v>0.027667984189723</v>
      </c>
      <c r="G686" s="5">
        <v>0.072400802925729</v>
      </c>
      <c r="H686" s="5">
        <v>0.300057780345793</v>
      </c>
      <c r="I686" s="5">
        <v>0.489961859523339</v>
      </c>
    </row>
    <row r="687">
      <c r="A687" s="2" t="s">
        <v>712</v>
      </c>
      <c r="B687" s="8" t="str">
        <f>HYPERLINK("https://www.suredividend.com/sure-analysis-research-database/","Healthcare Services Group, Inc.")</f>
        <v>Healthcare Services Group, Inc.</v>
      </c>
      <c r="C687" s="5">
        <v>-0.054966248794599</v>
      </c>
      <c r="D687" s="5">
        <v>0.021897810218978</v>
      </c>
      <c r="E687" s="5">
        <v>-0.216</v>
      </c>
      <c r="F687" s="5">
        <v>-0.054966248794599</v>
      </c>
      <c r="G687" s="5">
        <v>-0.250764525993883</v>
      </c>
      <c r="H687" s="5">
        <v>-0.39984077408292</v>
      </c>
      <c r="I687" s="5">
        <v>-0.738428113105819</v>
      </c>
    </row>
    <row r="688">
      <c r="A688" s="2" t="s">
        <v>713</v>
      </c>
      <c r="B688" s="8" t="str">
        <f>HYPERLINK("https://www.suredividend.com/sure-analysis-research-database/","Hudson Technologies, Inc.")</f>
        <v>Hudson Technologies, Inc.</v>
      </c>
      <c r="C688" s="5">
        <v>-0.074128984432913</v>
      </c>
      <c r="D688" s="5">
        <v>-0.016535433070866</v>
      </c>
      <c r="E688" s="5">
        <v>0.395530726256983</v>
      </c>
      <c r="F688" s="5">
        <v>-0.074128984432913</v>
      </c>
      <c r="G688" s="5">
        <v>0.277096114519427</v>
      </c>
      <c r="H688" s="5">
        <v>2.65204678362573</v>
      </c>
      <c r="I688" s="5">
        <v>9.07258064516129</v>
      </c>
    </row>
    <row r="689">
      <c r="A689" s="2" t="s">
        <v>714</v>
      </c>
      <c r="B689" s="8" t="str">
        <f>HYPERLINK("https://www.suredividend.com/sure-analysis-research-database/","Turtle Beach Corp")</f>
        <v>Turtle Beach Corp</v>
      </c>
      <c r="C689" s="5">
        <v>0.069406392694064</v>
      </c>
      <c r="D689" s="5">
        <v>0.460099750623441</v>
      </c>
      <c r="E689" s="5">
        <v>0.091332712022367</v>
      </c>
      <c r="F689" s="5">
        <v>0.069406392694064</v>
      </c>
      <c r="G689" s="5">
        <v>0.281181619256017</v>
      </c>
      <c r="H689" s="5">
        <v>-0.384978991596638</v>
      </c>
      <c r="I689" s="5">
        <v>-0.174188998589562</v>
      </c>
    </row>
    <row r="690">
      <c r="A690" s="2" t="s">
        <v>715</v>
      </c>
      <c r="B690" s="8" t="str">
        <f>HYPERLINK("https://www.suredividend.com/sure-analysis-research-database/","H&amp;E Equipment Services Inc")</f>
        <v>H&amp;E Equipment Services Inc</v>
      </c>
      <c r="C690" s="5">
        <v>0.031154434250764</v>
      </c>
      <c r="D690" s="5">
        <v>0.340429285212046</v>
      </c>
      <c r="E690" s="5">
        <v>0.18400203661518</v>
      </c>
      <c r="F690" s="5">
        <v>0.031154434250764</v>
      </c>
      <c r="G690" s="5">
        <v>0.110708506441903</v>
      </c>
      <c r="H690" s="5">
        <v>0.43622317230951</v>
      </c>
      <c r="I690" s="5">
        <v>1.50595716415761</v>
      </c>
    </row>
    <row r="691">
      <c r="A691" s="2" t="s">
        <v>716</v>
      </c>
      <c r="B691" s="8" t="str">
        <f>HYPERLINK("https://www.suredividend.com/sure-analysis-research-database/","Helen of Troy Ltd")</f>
        <v>Helen of Troy Ltd</v>
      </c>
      <c r="C691" s="5">
        <v>-8.2774604751E-5</v>
      </c>
      <c r="D691" s="5">
        <v>0.250776558293642</v>
      </c>
      <c r="E691" s="5">
        <v>-0.147735289967546</v>
      </c>
      <c r="F691" s="5">
        <v>-8.2774604751E-5</v>
      </c>
      <c r="G691" s="5">
        <v>0.089859256586069</v>
      </c>
      <c r="H691" s="5">
        <v>-0.419370343667387</v>
      </c>
      <c r="I691" s="5">
        <v>0.043989283553711</v>
      </c>
    </row>
    <row r="692">
      <c r="A692" s="2" t="s">
        <v>717</v>
      </c>
      <c r="B692" s="8" t="str">
        <f>HYPERLINK("https://www.suredividend.com/sure-analysis-research-database/","HF Foods Group Inc.")</f>
        <v>HF Foods Group Inc.</v>
      </c>
      <c r="C692" s="5">
        <v>-0.013108614232209</v>
      </c>
      <c r="D692" s="5">
        <v>0.372395833333333</v>
      </c>
      <c r="E692" s="5">
        <v>0.013461538461538</v>
      </c>
      <c r="F692" s="5">
        <v>-0.013108614232209</v>
      </c>
      <c r="G692" s="5">
        <v>0.269879518072289</v>
      </c>
      <c r="H692" s="5">
        <v>-0.230656934306569</v>
      </c>
      <c r="I692" s="5">
        <v>-0.611643330876934</v>
      </c>
    </row>
    <row r="693">
      <c r="A693" s="2" t="s">
        <v>718</v>
      </c>
      <c r="B693" s="8" t="str">
        <f>HYPERLINK("https://www.suredividend.com/sure-analysis-research-database/","Heritage Financial Corp.")</f>
        <v>Heritage Financial Corp.</v>
      </c>
      <c r="C693" s="5">
        <v>-0.032258064516129</v>
      </c>
      <c r="D693" s="5">
        <v>0.296667501879228</v>
      </c>
      <c r="E693" s="5">
        <v>0.160645700284274</v>
      </c>
      <c r="F693" s="5">
        <v>-0.032258064516129</v>
      </c>
      <c r="G693" s="5">
        <v>-0.203800219243418</v>
      </c>
      <c r="H693" s="5">
        <v>-0.038707130749762</v>
      </c>
      <c r="I693" s="5">
        <v>-0.182574219891483</v>
      </c>
    </row>
    <row r="694">
      <c r="A694" s="2" t="s">
        <v>719</v>
      </c>
      <c r="B694" s="8" t="str">
        <f>HYPERLINK("https://www.suredividend.com/sure-analysis-research-database/","Hilton Grand Vacations Inc")</f>
        <v>Hilton Grand Vacations Inc</v>
      </c>
      <c r="C694" s="5">
        <v>0.078646092583374</v>
      </c>
      <c r="D694" s="5">
        <v>0.212646894236149</v>
      </c>
      <c r="E694" s="5">
        <v>-0.055979089522979</v>
      </c>
      <c r="F694" s="5">
        <v>0.078646092583374</v>
      </c>
      <c r="G694" s="5">
        <v>-0.06715454154111</v>
      </c>
      <c r="H694" s="5">
        <v>-0.082557154953429</v>
      </c>
      <c r="I694" s="5">
        <v>0.431780640898579</v>
      </c>
    </row>
    <row r="695">
      <c r="A695" s="2" t="s">
        <v>720</v>
      </c>
      <c r="B695" s="8" t="str">
        <f>HYPERLINK("https://www.suredividend.com/sure-analysis-HI/","Hillenbrand Inc")</f>
        <v>Hillenbrand Inc</v>
      </c>
      <c r="C695" s="5">
        <v>-0.01901776384535</v>
      </c>
      <c r="D695" s="5">
        <v>0.258428171204139</v>
      </c>
      <c r="E695" s="5">
        <v>-0.077377267000414</v>
      </c>
      <c r="F695" s="5">
        <v>-0.01901776384535</v>
      </c>
      <c r="G695" s="5">
        <v>0.049381750057566</v>
      </c>
      <c r="H695" s="5">
        <v>0.067177141402108</v>
      </c>
      <c r="I695" s="5">
        <v>0.285249205275709</v>
      </c>
    </row>
    <row r="696">
      <c r="A696" s="2" t="s">
        <v>721</v>
      </c>
      <c r="B696" s="8" t="str">
        <f>HYPERLINK("https://www.suredividend.com/sure-analysis-research-database/","Hibbett Inc")</f>
        <v>Hibbett Inc</v>
      </c>
      <c r="C696" s="5">
        <v>-0.042349347403498</v>
      </c>
      <c r="D696" s="5">
        <v>0.55581371741803</v>
      </c>
      <c r="E696" s="5">
        <v>0.527950393119903</v>
      </c>
      <c r="F696" s="5">
        <v>-0.042349347403498</v>
      </c>
      <c r="G696" s="5">
        <v>0.068396259296379</v>
      </c>
      <c r="H696" s="5">
        <v>0.208839937814062</v>
      </c>
      <c r="I696" s="5">
        <v>3.3404930175772</v>
      </c>
    </row>
    <row r="697">
      <c r="A697" s="2" t="s">
        <v>722</v>
      </c>
      <c r="B697" s="8" t="str">
        <f>HYPERLINK("https://www.suredividend.com/sure-analysis-HIFS/","Hingham Institution For Savings")</f>
        <v>Hingham Institution For Savings</v>
      </c>
      <c r="C697" s="5">
        <v>-0.013888888888888</v>
      </c>
      <c r="D697" s="5">
        <v>0.265639762083492</v>
      </c>
      <c r="E697" s="5">
        <v>-0.115932310944638</v>
      </c>
      <c r="F697" s="5">
        <v>-0.013888888888888</v>
      </c>
      <c r="G697" s="5">
        <v>-0.302539056175621</v>
      </c>
      <c r="H697" s="5">
        <v>-0.466116500230736</v>
      </c>
      <c r="I697" s="5">
        <v>0.12302811026648</v>
      </c>
    </row>
    <row r="698">
      <c r="A698" s="2" t="s">
        <v>723</v>
      </c>
      <c r="B698" s="8" t="str">
        <f>HYPERLINK("https://www.suredividend.com/sure-analysis-research-database/","Hims &amp; Hers Health Inc")</f>
        <v>Hims &amp; Hers Health Inc</v>
      </c>
      <c r="C698" s="5">
        <v>0.013483146067415</v>
      </c>
      <c r="D698" s="5">
        <v>0.560553633217993</v>
      </c>
      <c r="E698" s="5">
        <v>0.043981481481481</v>
      </c>
      <c r="F698" s="5">
        <v>0.013483146067415</v>
      </c>
      <c r="G698" s="5">
        <v>0.163870967741935</v>
      </c>
      <c r="H698" s="5">
        <v>1.08796296296296</v>
      </c>
      <c r="I698" s="5">
        <v>-0.079591836734693</v>
      </c>
    </row>
    <row r="699">
      <c r="A699" s="2" t="s">
        <v>724</v>
      </c>
      <c r="B699" s="8" t="str">
        <f>HYPERLINK("https://www.suredividend.com/sure-analysis-research-database/","Hippo Holdings Inc")</f>
        <v>Hippo Holdings Inc</v>
      </c>
      <c r="C699" s="5">
        <v>0.069078947368421</v>
      </c>
      <c r="D699" s="5">
        <v>0.377118644067796</v>
      </c>
      <c r="E699" s="5">
        <v>-0.416167664670658</v>
      </c>
      <c r="F699" s="5">
        <v>0.069078947368421</v>
      </c>
      <c r="G699" s="5">
        <v>-0.429490930368636</v>
      </c>
      <c r="H699" s="5">
        <v>-0.796875</v>
      </c>
      <c r="I699" s="5">
        <v>-0.960645812310797</v>
      </c>
    </row>
    <row r="700">
      <c r="A700" s="2" t="s">
        <v>725</v>
      </c>
      <c r="B700" s="8" t="str">
        <f>HYPERLINK("https://www.suredividend.com/sure-analysis-research-database/","Hecla Mining Co.")</f>
        <v>Hecla Mining Co.</v>
      </c>
      <c r="C700" s="5">
        <v>-0.147609147609147</v>
      </c>
      <c r="D700" s="5">
        <v>-0.008344418914016</v>
      </c>
      <c r="E700" s="5">
        <v>-0.26312005751258</v>
      </c>
      <c r="F700" s="5">
        <v>-0.147609147609147</v>
      </c>
      <c r="G700" s="5">
        <v>-0.339476736692872</v>
      </c>
      <c r="H700" s="5">
        <v>-0.124754504312185</v>
      </c>
      <c r="I700" s="5">
        <v>0.622348844571066</v>
      </c>
    </row>
    <row r="701">
      <c r="A701" s="2" t="s">
        <v>726</v>
      </c>
      <c r="B701" s="8" t="str">
        <f>HYPERLINK("https://www.suredividend.com/sure-analysis-research-database/","Herbalife Ltd")</f>
        <v>Herbalife Ltd</v>
      </c>
      <c r="C701" s="5">
        <v>-0.182175622542595</v>
      </c>
      <c r="D701" s="5">
        <v>-0.105376344086021</v>
      </c>
      <c r="E701" s="5">
        <v>-0.255369928400954</v>
      </c>
      <c r="F701" s="5">
        <v>-0.182175622542595</v>
      </c>
      <c r="G701" s="5">
        <v>-0.275261324041811</v>
      </c>
      <c r="H701" s="5">
        <v>-0.7141548327989</v>
      </c>
      <c r="I701" s="5">
        <v>-0.785640673308141</v>
      </c>
    </row>
    <row r="702">
      <c r="A702" s="2" t="s">
        <v>727</v>
      </c>
      <c r="B702" s="8" t="str">
        <f>HYPERLINK("https://www.suredividend.com/sure-analysis-research-database/","Heliogen Inc")</f>
        <v>Heliogen Inc</v>
      </c>
      <c r="C702" s="5">
        <v>0.0</v>
      </c>
      <c r="D702" s="5">
        <v>0.0</v>
      </c>
      <c r="E702" s="5">
        <v>0.0</v>
      </c>
      <c r="F702" s="5">
        <v>0.0</v>
      </c>
      <c r="G702" s="5">
        <v>0.0</v>
      </c>
      <c r="H702" s="5">
        <v>0.0</v>
      </c>
      <c r="I702" s="5">
        <v>0.0</v>
      </c>
    </row>
    <row r="703">
      <c r="A703" s="2" t="s">
        <v>728</v>
      </c>
      <c r="B703" s="8" t="str">
        <f>HYPERLINK("https://www.suredividend.com/sure-analysis-HLI/","Houlihan Lokey Inc")</f>
        <v>Houlihan Lokey Inc</v>
      </c>
      <c r="C703" s="5">
        <v>0.026436494037194</v>
      </c>
      <c r="D703" s="5">
        <v>0.256955997348831</v>
      </c>
      <c r="E703" s="5">
        <v>0.253309437497454</v>
      </c>
      <c r="F703" s="5">
        <v>0.026436494037194</v>
      </c>
      <c r="G703" s="5">
        <v>0.295299435384995</v>
      </c>
      <c r="H703" s="5">
        <v>0.233795655852409</v>
      </c>
      <c r="I703" s="5">
        <v>2.18582788039426</v>
      </c>
    </row>
    <row r="704">
      <c r="A704" s="2" t="s">
        <v>729</v>
      </c>
      <c r="B704" s="8" t="str">
        <f>HYPERLINK("https://www.suredividend.com/sure-analysis-research-database/","Helios Technologies Inc")</f>
        <v>Helios Technologies Inc</v>
      </c>
      <c r="C704" s="5">
        <v>-0.030020747392214</v>
      </c>
      <c r="D704" s="5">
        <v>-0.133741270815368</v>
      </c>
      <c r="E704" s="5">
        <v>-0.291375441881487</v>
      </c>
      <c r="F704" s="5">
        <v>-0.030020747392214</v>
      </c>
      <c r="G704" s="5">
        <v>-0.332475739522606</v>
      </c>
      <c r="H704" s="5">
        <v>-0.423542573810186</v>
      </c>
      <c r="I704" s="5">
        <v>0.286363956023347</v>
      </c>
    </row>
    <row r="705">
      <c r="A705" s="2" t="s">
        <v>730</v>
      </c>
      <c r="B705" s="8" t="str">
        <f>HYPERLINK("https://www.suredividend.com/sure-analysis-research-database/","Harmonic, Inc.")</f>
        <v>Harmonic, Inc.</v>
      </c>
      <c r="C705" s="5">
        <v>-0.107361963190183</v>
      </c>
      <c r="D705" s="5">
        <v>0.176946410515672</v>
      </c>
      <c r="E705" s="5">
        <v>-0.220883534136546</v>
      </c>
      <c r="F705" s="5">
        <v>-0.107361963190183</v>
      </c>
      <c r="G705" s="5">
        <v>-0.210847457627118</v>
      </c>
      <c r="H705" s="5">
        <v>0.126815101645692</v>
      </c>
      <c r="I705" s="5">
        <v>1.26459143968871</v>
      </c>
    </row>
    <row r="706">
      <c r="A706" s="2" t="s">
        <v>731</v>
      </c>
      <c r="B706" s="8" t="str">
        <f>HYPERLINK("https://www.suredividend.com/sure-analysis-research-database/","Holley Inc")</f>
        <v>Holley Inc</v>
      </c>
      <c r="C706" s="5">
        <v>0.057494866529774</v>
      </c>
      <c r="D706" s="5">
        <v>0.226190476190476</v>
      </c>
      <c r="E706" s="5">
        <v>-0.15156507413509</v>
      </c>
      <c r="F706" s="5">
        <v>0.057494866529774</v>
      </c>
      <c r="G706" s="5">
        <v>0.645367412140575</v>
      </c>
      <c r="H706" s="5">
        <v>-0.554112554112554</v>
      </c>
      <c r="I706" s="5">
        <v>-0.471794871794871</v>
      </c>
    </row>
    <row r="707">
      <c r="A707" s="2" t="s">
        <v>732</v>
      </c>
      <c r="B707" s="8" t="str">
        <f>HYPERLINK("https://www.suredividend.com/sure-analysis-research-database/","Hillman Solutions Corp")</f>
        <v>Hillman Solutions Corp</v>
      </c>
      <c r="C707" s="5">
        <v>0.011943539630836</v>
      </c>
      <c r="D707" s="5">
        <v>0.407854984894259</v>
      </c>
      <c r="E707" s="5">
        <v>-0.04312114989733</v>
      </c>
      <c r="F707" s="5">
        <v>0.011943539630836</v>
      </c>
      <c r="G707" s="5">
        <v>-0.027139874739039</v>
      </c>
      <c r="H707" s="5">
        <v>0.086247086247086</v>
      </c>
      <c r="I707" s="5">
        <v>-0.049949031600407</v>
      </c>
    </row>
    <row r="708">
      <c r="A708" s="2" t="s">
        <v>733</v>
      </c>
      <c r="B708" s="8" t="str">
        <f>HYPERLINK("https://www.suredividend.com/sure-analysis-research-database/","Hamilton Lane Inc")</f>
        <v>Hamilton Lane Inc</v>
      </c>
      <c r="C708" s="5">
        <v>0.041255289139633</v>
      </c>
      <c r="D708" s="5">
        <v>0.474774513818832</v>
      </c>
      <c r="E708" s="5">
        <v>0.386984049448588</v>
      </c>
      <c r="F708" s="5">
        <v>0.041255289139633</v>
      </c>
      <c r="G708" s="5">
        <v>0.586174019887603</v>
      </c>
      <c r="H708" s="5">
        <v>0.465343242884488</v>
      </c>
      <c r="I708" s="5">
        <v>2.61039961365178</v>
      </c>
    </row>
    <row r="709">
      <c r="A709" s="2" t="s">
        <v>734</v>
      </c>
      <c r="B709" s="8" t="str">
        <f>HYPERLINK("https://www.suredividend.com/sure-analysis-research-database/","Cue Health Inc")</f>
        <v>Cue Health Inc</v>
      </c>
      <c r="C709" s="5">
        <v>0.409230769230769</v>
      </c>
      <c r="D709" s="5">
        <v>-0.250409165302782</v>
      </c>
      <c r="E709" s="5">
        <v>-0.478716139312542</v>
      </c>
      <c r="F709" s="5">
        <v>0.409230769230769</v>
      </c>
      <c r="G709" s="5">
        <v>-0.90766129032258</v>
      </c>
      <c r="H709" s="5">
        <v>-0.969947506561679</v>
      </c>
      <c r="I709" s="5">
        <v>-0.98855</v>
      </c>
    </row>
    <row r="710">
      <c r="A710" s="2" t="s">
        <v>735</v>
      </c>
      <c r="B710" s="8" t="str">
        <f>HYPERLINK("https://www.suredividend.com/sure-analysis-research-database/","HilleVax Inc")</f>
        <v>HilleVax Inc</v>
      </c>
      <c r="C710" s="5">
        <v>-0.043613707165109</v>
      </c>
      <c r="D710" s="5">
        <v>0.402466879853814</v>
      </c>
      <c r="E710" s="5">
        <v>-0.007756948933419</v>
      </c>
      <c r="F710" s="5">
        <v>-0.043613707165109</v>
      </c>
      <c r="G710" s="5">
        <v>0.019256308100929</v>
      </c>
      <c r="H710" s="5">
        <v>-0.195914091147197</v>
      </c>
      <c r="I710" s="5">
        <v>-0.195914091147197</v>
      </c>
    </row>
    <row r="711">
      <c r="A711" s="2" t="s">
        <v>736</v>
      </c>
      <c r="B711" s="8" t="str">
        <f>HYPERLINK("https://www.suredividend.com/sure-analysis-research-database/","Helix Energy Solutions Group Inc")</f>
        <v>Helix Energy Solutions Group Inc</v>
      </c>
      <c r="C711" s="5">
        <v>-0.011673151750972</v>
      </c>
      <c r="D711" s="5">
        <v>0.029381965552178</v>
      </c>
      <c r="E711" s="5">
        <v>0.06276150627615</v>
      </c>
      <c r="F711" s="5">
        <v>-0.011673151750972</v>
      </c>
      <c r="G711" s="5">
        <v>0.305912596401028</v>
      </c>
      <c r="H711" s="5">
        <v>1.89458689458689</v>
      </c>
      <c r="I711" s="5">
        <v>0.447293447293447</v>
      </c>
    </row>
    <row r="712">
      <c r="A712" s="2" t="s">
        <v>737</v>
      </c>
      <c r="B712" s="8" t="str">
        <f>HYPERLINK("https://www.suredividend.com/sure-analysis-HMN/","Horace Mann Educators Corp.")</f>
        <v>Horace Mann Educators Corp.</v>
      </c>
      <c r="C712" s="5">
        <v>0.137003058103975</v>
      </c>
      <c r="D712" s="5">
        <v>0.212868541752298</v>
      </c>
      <c r="E712" s="5">
        <v>0.266607617360496</v>
      </c>
      <c r="F712" s="5">
        <v>0.137003058103975</v>
      </c>
      <c r="G712" s="5">
        <v>0.144172506008598</v>
      </c>
      <c r="H712" s="5">
        <v>0.06724076067456</v>
      </c>
      <c r="I712" s="5">
        <v>0.068731693155</v>
      </c>
    </row>
    <row r="713">
      <c r="A713" s="2" t="s">
        <v>738</v>
      </c>
      <c r="B713" s="8" t="str">
        <f>HYPERLINK("https://www.suredividend.com/sure-analysis-research-database/","Home Point Capital Inc")</f>
        <v>Home Point Capital Inc</v>
      </c>
      <c r="C713" s="5">
        <v>0.0</v>
      </c>
      <c r="D713" s="5">
        <v>0.0</v>
      </c>
      <c r="E713" s="5">
        <v>0.0</v>
      </c>
      <c r="F713" s="5">
        <v>0.0</v>
      </c>
      <c r="G713" s="5">
        <v>0.0</v>
      </c>
      <c r="H713" s="5">
        <v>0.0</v>
      </c>
      <c r="I713" s="5">
        <v>0.0</v>
      </c>
    </row>
    <row r="714">
      <c r="A714" s="2" t="s">
        <v>739</v>
      </c>
      <c r="B714" s="8" t="str">
        <f>HYPERLINK("https://www.suredividend.com/sure-analysis-research-database/","HomeStreet Inc")</f>
        <v>HomeStreet Inc</v>
      </c>
      <c r="C714" s="5">
        <v>0.455339805825242</v>
      </c>
      <c r="D714" s="5">
        <v>2.43264100391582</v>
      </c>
      <c r="E714" s="5">
        <v>0.568352549749942</v>
      </c>
      <c r="F714" s="5">
        <v>0.455339805825242</v>
      </c>
      <c r="G714" s="5">
        <v>-0.437932611907279</v>
      </c>
      <c r="H714" s="5">
        <v>-0.642481498000138</v>
      </c>
      <c r="I714" s="5">
        <v>-0.271474256165009</v>
      </c>
    </row>
    <row r="715">
      <c r="A715" s="2" t="s">
        <v>740</v>
      </c>
      <c r="B715" s="8" t="str">
        <f>HYPERLINK("https://www.suredividend.com/sure-analysis-HNI/","HNI Corp.")</f>
        <v>HNI Corp.</v>
      </c>
      <c r="C715" s="5">
        <v>0.002151565861821</v>
      </c>
      <c r="D715" s="5">
        <v>0.286193364690433</v>
      </c>
      <c r="E715" s="5">
        <v>0.48050828900991</v>
      </c>
      <c r="F715" s="5">
        <v>0.002151565861821</v>
      </c>
      <c r="G715" s="5">
        <v>0.426937530635586</v>
      </c>
      <c r="H715" s="5">
        <v>0.089283858226795</v>
      </c>
      <c r="I715" s="5">
        <v>0.311664173920662</v>
      </c>
    </row>
    <row r="716">
      <c r="A716" s="2" t="s">
        <v>741</v>
      </c>
      <c r="B716" s="8" t="str">
        <f>HYPERLINK("https://www.suredividend.com/sure-analysis-research-database/","Honest Company Inc (The )")</f>
        <v>Honest Company Inc (The )</v>
      </c>
      <c r="C716" s="5">
        <v>-0.121212121212121</v>
      </c>
      <c r="D716" s="5">
        <v>1.61261261261261</v>
      </c>
      <c r="E716" s="5">
        <v>0.946308724832214</v>
      </c>
      <c r="F716" s="5">
        <v>-0.121212121212121</v>
      </c>
      <c r="G716" s="5">
        <v>-0.058441558441558</v>
      </c>
      <c r="H716" s="5">
        <v>-0.511784511784511</v>
      </c>
      <c r="I716" s="5">
        <v>-0.87391304347826</v>
      </c>
    </row>
    <row r="717">
      <c r="A717" s="2" t="s">
        <v>742</v>
      </c>
      <c r="B717" s="8" t="str">
        <f>HYPERLINK("https://www.suredividend.com/sure-analysis-HOMB/","Home Bancshares Inc")</f>
        <v>Home Bancshares Inc</v>
      </c>
      <c r="C717" s="5">
        <v>-0.019344650611922</v>
      </c>
      <c r="D717" s="5">
        <v>0.243548217530825</v>
      </c>
      <c r="E717" s="5">
        <v>0.046040081358672</v>
      </c>
      <c r="F717" s="5">
        <v>-0.019344650611922</v>
      </c>
      <c r="G717" s="5">
        <v>0.124521263592492</v>
      </c>
      <c r="H717" s="5">
        <v>0.13574015143202</v>
      </c>
      <c r="I717" s="5">
        <v>0.549372204861436</v>
      </c>
    </row>
    <row r="718">
      <c r="A718" s="2" t="s">
        <v>743</v>
      </c>
      <c r="B718" s="8" t="str">
        <f>HYPERLINK("https://www.suredividend.com/sure-analysis-research-database/","HarborOne Bancorp Inc.")</f>
        <v>HarborOne Bancorp Inc.</v>
      </c>
      <c r="C718" s="5">
        <v>0.015411749884516</v>
      </c>
      <c r="D718" s="5">
        <v>0.237499616160168</v>
      </c>
      <c r="E718" s="5">
        <v>0.164201525306216</v>
      </c>
      <c r="F718" s="5">
        <v>0.015411749884516</v>
      </c>
      <c r="G718" s="5">
        <v>-0.065528915271529</v>
      </c>
      <c r="H718" s="5">
        <v>-0.10004466279589</v>
      </c>
      <c r="I718" s="5">
        <v>0.308087638625912</v>
      </c>
    </row>
    <row r="719">
      <c r="A719" s="2" t="s">
        <v>744</v>
      </c>
      <c r="B719" s="8" t="str">
        <f>HYPERLINK("https://www.suredividend.com/sure-analysis-research-database/","Hope Bancorp Inc")</f>
        <v>Hope Bancorp Inc</v>
      </c>
      <c r="C719" s="5">
        <v>-0.010761589403973</v>
      </c>
      <c r="D719" s="5">
        <v>0.417052057393572</v>
      </c>
      <c r="E719" s="5">
        <v>0.128892079806529</v>
      </c>
      <c r="F719" s="5">
        <v>-0.010761589403973</v>
      </c>
      <c r="G719" s="5">
        <v>0.024827408773208</v>
      </c>
      <c r="H719" s="5">
        <v>-0.198497602199939</v>
      </c>
      <c r="I719" s="5">
        <v>0.042903023109683</v>
      </c>
    </row>
    <row r="720">
      <c r="A720" s="2" t="s">
        <v>745</v>
      </c>
      <c r="B720" s="8" t="str">
        <f>HYPERLINK("https://www.suredividend.com/sure-analysis-research-database/","Anywhere Real Estate Inc")</f>
        <v>Anywhere Real Estate Inc</v>
      </c>
      <c r="C720" s="5">
        <v>-0.046855733662145</v>
      </c>
      <c r="D720" s="5">
        <v>0.695175438596491</v>
      </c>
      <c r="E720" s="5">
        <v>-0.061893203883495</v>
      </c>
      <c r="F720" s="5">
        <v>-0.046855733662145</v>
      </c>
      <c r="G720" s="5">
        <v>-0.088443396226415</v>
      </c>
      <c r="H720" s="5">
        <v>-0.508269720101781</v>
      </c>
      <c r="I720" s="5">
        <v>-0.540116369001582</v>
      </c>
    </row>
    <row r="721">
      <c r="A721" s="2" t="s">
        <v>746</v>
      </c>
      <c r="B721" s="8" t="str">
        <f>HYPERLINK("https://www.suredividend.com/sure-analysis-research-database/","Hovnanian Enterprises, Inc.")</f>
        <v>Hovnanian Enterprises, Inc.</v>
      </c>
      <c r="C721" s="5">
        <v>0.118558025960673</v>
      </c>
      <c r="D721" s="5">
        <v>1.62311633514165</v>
      </c>
      <c r="E721" s="5">
        <v>0.623938800261218</v>
      </c>
      <c r="F721" s="5">
        <v>0.118558025960673</v>
      </c>
      <c r="G721" s="5">
        <v>2.10783788609176</v>
      </c>
      <c r="H721" s="5">
        <v>0.869107698915494</v>
      </c>
      <c r="I721" s="5">
        <v>9.63022900763358</v>
      </c>
    </row>
    <row r="722">
      <c r="A722" s="2" t="s">
        <v>747</v>
      </c>
      <c r="B722" s="8" t="str">
        <f>HYPERLINK("https://www.suredividend.com/sure-analysis-HP/","Helmerich &amp; Payne, Inc.")</f>
        <v>Helmerich &amp; Payne, Inc.</v>
      </c>
      <c r="C722" s="5">
        <v>0.001104362230811</v>
      </c>
      <c r="D722" s="5">
        <v>-0.076620625025465</v>
      </c>
      <c r="E722" s="5">
        <v>-0.1757854587279</v>
      </c>
      <c r="F722" s="5">
        <v>0.001104362230811</v>
      </c>
      <c r="G722" s="5">
        <v>-0.24502373615391</v>
      </c>
      <c r="H722" s="5">
        <v>0.337647054483478</v>
      </c>
      <c r="I722" s="5">
        <v>-0.150403827634603</v>
      </c>
    </row>
    <row r="723">
      <c r="A723" s="2" t="s">
        <v>748</v>
      </c>
      <c r="B723" s="8" t="str">
        <f>HYPERLINK("https://www.suredividend.com/sure-analysis-research-database/","HighPeak Energy Inc")</f>
        <v>HighPeak Energy Inc</v>
      </c>
      <c r="C723" s="5">
        <v>-0.003511235955056</v>
      </c>
      <c r="D723" s="5">
        <v>-0.189578169440414</v>
      </c>
      <c r="E723" s="5">
        <v>0.039324402516644</v>
      </c>
      <c r="F723" s="5">
        <v>-0.003511235955056</v>
      </c>
      <c r="G723" s="5">
        <v>-0.51058670961823</v>
      </c>
      <c r="H723" s="5">
        <v>-0.194139194139194</v>
      </c>
      <c r="I723" s="5">
        <v>1.12590639419907</v>
      </c>
    </row>
    <row r="724">
      <c r="A724" s="2" t="s">
        <v>749</v>
      </c>
      <c r="B724" s="8" t="str">
        <f>HYPERLINK("https://www.suredividend.com/sure-analysis-research-database/","Healthequity Inc")</f>
        <v>Healthequity Inc</v>
      </c>
      <c r="C724" s="5">
        <v>0.167119155354449</v>
      </c>
      <c r="D724" s="5">
        <v>0.090012677841949</v>
      </c>
      <c r="E724" s="5">
        <v>0.19432011112826</v>
      </c>
      <c r="F724" s="5">
        <v>0.167119155354449</v>
      </c>
      <c r="G724" s="5">
        <v>0.283037638865859</v>
      </c>
      <c r="H724" s="5">
        <v>0.508970358814352</v>
      </c>
      <c r="I724" s="5">
        <v>0.251293661060801</v>
      </c>
    </row>
    <row r="725">
      <c r="A725" s="2" t="s">
        <v>750</v>
      </c>
      <c r="B725" s="8" t="str">
        <f>HYPERLINK("https://www.suredividend.com/sure-analysis-research-database/","Herc Holdings Inc")</f>
        <v>Herc Holdings Inc</v>
      </c>
      <c r="C725" s="5">
        <v>0.031969910672308</v>
      </c>
      <c r="D725" s="5">
        <v>0.464363966639377</v>
      </c>
      <c r="E725" s="5">
        <v>0.206855789176863</v>
      </c>
      <c r="F725" s="5">
        <v>0.031969910672308</v>
      </c>
      <c r="G725" s="5">
        <v>0.023729333026847</v>
      </c>
      <c r="H725" s="5">
        <v>0.0337083791937</v>
      </c>
      <c r="I725" s="5">
        <v>3.46814141020533</v>
      </c>
    </row>
    <row r="726">
      <c r="A726" s="2" t="s">
        <v>751</v>
      </c>
      <c r="B726" s="8" t="str">
        <f>HYPERLINK("https://www.suredividend.com/sure-analysis-research-database/","Harmony Biosciences Holdings Inc")</f>
        <v>Harmony Biosciences Holdings Inc</v>
      </c>
      <c r="C726" s="5">
        <v>-9.28792569659E-4</v>
      </c>
      <c r="D726" s="5">
        <v>0.680729166666666</v>
      </c>
      <c r="E726" s="5">
        <v>-0.083499005964214</v>
      </c>
      <c r="F726" s="5">
        <v>-9.28792569659E-4</v>
      </c>
      <c r="G726" s="5">
        <v>-0.335598105826641</v>
      </c>
      <c r="H726" s="5">
        <v>-0.050044156608772</v>
      </c>
      <c r="I726" s="5">
        <v>-0.128073493650364</v>
      </c>
    </row>
    <row r="727">
      <c r="A727" s="2" t="s">
        <v>752</v>
      </c>
      <c r="B727" s="8" t="str">
        <f>HYPERLINK("https://www.suredividend.com/sure-analysis-research-database/","HireRight Holdings Corp")</f>
        <v>HireRight Holdings Corp</v>
      </c>
      <c r="C727" s="5">
        <v>-0.060223048327137</v>
      </c>
      <c r="D727" s="5">
        <v>0.370932754880694</v>
      </c>
      <c r="E727" s="5">
        <v>0.173630454967502</v>
      </c>
      <c r="F727" s="5">
        <v>-0.060223048327137</v>
      </c>
      <c r="G727" s="5">
        <v>0.087779690189328</v>
      </c>
      <c r="H727" s="5">
        <v>-0.004724409448818</v>
      </c>
      <c r="I727" s="5">
        <v>-0.267246376811594</v>
      </c>
    </row>
    <row r="728">
      <c r="A728" s="2" t="s">
        <v>753</v>
      </c>
      <c r="B728" s="8" t="str">
        <f>HYPERLINK("https://www.suredividend.com/sure-analysis-research-database/","Heron Therapeutics Inc")</f>
        <v>Heron Therapeutics Inc</v>
      </c>
      <c r="C728" s="5">
        <v>0.488235294117646</v>
      </c>
      <c r="D728" s="5">
        <v>3.03637523931078</v>
      </c>
      <c r="E728" s="5">
        <v>0.621794871794871</v>
      </c>
      <c r="F728" s="5">
        <v>0.488235294117646</v>
      </c>
      <c r="G728" s="5">
        <v>-0.093189964157706</v>
      </c>
      <c r="H728" s="5">
        <v>-0.689570552147239</v>
      </c>
      <c r="I728" s="5">
        <v>-0.902542372881356</v>
      </c>
    </row>
    <row r="729">
      <c r="A729" s="2" t="s">
        <v>754</v>
      </c>
      <c r="B729" s="8" t="str">
        <f>HYPERLINK("https://www.suredividend.com/sure-analysis-research-database/","Heidrick &amp; Struggles International, Inc.")</f>
        <v>Heidrick &amp; Struggles International, Inc.</v>
      </c>
      <c r="C729" s="5">
        <v>0.023366068405011</v>
      </c>
      <c r="D729" s="5">
        <v>0.2638323142936</v>
      </c>
      <c r="E729" s="5">
        <v>0.140700198169293</v>
      </c>
      <c r="F729" s="5">
        <v>0.023366068405011</v>
      </c>
      <c r="G729" s="5">
        <v>0.046884634837493</v>
      </c>
      <c r="H729" s="5">
        <v>-0.254397868298339</v>
      </c>
      <c r="I729" s="5">
        <v>0.054652055559433</v>
      </c>
    </row>
    <row r="730">
      <c r="A730" s="2" t="s">
        <v>755</v>
      </c>
      <c r="B730" s="8" t="str">
        <f>HYPERLINK("https://www.suredividend.com/sure-analysis-research-database/","Healthstream Inc")</f>
        <v>Healthstream Inc</v>
      </c>
      <c r="C730" s="5">
        <v>0.0</v>
      </c>
      <c r="D730" s="5">
        <v>0.09912452271646</v>
      </c>
      <c r="E730" s="5">
        <v>0.2145148680344</v>
      </c>
      <c r="F730" s="5">
        <v>0.0</v>
      </c>
      <c r="G730" s="5">
        <v>0.162070833440812</v>
      </c>
      <c r="H730" s="5">
        <v>0.114542658161561</v>
      </c>
      <c r="I730" s="5">
        <v>0.105051430066556</v>
      </c>
    </row>
    <row r="731">
      <c r="A731" s="2" t="s">
        <v>756</v>
      </c>
      <c r="B731" s="8" t="str">
        <f>HYPERLINK("https://www.suredividend.com/sure-analysis-research-database/","Hersha Hospitality Trust")</f>
        <v>Hersha Hospitality Trust</v>
      </c>
      <c r="C731" s="5">
        <v>0.010111223458038</v>
      </c>
      <c r="D731" s="5">
        <v>0.5988348830882</v>
      </c>
      <c r="E731" s="5">
        <v>0.733833177132146</v>
      </c>
      <c r="F731" s="5">
        <v>0.197396651124881</v>
      </c>
      <c r="G731" s="5">
        <v>0.087003830083565</v>
      </c>
      <c r="H731" s="5">
        <v>0.05776968362204</v>
      </c>
      <c r="I731" s="5">
        <v>-0.331821738868712</v>
      </c>
    </row>
    <row r="732">
      <c r="A732" s="2" t="s">
        <v>757</v>
      </c>
      <c r="B732" s="8" t="str">
        <f>HYPERLINK("https://www.suredividend.com/sure-analysis-research-database/","HomeTrust Bancshares Inc")</f>
        <v>HomeTrust Bancshares Inc</v>
      </c>
      <c r="C732" s="5">
        <v>0.070950965824665</v>
      </c>
      <c r="D732" s="5">
        <v>0.417613217288685</v>
      </c>
      <c r="E732" s="5">
        <v>0.186224489795918</v>
      </c>
      <c r="F732" s="5">
        <v>0.070950965824665</v>
      </c>
      <c r="G732" s="5">
        <v>0.120438381718549</v>
      </c>
      <c r="H732" s="5">
        <v>-0.048590210676382</v>
      </c>
      <c r="I732" s="5">
        <v>0.151082009103249</v>
      </c>
    </row>
    <row r="733">
      <c r="A733" s="2" t="s">
        <v>758</v>
      </c>
      <c r="B733" s="8" t="str">
        <f>HYPERLINK("https://www.suredividend.com/sure-analysis-research-database/","Heritage Commerce Corp.")</f>
        <v>Heritage Commerce Corp.</v>
      </c>
      <c r="C733" s="5">
        <v>-0.07258064516129</v>
      </c>
      <c r="D733" s="5">
        <v>0.148908536889954</v>
      </c>
      <c r="E733" s="5">
        <v>-0.006264852019874</v>
      </c>
      <c r="F733" s="5">
        <v>-0.07258064516129</v>
      </c>
      <c r="G733" s="5">
        <v>-0.171089026840497</v>
      </c>
      <c r="H733" s="5">
        <v>-0.17401375446661</v>
      </c>
      <c r="I733" s="5">
        <v>-0.095173933141221</v>
      </c>
    </row>
    <row r="734">
      <c r="A734" s="2" t="s">
        <v>759</v>
      </c>
      <c r="B734" s="8" t="str">
        <f>HYPERLINK("https://www.suredividend.com/sure-analysis-research-database/","Hilltop Holdings Inc")</f>
        <v>Hilltop Holdings Inc</v>
      </c>
      <c r="C734" s="5">
        <v>-0.058222095995455</v>
      </c>
      <c r="D734" s="5">
        <v>0.221025499401638</v>
      </c>
      <c r="E734" s="5">
        <v>0.076354288051363</v>
      </c>
      <c r="F734" s="5">
        <v>-0.058222095995455</v>
      </c>
      <c r="G734" s="5">
        <v>0.044136493452105</v>
      </c>
      <c r="H734" s="5">
        <v>0.075286251187646</v>
      </c>
      <c r="I734" s="5">
        <v>0.952598262917709</v>
      </c>
    </row>
    <row r="735">
      <c r="A735" s="2" t="s">
        <v>760</v>
      </c>
      <c r="B735" s="8" t="str">
        <f>HYPERLINK("https://www.suredividend.com/sure-analysis-research-database/","Heartland Express, Inc.")</f>
        <v>Heartland Express, Inc.</v>
      </c>
      <c r="C735" s="5">
        <v>-0.063814866760168</v>
      </c>
      <c r="D735" s="5">
        <v>0.083269770687612</v>
      </c>
      <c r="E735" s="5">
        <v>-0.209867482643718</v>
      </c>
      <c r="F735" s="5">
        <v>-0.063814866760168</v>
      </c>
      <c r="G735" s="5">
        <v>-0.189681335356601</v>
      </c>
      <c r="H735" s="5">
        <v>-0.08136934457251</v>
      </c>
      <c r="I735" s="5">
        <v>-0.308598241198222</v>
      </c>
    </row>
    <row r="736">
      <c r="A736" s="2" t="s">
        <v>761</v>
      </c>
      <c r="B736" s="8" t="str">
        <f>HYPERLINK("https://www.suredividend.com/sure-analysis-research-database/","Heartland Financial USA, Inc.")</f>
        <v>Heartland Financial USA, Inc.</v>
      </c>
      <c r="C736" s="5">
        <v>0.020207391651156</v>
      </c>
      <c r="D736" s="5">
        <v>0.370499087405481</v>
      </c>
      <c r="E736" s="5">
        <v>0.167727268577271</v>
      </c>
      <c r="F736" s="5">
        <v>0.020207391651156</v>
      </c>
      <c r="G736" s="5">
        <v>-0.114102327299593</v>
      </c>
      <c r="H736" s="5">
        <v>-0.190834092519485</v>
      </c>
      <c r="I736" s="5">
        <v>-0.037581236220255</v>
      </c>
    </row>
    <row r="737">
      <c r="A737" s="2" t="s">
        <v>762</v>
      </c>
      <c r="B737" s="8" t="str">
        <f>HYPERLINK("https://www.suredividend.com/sure-analysis-research-database/","Hub Group, Inc.")</f>
        <v>Hub Group, Inc.</v>
      </c>
      <c r="C737" s="5">
        <v>-0.008483793778551</v>
      </c>
      <c r="D737" s="5">
        <v>0.30079908675799</v>
      </c>
      <c r="E737" s="5">
        <v>0.014128379130047</v>
      </c>
      <c r="F737" s="5">
        <v>-0.008483793778551</v>
      </c>
      <c r="G737" s="5">
        <v>0.090561071898552</v>
      </c>
      <c r="H737" s="5">
        <v>0.209339347306978</v>
      </c>
      <c r="I737" s="5">
        <v>1.05778781038374</v>
      </c>
    </row>
    <row r="738">
      <c r="A738" s="2" t="s">
        <v>763</v>
      </c>
      <c r="B738" s="8" t="str">
        <f>HYPERLINK("https://www.suredividend.com/sure-analysis-research-database/","Humacyte Inc")</f>
        <v>Humacyte Inc</v>
      </c>
      <c r="C738" s="5">
        <v>0.169014084507042</v>
      </c>
      <c r="D738" s="5">
        <v>0.651741293532338</v>
      </c>
      <c r="E738" s="5">
        <v>0.110367892976588</v>
      </c>
      <c r="F738" s="5">
        <v>0.169014084507042</v>
      </c>
      <c r="G738" s="5">
        <v>0.194244604316546</v>
      </c>
      <c r="H738" s="5">
        <v>-0.286021505376344</v>
      </c>
      <c r="I738" s="5">
        <v>-0.727868852459016</v>
      </c>
    </row>
    <row r="739">
      <c r="A739" s="2" t="s">
        <v>764</v>
      </c>
      <c r="B739" s="8" t="str">
        <f>HYPERLINK("https://www.suredividend.com/sure-analysis-research-database/","Huron Consulting Group Inc")</f>
        <v>Huron Consulting Group Inc</v>
      </c>
      <c r="C739" s="5">
        <v>0.028599221789883</v>
      </c>
      <c r="D739" s="5">
        <v>0.077660008153281</v>
      </c>
      <c r="E739" s="5">
        <v>0.129097704217832</v>
      </c>
      <c r="F739" s="5">
        <v>0.028599221789883</v>
      </c>
      <c r="G739" s="5">
        <v>0.561198877897534</v>
      </c>
      <c r="H739" s="5">
        <v>1.42522935779816</v>
      </c>
      <c r="I739" s="5">
        <v>1.23504544493764</v>
      </c>
    </row>
    <row r="740">
      <c r="A740" s="2" t="s">
        <v>765</v>
      </c>
      <c r="B740" s="8" t="str">
        <f>HYPERLINK("https://www.suredividend.com/sure-analysis-research-database/","Haverty Furniture Cos., Inc.")</f>
        <v>Haverty Furniture Cos., Inc.</v>
      </c>
      <c r="C740" s="5">
        <v>-0.026197183098591</v>
      </c>
      <c r="D740" s="5">
        <v>0.375903969305839</v>
      </c>
      <c r="E740" s="5">
        <v>0.024839840982328</v>
      </c>
      <c r="F740" s="5">
        <v>-0.026197183098591</v>
      </c>
      <c r="G740" s="5">
        <v>0.087941691108901</v>
      </c>
      <c r="H740" s="5">
        <v>0.340073108992871</v>
      </c>
      <c r="I740" s="5">
        <v>1.13021616425525</v>
      </c>
    </row>
    <row r="741">
      <c r="A741" s="2" t="s">
        <v>766</v>
      </c>
      <c r="B741" s="8" t="str">
        <f>HYPERLINK("https://www.suredividend.com/sure-analysis-research-database/","Hancock Whitney Corp.")</f>
        <v>Hancock Whitney Corp.</v>
      </c>
      <c r="C741" s="5">
        <v>-0.01543527474789</v>
      </c>
      <c r="D741" s="5">
        <v>0.467718777228269</v>
      </c>
      <c r="E741" s="5">
        <v>0.11662994360832</v>
      </c>
      <c r="F741" s="5">
        <v>-0.01543527474789</v>
      </c>
      <c r="G741" s="5">
        <v>0.002701677387442</v>
      </c>
      <c r="H741" s="5">
        <v>-0.027630418257133</v>
      </c>
      <c r="I741" s="5">
        <v>0.344058077693524</v>
      </c>
    </row>
    <row r="742">
      <c r="A742" s="2" t="s">
        <v>767</v>
      </c>
      <c r="B742" s="8" t="str">
        <f>HYPERLINK("https://www.suredividend.com/sure-analysis-HWKN/","Hawkins Inc")</f>
        <v>Hawkins Inc</v>
      </c>
      <c r="C742" s="5">
        <v>-0.034365237148537</v>
      </c>
      <c r="D742" s="5">
        <v>0.229454104297484</v>
      </c>
      <c r="E742" s="5">
        <v>0.469152126381651</v>
      </c>
      <c r="F742" s="5">
        <v>-0.034365237148537</v>
      </c>
      <c r="G742" s="5">
        <v>0.80843849314522</v>
      </c>
      <c r="H742" s="5">
        <v>0.900322495905922</v>
      </c>
      <c r="I742" s="5">
        <v>2.61965900682944</v>
      </c>
    </row>
    <row r="743">
      <c r="A743" s="2" t="s">
        <v>768</v>
      </c>
      <c r="B743" s="8" t="str">
        <f>HYPERLINK("https://www.suredividend.com/sure-analysis-research-database/","Hyster-Yale Materials Handling Inc")</f>
        <v>Hyster-Yale Materials Handling Inc</v>
      </c>
      <c r="C743" s="5">
        <v>0.087634667953047</v>
      </c>
      <c r="D743" s="5">
        <v>0.748445165926515</v>
      </c>
      <c r="E743" s="5">
        <v>0.46027633851468</v>
      </c>
      <c r="F743" s="5">
        <v>0.087634667953047</v>
      </c>
      <c r="G743" s="5">
        <v>1.21214915981502</v>
      </c>
      <c r="H743" s="5">
        <v>0.721824971553231</v>
      </c>
      <c r="I743" s="5">
        <v>0.167249370989953</v>
      </c>
    </row>
    <row r="744">
      <c r="A744" s="2" t="s">
        <v>769</v>
      </c>
      <c r="B744" s="8" t="str">
        <f>HYPERLINK("https://www.suredividend.com/sure-analysis-research-database/","Hydrofarm Holdings Group Inc")</f>
        <v>Hydrofarm Holdings Group Inc</v>
      </c>
      <c r="C744" s="5">
        <v>0.133514986376021</v>
      </c>
      <c r="D744" s="5">
        <v>0.009708737864077</v>
      </c>
      <c r="E744" s="5">
        <v>-0.063063063063063</v>
      </c>
      <c r="F744" s="5">
        <v>0.133514986376021</v>
      </c>
      <c r="G744" s="5">
        <v>-0.437837837837837</v>
      </c>
      <c r="H744" s="5">
        <v>-0.941605839416058</v>
      </c>
      <c r="I744" s="5">
        <v>-0.979996153106366</v>
      </c>
    </row>
    <row r="745">
      <c r="A745" s="2" t="s">
        <v>770</v>
      </c>
      <c r="B745" s="8" t="str">
        <f>HYPERLINK("https://www.suredividend.com/sure-analysis-research-database/","Hyliion Holdings Corporation")</f>
        <v>Hyliion Holdings Corporation</v>
      </c>
      <c r="C745" s="5">
        <v>0.437876367211502</v>
      </c>
      <c r="D745" s="5">
        <v>1.07410033681971</v>
      </c>
      <c r="E745" s="5">
        <v>-0.357142857142857</v>
      </c>
      <c r="F745" s="5">
        <v>0.437876367211502</v>
      </c>
      <c r="G745" s="5">
        <v>-0.665714285714285</v>
      </c>
      <c r="H745" s="5">
        <v>-0.711111111111111</v>
      </c>
      <c r="I745" s="5">
        <v>-0.879381443298969</v>
      </c>
    </row>
    <row r="746">
      <c r="A746" s="2" t="s">
        <v>771</v>
      </c>
      <c r="B746" s="8" t="str">
        <f>HYPERLINK("https://www.suredividend.com/sure-analysis-research-database/","Hycroft Mining Holding Corporation")</f>
        <v>Hycroft Mining Holding Corporation</v>
      </c>
      <c r="C746" s="5">
        <v>-0.163265306122449</v>
      </c>
      <c r="D746" s="5">
        <v>-0.189723320158102</v>
      </c>
      <c r="E746" s="5">
        <v>-0.542104087558633</v>
      </c>
      <c r="F746" s="5">
        <v>-0.163265306122449</v>
      </c>
      <c r="G746" s="5">
        <v>-0.64204644665619</v>
      </c>
      <c r="H746" s="5">
        <v>-0.487243621810905</v>
      </c>
      <c r="I746" s="5">
        <v>-0.795</v>
      </c>
    </row>
    <row r="747">
      <c r="A747" s="2" t="s">
        <v>772</v>
      </c>
      <c r="B747" s="8" t="str">
        <f>HYPERLINK("https://www.suredividend.com/sure-analysis-research-database/","Hyzon Motors Inc")</f>
        <v>Hyzon Motors Inc</v>
      </c>
      <c r="C747" s="5">
        <v>-0.129608938547486</v>
      </c>
      <c r="D747" s="5">
        <v>-0.10377358490566</v>
      </c>
      <c r="E747" s="5">
        <v>-0.598453608247422</v>
      </c>
      <c r="F747" s="5">
        <v>-0.129608938547486</v>
      </c>
      <c r="G747" s="5">
        <v>-0.641013824884792</v>
      </c>
      <c r="H747" s="5">
        <v>-0.833547008547008</v>
      </c>
      <c r="I747" s="5">
        <v>-0.924</v>
      </c>
    </row>
    <row r="748">
      <c r="A748" s="2" t="s">
        <v>773</v>
      </c>
      <c r="B748" s="8" t="str">
        <f>HYPERLINK("https://www.suredividend.com/sure-analysis-research-database/","Marinemax, Inc.")</f>
        <v>Marinemax, Inc.</v>
      </c>
      <c r="C748" s="5">
        <v>-0.268380462724935</v>
      </c>
      <c r="D748" s="5">
        <v>0.034909090909091</v>
      </c>
      <c r="E748" s="5">
        <v>-0.271750255885363</v>
      </c>
      <c r="F748" s="5">
        <v>-0.268380462724935</v>
      </c>
      <c r="G748" s="5">
        <v>-0.066579206297146</v>
      </c>
      <c r="H748" s="5">
        <v>-0.382646420824295</v>
      </c>
      <c r="I748" s="5">
        <v>0.611551528878822</v>
      </c>
    </row>
    <row r="749">
      <c r="A749" s="2" t="s">
        <v>774</v>
      </c>
      <c r="B749" s="8" t="str">
        <f>HYPERLINK("https://www.suredividend.com/sure-analysis-research-database/","Integral Ad Science Holding Corp")</f>
        <v>Integral Ad Science Holding Corp</v>
      </c>
      <c r="C749" s="5">
        <v>0.059763724808894</v>
      </c>
      <c r="D749" s="5">
        <v>0.368940754039497</v>
      </c>
      <c r="E749" s="5">
        <v>-0.249507874015748</v>
      </c>
      <c r="F749" s="5">
        <v>0.059763724808894</v>
      </c>
      <c r="G749" s="5">
        <v>0.45933014354067</v>
      </c>
      <c r="H749" s="5">
        <v>0.020749665327978</v>
      </c>
      <c r="I749" s="5">
        <v>-0.258989310009718</v>
      </c>
    </row>
    <row r="750">
      <c r="A750" s="2" t="s">
        <v>775</v>
      </c>
      <c r="B750" s="8" t="str">
        <f>HYPERLINK("https://www.suredividend.com/sure-analysis-research-database/","Independent Bank Corporation (Ionia, MI)")</f>
        <v>Independent Bank Corporation (Ionia, MI)</v>
      </c>
      <c r="C750" s="5">
        <v>0.010376633358954</v>
      </c>
      <c r="D750" s="5">
        <v>0.422072688523348</v>
      </c>
      <c r="E750" s="5">
        <v>0.3285292690815</v>
      </c>
      <c r="F750" s="5">
        <v>0.010376633358954</v>
      </c>
      <c r="G750" s="5">
        <v>0.322427955593784</v>
      </c>
      <c r="H750" s="5">
        <v>0.225138404757022</v>
      </c>
      <c r="I750" s="5">
        <v>0.526420604646032</v>
      </c>
    </row>
    <row r="751">
      <c r="A751" s="2" t="s">
        <v>776</v>
      </c>
      <c r="B751" s="8" t="str">
        <f>HYPERLINK("https://www.suredividend.com/sure-analysis-research-database/","IBEX Ltd")</f>
        <v>IBEX Ltd</v>
      </c>
      <c r="C751" s="5">
        <v>-0.013677012098895</v>
      </c>
      <c r="D751" s="5">
        <v>0.174812030075187</v>
      </c>
      <c r="E751" s="5">
        <v>-0.032008260196179</v>
      </c>
      <c r="F751" s="5">
        <v>-0.013677012098895</v>
      </c>
      <c r="G751" s="5">
        <v>-0.267291910902696</v>
      </c>
      <c r="H751" s="5">
        <v>0.443418013856812</v>
      </c>
      <c r="I751" s="5">
        <v>0.217532467532467</v>
      </c>
    </row>
    <row r="752">
      <c r="A752" s="2" t="s">
        <v>777</v>
      </c>
      <c r="B752" s="8" t="str">
        <f>HYPERLINK("https://www.suredividend.com/sure-analysis-IBOC/","International Bancshares Corp.")</f>
        <v>International Bancshares Corp.</v>
      </c>
      <c r="C752" s="5">
        <v>0.010493372606774</v>
      </c>
      <c r="D752" s="5">
        <v>0.277997671711292</v>
      </c>
      <c r="E752" s="5">
        <v>0.151354083856501</v>
      </c>
      <c r="F752" s="5">
        <v>0.010493372606774</v>
      </c>
      <c r="G752" s="5">
        <v>0.261656357814845</v>
      </c>
      <c r="H752" s="5">
        <v>0.412193904591366</v>
      </c>
      <c r="I752" s="5">
        <v>0.805081457219339</v>
      </c>
    </row>
    <row r="753">
      <c r="A753" s="2" t="s">
        <v>778</v>
      </c>
      <c r="B753" s="8" t="str">
        <f>HYPERLINK("https://www.suredividend.com/sure-analysis-research-database/","Installed Building Products Inc")</f>
        <v>Installed Building Products Inc</v>
      </c>
      <c r="C753" s="5">
        <v>0.073897822995296</v>
      </c>
      <c r="D753" s="5">
        <v>0.806079015611963</v>
      </c>
      <c r="E753" s="5">
        <v>0.329005530471748</v>
      </c>
      <c r="F753" s="5">
        <v>0.073897822995296</v>
      </c>
      <c r="G753" s="5">
        <v>0.834019934796214</v>
      </c>
      <c r="H753" s="5">
        <v>0.896767100418616</v>
      </c>
      <c r="I753" s="5">
        <v>4.04642100717649</v>
      </c>
    </row>
    <row r="754">
      <c r="A754" s="2" t="s">
        <v>779</v>
      </c>
      <c r="B754" s="8" t="str">
        <f>HYPERLINK("https://www.suredividend.com/sure-analysis-research-database/","ImmunityBio Inc")</f>
        <v>ImmunityBio Inc</v>
      </c>
      <c r="C754" s="5">
        <v>-0.272908366533864</v>
      </c>
      <c r="D754" s="5">
        <v>0.471774193548387</v>
      </c>
      <c r="E754" s="5">
        <v>0.593886462882095</v>
      </c>
      <c r="F754" s="5">
        <v>-0.272908366533864</v>
      </c>
      <c r="G754" s="5">
        <v>-0.088639200998751</v>
      </c>
      <c r="H754" s="5">
        <v>-0.294003868471953</v>
      </c>
      <c r="I754" s="5">
        <v>2.37962962962962</v>
      </c>
    </row>
    <row r="755">
      <c r="A755" s="2" t="s">
        <v>780</v>
      </c>
      <c r="B755" s="8" t="str">
        <f>HYPERLINK("https://www.suredividend.com/sure-analysis-research-database/","Independent Bank Group Inc")</f>
        <v>Independent Bank Group Inc</v>
      </c>
      <c r="C755" s="5">
        <v>0.028301886792452</v>
      </c>
      <c r="D755" s="5">
        <v>0.477285882489136</v>
      </c>
      <c r="E755" s="5">
        <v>0.214064773325845</v>
      </c>
      <c r="F755" s="5">
        <v>0.028301886792452</v>
      </c>
      <c r="G755" s="5">
        <v>-0.055645101610204</v>
      </c>
      <c r="H755" s="5">
        <v>-0.243179283479408</v>
      </c>
      <c r="I755" s="5">
        <v>0.137697988153328</v>
      </c>
    </row>
    <row r="756">
      <c r="A756" s="2" t="s">
        <v>781</v>
      </c>
      <c r="B756" s="8" t="str">
        <f>HYPERLINK("https://www.suredividend.com/sure-analysis-research-database/","ICF International, Inc")</f>
        <v>ICF International, Inc</v>
      </c>
      <c r="C756" s="5">
        <v>0.063166529942575</v>
      </c>
      <c r="D756" s="5">
        <v>0.151978589488841</v>
      </c>
      <c r="E756" s="5">
        <v>0.217134134055508</v>
      </c>
      <c r="F756" s="5">
        <v>0.063166529942575</v>
      </c>
      <c r="G756" s="5">
        <v>0.452599466279741</v>
      </c>
      <c r="H756" s="5">
        <v>0.564226439771905</v>
      </c>
      <c r="I756" s="5">
        <v>1.35707660333621</v>
      </c>
    </row>
    <row r="757">
      <c r="A757" s="2" t="s">
        <v>782</v>
      </c>
      <c r="B757" s="8" t="str">
        <f>HYPERLINK("https://www.suredividend.com/sure-analysis-research-database/","Ichor Holdings Ltd")</f>
        <v>Ichor Holdings Ltd</v>
      </c>
      <c r="C757" s="5">
        <v>0.131132917038358</v>
      </c>
      <c r="D757" s="5">
        <v>0.564788153023447</v>
      </c>
      <c r="E757" s="5">
        <v>0.014129565449213</v>
      </c>
      <c r="F757" s="5">
        <v>0.131132917038358</v>
      </c>
      <c r="G757" s="5">
        <v>0.120801414260459</v>
      </c>
      <c r="H757" s="5">
        <v>-0.002883355176933</v>
      </c>
      <c r="I757" s="5">
        <v>0.924127465857359</v>
      </c>
    </row>
    <row r="758">
      <c r="A758" s="2" t="s">
        <v>783</v>
      </c>
      <c r="B758" s="8" t="str">
        <f>HYPERLINK("https://www.suredividend.com/sure-analysis-research-database/","Intercept Pharmaceuticals Inc")</f>
        <v>Intercept Pharmaceuticals Inc</v>
      </c>
      <c r="C758" s="5">
        <v>0.0</v>
      </c>
      <c r="D758" s="5">
        <v>0.0</v>
      </c>
      <c r="E758" s="5">
        <v>0.0</v>
      </c>
      <c r="F758" s="5">
        <v>0.0</v>
      </c>
      <c r="G758" s="5">
        <v>0.0</v>
      </c>
      <c r="H758" s="5">
        <v>0.0</v>
      </c>
      <c r="I758" s="5">
        <v>0.0</v>
      </c>
    </row>
    <row r="759">
      <c r="A759" s="2" t="s">
        <v>784</v>
      </c>
      <c r="B759" s="8" t="str">
        <f>HYPERLINK("https://www.suredividend.com/sure-analysis-research-database/","Icosavax Inc")</f>
        <v>Icosavax Inc</v>
      </c>
      <c r="C759" s="5">
        <v>-0.02728426395939</v>
      </c>
      <c r="D759" s="5">
        <v>1.57647058823529</v>
      </c>
      <c r="E759" s="5">
        <v>0.671755725190839</v>
      </c>
      <c r="F759" s="5">
        <v>-0.02728426395939</v>
      </c>
      <c r="G759" s="5">
        <v>0.331885317115551</v>
      </c>
      <c r="H759" s="5">
        <v>0.100502512562814</v>
      </c>
      <c r="I759" s="5">
        <v>-0.561624249356591</v>
      </c>
    </row>
    <row r="760">
      <c r="A760" s="2" t="s">
        <v>785</v>
      </c>
      <c r="B760" s="8" t="str">
        <f>HYPERLINK("https://www.suredividend.com/sure-analysis-research-database/","Interdigital Inc")</f>
        <v>Interdigital Inc</v>
      </c>
      <c r="C760" s="5">
        <v>-0.008528695574677</v>
      </c>
      <c r="D760" s="5">
        <v>0.421588985081301</v>
      </c>
      <c r="E760" s="5">
        <v>0.188618642615317</v>
      </c>
      <c r="F760" s="5">
        <v>-0.008528695574677</v>
      </c>
      <c r="G760" s="5">
        <v>0.582970322270821</v>
      </c>
      <c r="H760" s="5">
        <v>0.682753665661426</v>
      </c>
      <c r="I760" s="5">
        <v>0.688767168342256</v>
      </c>
    </row>
    <row r="761">
      <c r="A761" s="2" t="s">
        <v>786</v>
      </c>
      <c r="B761" s="8" t="str">
        <f>HYPERLINK("https://www.suredividend.com/sure-analysis-research-database/","IDT Corp.")</f>
        <v>IDT Corp.</v>
      </c>
      <c r="C761" s="5">
        <v>0.031974185978292</v>
      </c>
      <c r="D761" s="5">
        <v>0.265922993882691</v>
      </c>
      <c r="E761" s="5">
        <v>0.5118177911474</v>
      </c>
      <c r="F761" s="5">
        <v>0.031974185978292</v>
      </c>
      <c r="G761" s="5">
        <v>0.190927555856465</v>
      </c>
      <c r="H761" s="5">
        <v>-0.034842249657064</v>
      </c>
      <c r="I761" s="5">
        <v>3.99007092198581</v>
      </c>
    </row>
    <row r="762">
      <c r="A762" s="2" t="s">
        <v>787</v>
      </c>
      <c r="B762" s="8" t="str">
        <f>HYPERLINK("https://www.suredividend.com/sure-analysis-research-database/","Ideaya Biosciences Inc")</f>
        <v>Ideaya Biosciences Inc</v>
      </c>
      <c r="C762" s="5">
        <v>0.242833052276559</v>
      </c>
      <c r="D762" s="5">
        <v>0.729370355885803</v>
      </c>
      <c r="E762" s="5">
        <v>1.04155124653739</v>
      </c>
      <c r="F762" s="5">
        <v>0.242833052276559</v>
      </c>
      <c r="G762" s="5">
        <v>1.61966824644549</v>
      </c>
      <c r="H762" s="5">
        <v>1.84555984555984</v>
      </c>
      <c r="I762" s="5">
        <v>2.95174262734584</v>
      </c>
    </row>
    <row r="763">
      <c r="A763" s="2" t="s">
        <v>788</v>
      </c>
      <c r="B763" s="8" t="str">
        <f>HYPERLINK("https://www.suredividend.com/sure-analysis-research-database/","Ivanhoe Electric Inc")</f>
        <v>Ivanhoe Electric Inc</v>
      </c>
      <c r="C763" s="5">
        <v>-0.087301587301587</v>
      </c>
      <c r="D763" s="5">
        <v>-0.132893496701225</v>
      </c>
      <c r="E763" s="5">
        <v>-0.432449105490438</v>
      </c>
      <c r="F763" s="5">
        <v>-0.087301587301587</v>
      </c>
      <c r="G763" s="5">
        <v>-0.316493313521545</v>
      </c>
      <c r="H763" s="5">
        <v>-0.148148148148148</v>
      </c>
      <c r="I763" s="5">
        <v>-0.148148148148148</v>
      </c>
    </row>
    <row r="764">
      <c r="A764" s="2" t="s">
        <v>789</v>
      </c>
      <c r="B764" s="8" t="str">
        <f>HYPERLINK("https://www.suredividend.com/sure-analysis-research-database/","IES Holdings Inc")</f>
        <v>IES Holdings Inc</v>
      </c>
      <c r="C764" s="5">
        <v>0.049229992426155</v>
      </c>
      <c r="D764" s="5">
        <v>0.359502780503761</v>
      </c>
      <c r="E764" s="5">
        <v>0.485081293550116</v>
      </c>
      <c r="F764" s="5">
        <v>0.049229992426155</v>
      </c>
      <c r="G764" s="5">
        <v>1.10857432775241</v>
      </c>
      <c r="H764" s="5">
        <v>0.724123625803775</v>
      </c>
      <c r="I764" s="5">
        <v>4.01024713682941</v>
      </c>
    </row>
    <row r="765">
      <c r="A765" s="2" t="s">
        <v>790</v>
      </c>
      <c r="B765" s="8" t="str">
        <f>HYPERLINK("https://www.suredividend.com/sure-analysis-research-database/","IGM Biosciences Inc")</f>
        <v>IGM Biosciences Inc</v>
      </c>
      <c r="C765" s="5">
        <v>0.292418772563176</v>
      </c>
      <c r="D765" s="5">
        <v>1.60679611650485</v>
      </c>
      <c r="E765" s="5">
        <v>0.019943019943019</v>
      </c>
      <c r="F765" s="5">
        <v>0.292418772563176</v>
      </c>
      <c r="G765" s="5">
        <v>-0.522241992882562</v>
      </c>
      <c r="H765" s="5">
        <v>-0.377752027809965</v>
      </c>
      <c r="I765" s="5">
        <v>-0.558024691358024</v>
      </c>
    </row>
    <row r="766">
      <c r="A766" s="2" t="s">
        <v>791</v>
      </c>
      <c r="B766" s="8" t="str">
        <f>HYPERLINK("https://www.suredividend.com/sure-analysis-research-database/","International Game Technology PLC")</f>
        <v>International Game Technology PLC</v>
      </c>
      <c r="C766" s="5">
        <v>-0.019700839109813</v>
      </c>
      <c r="D766" s="5">
        <v>0.003923033812815</v>
      </c>
      <c r="E766" s="5">
        <v>-0.185964784721464</v>
      </c>
      <c r="F766" s="5">
        <v>-0.019700839109813</v>
      </c>
      <c r="G766" s="5">
        <v>0.038947983002548</v>
      </c>
      <c r="H766" s="5">
        <v>0.094759658086228</v>
      </c>
      <c r="I766" s="5">
        <v>1.02396824320761</v>
      </c>
    </row>
    <row r="767">
      <c r="A767" s="2" t="s">
        <v>792</v>
      </c>
      <c r="B767" s="8" t="str">
        <f>HYPERLINK("https://www.suredividend.com/sure-analysis-research-database/","iHeartMedia Inc")</f>
        <v>iHeartMedia Inc</v>
      </c>
      <c r="C767" s="5">
        <v>0.059925093632958</v>
      </c>
      <c r="D767" s="5">
        <v>0.322429906542055</v>
      </c>
      <c r="E767" s="5">
        <v>-0.327790973871733</v>
      </c>
      <c r="F767" s="5">
        <v>0.059925093632958</v>
      </c>
      <c r="G767" s="5">
        <v>-0.634838709677419</v>
      </c>
      <c r="H767" s="5">
        <v>-0.861410381978452</v>
      </c>
      <c r="I767" s="5">
        <v>-0.828484848484848</v>
      </c>
    </row>
    <row r="768">
      <c r="A768" s="2" t="s">
        <v>793</v>
      </c>
      <c r="B768" s="8" t="str">
        <f>HYPERLINK("https://www.suredividend.com/sure-analysis-research-database/","Information Services Group Inc.")</f>
        <v>Information Services Group Inc.</v>
      </c>
      <c r="C768" s="5">
        <v>0.0</v>
      </c>
      <c r="D768" s="5">
        <v>0.204880918881583</v>
      </c>
      <c r="E768" s="5">
        <v>-0.049751846023483</v>
      </c>
      <c r="F768" s="5">
        <v>0.0</v>
      </c>
      <c r="G768" s="5">
        <v>-0.042819111102079</v>
      </c>
      <c r="H768" s="5">
        <v>-0.177076963396523</v>
      </c>
      <c r="I768" s="5">
        <v>0.242711274108862</v>
      </c>
    </row>
    <row r="769">
      <c r="A769" s="2" t="s">
        <v>794</v>
      </c>
      <c r="B769" s="8" t="str">
        <f>HYPERLINK("https://www.suredividend.com/sure-analysis-research-database/","Insteel Industries, Inc.")</f>
        <v>Insteel Industries, Inc.</v>
      </c>
      <c r="C769" s="5">
        <v>-0.088796030295116</v>
      </c>
      <c r="D769" s="5">
        <v>0.388828074309666</v>
      </c>
      <c r="E769" s="5">
        <v>0.172402669408657</v>
      </c>
      <c r="F769" s="5">
        <v>-0.088796030295116</v>
      </c>
      <c r="G769" s="5">
        <v>0.249011065328755</v>
      </c>
      <c r="H769" s="5">
        <v>0.100617026914487</v>
      </c>
      <c r="I769" s="5">
        <v>0.887823565059302</v>
      </c>
    </row>
    <row r="770">
      <c r="A770" s="2" t="s">
        <v>795</v>
      </c>
      <c r="B770" s="8" t="str">
        <f>HYPERLINK("https://www.suredividend.com/sure-analysis-research-database/","i3 Verticals Inc")</f>
        <v>i3 Verticals Inc</v>
      </c>
      <c r="C770" s="5">
        <v>-0.058573452999527</v>
      </c>
      <c r="D770" s="5">
        <v>0.096259625962596</v>
      </c>
      <c r="E770" s="5">
        <v>-0.188848188848188</v>
      </c>
      <c r="F770" s="5">
        <v>-0.058573452999527</v>
      </c>
      <c r="G770" s="5">
        <v>-0.312046945115636</v>
      </c>
      <c r="H770" s="5">
        <v>-0.103463787674313</v>
      </c>
      <c r="I770" s="5">
        <v>-0.148654421187526</v>
      </c>
    </row>
    <row r="771">
      <c r="A771" s="2" t="s">
        <v>796</v>
      </c>
      <c r="B771" s="8" t="str">
        <f>HYPERLINK("https://www.suredividend.com/sure-analysis-IIPR/","Innovative Industrial Properties Inc")</f>
        <v>Innovative Industrial Properties Inc</v>
      </c>
      <c r="C771" s="5">
        <v>-0.041360841102955</v>
      </c>
      <c r="D771" s="5">
        <v>0.405572845466973</v>
      </c>
      <c r="E771" s="5">
        <v>0.311559500562484</v>
      </c>
      <c r="F771" s="5">
        <v>-0.041360841102955</v>
      </c>
      <c r="G771" s="5">
        <v>0.209140678169662</v>
      </c>
      <c r="H771" s="5">
        <v>-0.398971566660054</v>
      </c>
      <c r="I771" s="5">
        <v>1.10806189173744</v>
      </c>
    </row>
    <row r="772">
      <c r="A772" s="2" t="s">
        <v>797</v>
      </c>
      <c r="B772" s="8" t="str">
        <f>HYPERLINK("https://www.suredividend.com/sure-analysis-ILPT/","Industrial Logistics Properties Trust")</f>
        <v>Industrial Logistics Properties Trust</v>
      </c>
      <c r="C772" s="5">
        <v>-0.086991765860318</v>
      </c>
      <c r="D772" s="5">
        <v>0.765895119032883</v>
      </c>
      <c r="E772" s="5">
        <v>0.105029433026954</v>
      </c>
      <c r="F772" s="5">
        <v>-0.086991765860318</v>
      </c>
      <c r="G772" s="5">
        <v>0.044437394763171</v>
      </c>
      <c r="H772" s="5">
        <v>-0.803066276480223</v>
      </c>
      <c r="I772" s="5">
        <v>-0.743029371502677</v>
      </c>
    </row>
    <row r="773">
      <c r="A773" s="2" t="s">
        <v>798</v>
      </c>
      <c r="B773" s="8" t="str">
        <f>HYPERLINK("https://www.suredividend.com/sure-analysis-research-database/","Imax Corp")</f>
        <v>Imax Corp</v>
      </c>
      <c r="C773" s="5">
        <v>-0.057922769640479</v>
      </c>
      <c r="D773" s="5">
        <v>-0.211259754738015</v>
      </c>
      <c r="E773" s="5">
        <v>-0.24087982832618</v>
      </c>
      <c r="F773" s="5">
        <v>-0.057922769640479</v>
      </c>
      <c r="G773" s="5">
        <v>-0.16073546856465</v>
      </c>
      <c r="H773" s="5">
        <v>-0.133496631965707</v>
      </c>
      <c r="I773" s="5">
        <v>-0.326831588962892</v>
      </c>
    </row>
    <row r="774">
      <c r="A774" s="2" t="s">
        <v>799</v>
      </c>
      <c r="B774" s="8" t="str">
        <f>HYPERLINK("https://www.suredividend.com/sure-analysis-research-database/","Immunogen, Inc.")</f>
        <v>Immunogen, Inc.</v>
      </c>
      <c r="C774" s="5">
        <v>-0.007757166947723</v>
      </c>
      <c r="D774" s="5">
        <v>0.961333333333333</v>
      </c>
      <c r="E774" s="5">
        <v>0.507172131147541</v>
      </c>
      <c r="F774" s="5">
        <v>-0.007757166947723</v>
      </c>
      <c r="G774" s="5">
        <v>5.19368421052631</v>
      </c>
      <c r="H774" s="5">
        <v>4.61450381679389</v>
      </c>
      <c r="I774" s="5">
        <v>5.18067226890756</v>
      </c>
    </row>
    <row r="775">
      <c r="A775" s="2" t="s">
        <v>800</v>
      </c>
      <c r="B775" s="8" t="str">
        <f>HYPERLINK("https://www.suredividend.com/sure-analysis-research-database/","Ingles Markets, Inc.")</f>
        <v>Ingles Markets, Inc.</v>
      </c>
      <c r="C775" s="5">
        <v>-0.030239917993442</v>
      </c>
      <c r="D775" s="5">
        <v>0.045539353705311</v>
      </c>
      <c r="E775" s="5">
        <v>9.4687776047E-5</v>
      </c>
      <c r="F775" s="5">
        <v>-0.030239917993442</v>
      </c>
      <c r="G775" s="5">
        <v>-0.08100565119847</v>
      </c>
      <c r="H775" s="5">
        <v>0.116133235060816</v>
      </c>
      <c r="I775" s="5">
        <v>2.12830395237059</v>
      </c>
    </row>
    <row r="776">
      <c r="A776" s="2" t="s">
        <v>801</v>
      </c>
      <c r="B776" s="8" t="str">
        <f>HYPERLINK("https://www.suredividend.com/sure-analysis-research-database/","Immunovant Inc")</f>
        <v>Immunovant Inc</v>
      </c>
      <c r="C776" s="5">
        <v>-0.06669831474009</v>
      </c>
      <c r="D776" s="5">
        <v>0.176540993417115</v>
      </c>
      <c r="E776" s="5">
        <v>0.745228584110075</v>
      </c>
      <c r="F776" s="5">
        <v>-0.06669831474009</v>
      </c>
      <c r="G776" s="5">
        <v>1.21896162528216</v>
      </c>
      <c r="H776" s="5">
        <v>4.85119047619047</v>
      </c>
      <c r="I776" s="5">
        <v>2.95175879396984</v>
      </c>
    </row>
    <row r="777">
      <c r="A777" s="2" t="s">
        <v>802</v>
      </c>
      <c r="B777" s="8" t="str">
        <f>HYPERLINK("https://www.suredividend.com/sure-analysis-research-database/","International Money Express Inc.")</f>
        <v>International Money Express Inc.</v>
      </c>
      <c r="C777" s="5">
        <v>-0.042553191489361</v>
      </c>
      <c r="D777" s="5">
        <v>0.305555555555555</v>
      </c>
      <c r="E777" s="5">
        <v>-0.128912685337726</v>
      </c>
      <c r="F777" s="5">
        <v>-0.042553191489361</v>
      </c>
      <c r="G777" s="5">
        <v>-0.091884929154143</v>
      </c>
      <c r="H777" s="5">
        <v>0.337760910815939</v>
      </c>
      <c r="I777" s="5">
        <v>0.856892010535557</v>
      </c>
    </row>
    <row r="778">
      <c r="A778" s="2" t="s">
        <v>803</v>
      </c>
      <c r="B778" s="8" t="str">
        <f>HYPERLINK("https://www.suredividend.com/sure-analysis-research-database/","First Internet Bancorp")</f>
        <v>First Internet Bancorp</v>
      </c>
      <c r="C778" s="5">
        <v>0.352211657709797</v>
      </c>
      <c r="D778" s="5">
        <v>1.04160607176516</v>
      </c>
      <c r="E778" s="5">
        <v>0.435033057089835</v>
      </c>
      <c r="F778" s="5">
        <v>0.352211657709797</v>
      </c>
      <c r="G778" s="5">
        <v>0.307286192164276</v>
      </c>
      <c r="H778" s="5">
        <v>-0.313504505979289</v>
      </c>
      <c r="I778" s="5">
        <v>0.746694576756306</v>
      </c>
    </row>
    <row r="779">
      <c r="A779" s="2" t="s">
        <v>804</v>
      </c>
      <c r="B779" s="8" t="str">
        <f>HYPERLINK("https://www.suredividend.com/sure-analysis-research-database/","Inhibrx Inc")</f>
        <v>Inhibrx Inc</v>
      </c>
      <c r="C779" s="5">
        <v>0.0</v>
      </c>
      <c r="D779" s="5">
        <v>1.62068965517241</v>
      </c>
      <c r="E779" s="5">
        <v>0.827801827801828</v>
      </c>
      <c r="F779" s="5">
        <v>0.0</v>
      </c>
      <c r="G779" s="5">
        <v>0.400147383935151</v>
      </c>
      <c r="H779" s="5">
        <v>0.544087769199512</v>
      </c>
      <c r="I779" s="5">
        <v>0.841977702375181</v>
      </c>
    </row>
    <row r="780">
      <c r="A780" s="2" t="s">
        <v>805</v>
      </c>
      <c r="B780" s="8" t="str">
        <f>HYPERLINK("https://www.suredividend.com/sure-analysis-INDB/","Independent Bank Corp.")</f>
        <v>Independent Bank Corp.</v>
      </c>
      <c r="C780" s="5">
        <v>-0.084789545661753</v>
      </c>
      <c r="D780" s="5">
        <v>0.29394148368233</v>
      </c>
      <c r="E780" s="5">
        <v>0.045133526523104</v>
      </c>
      <c r="F780" s="5">
        <v>-0.084789545661753</v>
      </c>
      <c r="G780" s="5">
        <v>-0.165469300548825</v>
      </c>
      <c r="H780" s="5">
        <v>-0.198629034296761</v>
      </c>
      <c r="I780" s="5">
        <v>-0.090800678087888</v>
      </c>
    </row>
    <row r="781">
      <c r="A781" s="2" t="s">
        <v>806</v>
      </c>
      <c r="B781" s="8" t="str">
        <f>HYPERLINK("https://www.suredividend.com/sure-analysis-research-database/","Indie Semiconductor Inc")</f>
        <v>Indie Semiconductor Inc</v>
      </c>
      <c r="C781" s="5">
        <v>-0.164611590628853</v>
      </c>
      <c r="D781" s="5">
        <v>0.341584158415841</v>
      </c>
      <c r="E781" s="5">
        <v>-0.2619825708061</v>
      </c>
      <c r="F781" s="5">
        <v>-0.164611590628853</v>
      </c>
      <c r="G781" s="5">
        <v>-0.139135959339263</v>
      </c>
      <c r="H781" s="5">
        <v>-0.068088033012379</v>
      </c>
      <c r="I781" s="5">
        <v>-0.370353159851301</v>
      </c>
    </row>
    <row r="782">
      <c r="A782" s="2" t="s">
        <v>807</v>
      </c>
      <c r="B782" s="8" t="str">
        <f>HYPERLINK("https://www.suredividend.com/sure-analysis-research-database/","INDUS Realty Trust Inc")</f>
        <v>INDUS Realty Trust Inc</v>
      </c>
      <c r="C782" s="5">
        <v>0.0</v>
      </c>
      <c r="D782" s="5">
        <v>0.0</v>
      </c>
      <c r="E782" s="5">
        <v>0.0</v>
      </c>
      <c r="F782" s="5">
        <v>0.0</v>
      </c>
      <c r="G782" s="5">
        <v>0.0</v>
      </c>
      <c r="H782" s="5">
        <v>0.0</v>
      </c>
      <c r="I782" s="5">
        <v>0.0</v>
      </c>
    </row>
    <row r="783">
      <c r="A783" s="2" t="s">
        <v>808</v>
      </c>
      <c r="B783" s="8" t="str">
        <f>HYPERLINK("https://www.suredividend.com/sure-analysis-research-database/","Infinera Corp.")</f>
        <v>Infinera Corp.</v>
      </c>
      <c r="C783" s="5">
        <v>0.105263157894736</v>
      </c>
      <c r="D783" s="5">
        <v>0.761744966442953</v>
      </c>
      <c r="E783" s="5">
        <v>0.171874999999999</v>
      </c>
      <c r="F783" s="5">
        <v>0.105263157894736</v>
      </c>
      <c r="G783" s="5">
        <v>-0.296246648793565</v>
      </c>
      <c r="H783" s="5">
        <v>-0.338790931989924</v>
      </c>
      <c r="I783" s="5">
        <v>0.204128440366972</v>
      </c>
    </row>
    <row r="784">
      <c r="A784" s="2" t="s">
        <v>809</v>
      </c>
      <c r="B784" s="8" t="str">
        <f>HYPERLINK("https://www.suredividend.com/sure-analysis-research-database/","Inogen Inc")</f>
        <v>Inogen Inc</v>
      </c>
      <c r="C784" s="5">
        <v>0.092896174863387</v>
      </c>
      <c r="D784" s="5">
        <v>0.425178147268408</v>
      </c>
      <c r="E784" s="5">
        <v>-0.259259259259259</v>
      </c>
      <c r="F784" s="5">
        <v>0.092896174863387</v>
      </c>
      <c r="G784" s="5">
        <v>-0.737417943107221</v>
      </c>
      <c r="H784" s="5">
        <v>-0.795361527967257</v>
      </c>
      <c r="I784" s="5">
        <v>-0.958951905315728</v>
      </c>
    </row>
    <row r="785">
      <c r="A785" s="2" t="s">
        <v>810</v>
      </c>
      <c r="B785" s="8" t="str">
        <f>HYPERLINK("https://www.suredividend.com/sure-analysis-research-database/","Summit Hotel Properties Inc")</f>
        <v>Summit Hotel Properties Inc</v>
      </c>
      <c r="C785" s="5">
        <v>0.0</v>
      </c>
      <c r="D785" s="5">
        <v>0.26334787186043</v>
      </c>
      <c r="E785" s="5">
        <v>0.081429031219826</v>
      </c>
      <c r="F785" s="5">
        <v>0.0</v>
      </c>
      <c r="G785" s="5">
        <v>-0.166490951713531</v>
      </c>
      <c r="H785" s="5">
        <v>-0.225512003411435</v>
      </c>
      <c r="I785" s="5">
        <v>-0.305182182885975</v>
      </c>
    </row>
    <row r="786">
      <c r="A786" s="2" t="s">
        <v>811</v>
      </c>
      <c r="B786" s="8" t="str">
        <f>HYPERLINK("https://www.suredividend.com/sure-analysis-research-database/","InnovAge Holding Corp")</f>
        <v>InnovAge Holding Corp</v>
      </c>
      <c r="C786" s="5">
        <v>-0.063333333333333</v>
      </c>
      <c r="D786" s="5">
        <v>0.010791366906474</v>
      </c>
      <c r="E786" s="5">
        <v>-0.224827586206896</v>
      </c>
      <c r="F786" s="5">
        <v>-0.063333333333333</v>
      </c>
      <c r="G786" s="5">
        <v>-0.263433813892529</v>
      </c>
      <c r="H786" s="5">
        <v>0.15400410677618</v>
      </c>
      <c r="I786" s="5">
        <v>-0.767768595041322</v>
      </c>
    </row>
    <row r="787">
      <c r="A787" s="2" t="s">
        <v>812</v>
      </c>
      <c r="B787" s="8" t="str">
        <f>HYPERLINK("https://www.suredividend.com/sure-analysis-research-database/","Inovio Pharmaceuticals Inc")</f>
        <v>Inovio Pharmaceuticals Inc</v>
      </c>
      <c r="C787" s="5">
        <v>0.019607843137254</v>
      </c>
      <c r="D787" s="5">
        <v>0.415351115949918</v>
      </c>
      <c r="E787" s="5">
        <v>-0.007822934554474</v>
      </c>
      <c r="F787" s="5">
        <v>0.019607843137254</v>
      </c>
      <c r="G787" s="5">
        <v>-0.69047619047619</v>
      </c>
      <c r="H787" s="5">
        <v>-0.865979381443299</v>
      </c>
      <c r="I787" s="5">
        <v>-0.889596602972399</v>
      </c>
    </row>
    <row r="788">
      <c r="A788" s="2" t="s">
        <v>813</v>
      </c>
      <c r="B788" s="8" t="str">
        <f>HYPERLINK("https://www.suredividend.com/sure-analysis-research-database/","Inspired Entertainment Inc")</f>
        <v>Inspired Entertainment Inc</v>
      </c>
      <c r="C788" s="5">
        <v>0.010121457489878</v>
      </c>
      <c r="D788" s="5">
        <v>-0.009920634920634</v>
      </c>
      <c r="E788" s="5">
        <v>-0.197103781174577</v>
      </c>
      <c r="F788" s="5">
        <v>0.010121457489878</v>
      </c>
      <c r="G788" s="5">
        <v>-0.331099195710455</v>
      </c>
      <c r="H788" s="5">
        <v>-0.192556634304207</v>
      </c>
      <c r="I788" s="5">
        <v>0.478518518518518</v>
      </c>
    </row>
    <row r="789">
      <c r="A789" s="2" t="s">
        <v>814</v>
      </c>
      <c r="B789" s="8" t="str">
        <f>HYPERLINK("https://www.suredividend.com/sure-analysis-research-database/","Inseego Corp")</f>
        <v>Inseego Corp</v>
      </c>
      <c r="C789" s="5">
        <v>0.0828025477707</v>
      </c>
      <c r="D789" s="5">
        <v>-0.234234234234234</v>
      </c>
      <c r="E789" s="5">
        <v>-0.674061900849082</v>
      </c>
      <c r="F789" s="5">
        <v>0.0828025477707</v>
      </c>
      <c r="G789" s="5">
        <v>-0.796581196581196</v>
      </c>
      <c r="H789" s="5">
        <v>-0.942650602409638</v>
      </c>
      <c r="I789" s="5">
        <v>-0.953606237816764</v>
      </c>
    </row>
    <row r="790">
      <c r="A790" s="2" t="s">
        <v>815</v>
      </c>
      <c r="B790" s="8" t="str">
        <f>HYPERLINK("https://www.suredividend.com/sure-analysis-research-database/","Insmed Inc")</f>
        <v>Insmed Inc</v>
      </c>
      <c r="C790" s="5">
        <v>-0.090997095837366</v>
      </c>
      <c r="D790" s="5">
        <v>0.17964824120603</v>
      </c>
      <c r="E790" s="5">
        <v>0.31943793911007</v>
      </c>
      <c r="F790" s="5">
        <v>-0.090997095837366</v>
      </c>
      <c r="G790" s="5">
        <v>0.298755186721991</v>
      </c>
      <c r="H790" s="5">
        <v>0.316355140186916</v>
      </c>
      <c r="I790" s="5">
        <v>0.154035231462515</v>
      </c>
    </row>
    <row r="791">
      <c r="A791" s="2" t="s">
        <v>816</v>
      </c>
      <c r="B791" s="8" t="str">
        <f>HYPERLINK("https://www.suredividend.com/sure-analysis-research-database/","Inspire Medical Systems Inc")</f>
        <v>Inspire Medical Systems Inc</v>
      </c>
      <c r="C791" s="5">
        <v>0.06478887086467</v>
      </c>
      <c r="D791" s="5">
        <v>0.436215356053574</v>
      </c>
      <c r="E791" s="5">
        <v>-0.249705576723242</v>
      </c>
      <c r="F791" s="5">
        <v>0.06478887086467</v>
      </c>
      <c r="G791" s="5">
        <v>-0.144645395672089</v>
      </c>
      <c r="H791" s="5">
        <v>0.04139423076923</v>
      </c>
      <c r="I791" s="5">
        <v>3.14326702371843</v>
      </c>
    </row>
    <row r="792">
      <c r="A792" s="2" t="s">
        <v>817</v>
      </c>
      <c r="B792" s="8" t="str">
        <f>HYPERLINK("https://www.suredividend.com/sure-analysis-research-database/","Instructure Holdings Inc")</f>
        <v>Instructure Holdings Inc</v>
      </c>
      <c r="C792" s="5">
        <v>-0.049241021843761</v>
      </c>
      <c r="D792" s="5">
        <v>0.058969072164948</v>
      </c>
      <c r="E792" s="5">
        <v>-0.035311795642374</v>
      </c>
      <c r="F792" s="5">
        <v>-0.049241021843761</v>
      </c>
      <c r="G792" s="5">
        <v>-0.046416635722242</v>
      </c>
      <c r="H792" s="5">
        <v>0.087674714104193</v>
      </c>
      <c r="I792" s="5">
        <v>0.224022878932316</v>
      </c>
    </row>
    <row r="793">
      <c r="A793" s="2" t="s">
        <v>818</v>
      </c>
      <c r="B793" s="8" t="str">
        <f>HYPERLINK("https://www.suredividend.com/sure-analysis-research-database/","International Seaways Inc")</f>
        <v>International Seaways Inc</v>
      </c>
      <c r="C793" s="5">
        <v>0.150835532102022</v>
      </c>
      <c r="D793" s="5">
        <v>0.090968969707581</v>
      </c>
      <c r="E793" s="5">
        <v>0.292623353658687</v>
      </c>
      <c r="F793" s="5">
        <v>0.150835532102022</v>
      </c>
      <c r="G793" s="5">
        <v>0.430703543137051</v>
      </c>
      <c r="H793" s="5">
        <v>2.8436400754922</v>
      </c>
      <c r="I793" s="5">
        <v>2.45052641294244</v>
      </c>
    </row>
    <row r="794">
      <c r="A794" s="2" t="s">
        <v>819</v>
      </c>
      <c r="B794" s="8" t="str">
        <f>HYPERLINK("https://www.suredividend.com/sure-analysis-research-database/","Intapp Inc")</f>
        <v>Intapp Inc</v>
      </c>
      <c r="C794" s="5">
        <v>0.17911625460284</v>
      </c>
      <c r="D794" s="5">
        <v>0.349894610057211</v>
      </c>
      <c r="E794" s="5">
        <v>0.136087176887987</v>
      </c>
      <c r="F794" s="5">
        <v>0.17911625460284</v>
      </c>
      <c r="G794" s="5">
        <v>0.545862068965517</v>
      </c>
      <c r="H794" s="5">
        <v>1.36320506062203</v>
      </c>
      <c r="I794" s="5">
        <v>0.601071428571428</v>
      </c>
    </row>
    <row r="795">
      <c r="A795" s="2" t="s">
        <v>820</v>
      </c>
      <c r="B795" s="8" t="str">
        <f>HYPERLINK("https://www.suredividend.com/sure-analysis-research-database/","Innoviva Inc")</f>
        <v>Innoviva Inc</v>
      </c>
      <c r="C795" s="5">
        <v>0.044264339152119</v>
      </c>
      <c r="D795" s="5">
        <v>0.359577922077922</v>
      </c>
      <c r="E795" s="5">
        <v>0.273764258555133</v>
      </c>
      <c r="F795" s="5">
        <v>0.044264339152119</v>
      </c>
      <c r="G795" s="5">
        <v>0.31993695823483</v>
      </c>
      <c r="H795" s="5">
        <v>0.044915782907049</v>
      </c>
      <c r="I795" s="5">
        <v>-0.165004985044865</v>
      </c>
    </row>
    <row r="796">
      <c r="A796" s="2" t="s">
        <v>821</v>
      </c>
      <c r="B796" s="8" t="str">
        <f>HYPERLINK("https://www.suredividend.com/sure-analysis-research-database/","Identiv Inc")</f>
        <v>Identiv Inc</v>
      </c>
      <c r="C796" s="5">
        <v>-0.019417475728155</v>
      </c>
      <c r="D796" s="5">
        <v>0.200594353640416</v>
      </c>
      <c r="E796" s="5">
        <v>0.052083333333333</v>
      </c>
      <c r="F796" s="5">
        <v>-0.019417475728155</v>
      </c>
      <c r="G796" s="5">
        <v>0.012531328320801</v>
      </c>
      <c r="H796" s="5">
        <v>-0.548098434004474</v>
      </c>
      <c r="I796" s="5">
        <v>0.550863723608445</v>
      </c>
    </row>
    <row r="797">
      <c r="A797" s="2" t="s">
        <v>822</v>
      </c>
      <c r="B797" s="8" t="str">
        <f>HYPERLINK("https://www.suredividend.com/sure-analysis-research-database/","IonQ Inc")</f>
        <v>IonQ Inc</v>
      </c>
      <c r="C797" s="5">
        <v>-0.095238095238095</v>
      </c>
      <c r="D797" s="5">
        <v>0.105522682445759</v>
      </c>
      <c r="E797" s="5">
        <v>-0.37479085331846</v>
      </c>
      <c r="F797" s="5">
        <v>-0.095238095238095</v>
      </c>
      <c r="G797" s="5">
        <v>1.49665924276169</v>
      </c>
      <c r="H797" s="5">
        <v>0.111000991080277</v>
      </c>
      <c r="I797" s="5">
        <v>0.45019404915912</v>
      </c>
    </row>
    <row r="798">
      <c r="A798" s="2" t="s">
        <v>823</v>
      </c>
      <c r="B798" s="8" t="str">
        <f>HYPERLINK("https://www.suredividend.com/sure-analysis-research-database/","Innospec Inc")</f>
        <v>Innospec Inc</v>
      </c>
      <c r="C798" s="5">
        <v>-0.033917559234014</v>
      </c>
      <c r="D798" s="5">
        <v>0.252105948397165</v>
      </c>
      <c r="E798" s="5">
        <v>0.140387593854971</v>
      </c>
      <c r="F798" s="5">
        <v>-0.033917559234014</v>
      </c>
      <c r="G798" s="5">
        <v>0.113715747113749</v>
      </c>
      <c r="H798" s="5">
        <v>0.331806070422629</v>
      </c>
      <c r="I798" s="5">
        <v>0.871615301783426</v>
      </c>
    </row>
    <row r="799">
      <c r="A799" s="2" t="s">
        <v>824</v>
      </c>
      <c r="B799" s="8" t="str">
        <f>HYPERLINK("https://www.suredividend.com/sure-analysis-research-database/","Iovance Biotherapeutics Inc")</f>
        <v>Iovance Biotherapeutics Inc</v>
      </c>
      <c r="C799" s="5">
        <v>0.02091020910209</v>
      </c>
      <c r="D799" s="5">
        <v>1.37142857142857</v>
      </c>
      <c r="E799" s="5">
        <v>0.152777777777777</v>
      </c>
      <c r="F799" s="5">
        <v>0.02091020910209</v>
      </c>
      <c r="G799" s="5">
        <v>0.017156862745098</v>
      </c>
      <c r="H799" s="5">
        <v>-0.44813829787234</v>
      </c>
      <c r="I799" s="5">
        <v>-0.01307966706302</v>
      </c>
    </row>
    <row r="800">
      <c r="A800" s="2" t="s">
        <v>825</v>
      </c>
      <c r="B800" s="8" t="str">
        <f>HYPERLINK("https://www.suredividend.com/sure-analysis-IPAR/","Inter Parfums, Inc.")</f>
        <v>Inter Parfums, Inc.</v>
      </c>
      <c r="C800" s="5">
        <v>-0.035622526213457</v>
      </c>
      <c r="D800" s="5">
        <v>0.130442922318677</v>
      </c>
      <c r="E800" s="5">
        <v>-0.05880566993681</v>
      </c>
      <c r="F800" s="5">
        <v>-0.035622526213457</v>
      </c>
      <c r="G800" s="5">
        <v>0.269610258538649</v>
      </c>
      <c r="H800" s="5">
        <v>0.507240462807908</v>
      </c>
      <c r="I800" s="5">
        <v>1.2773522500496</v>
      </c>
    </row>
    <row r="801">
      <c r="A801" s="2" t="s">
        <v>826</v>
      </c>
      <c r="B801" s="8" t="str">
        <f>HYPERLINK("https://www.suredividend.com/sure-analysis-research-database/","Intrepid Potash Inc")</f>
        <v>Intrepid Potash Inc</v>
      </c>
      <c r="C801" s="5">
        <v>-0.156550858099623</v>
      </c>
      <c r="D801" s="5">
        <v>-0.017073170731707</v>
      </c>
      <c r="E801" s="5">
        <v>-0.264866836920831</v>
      </c>
      <c r="F801" s="5">
        <v>-0.156550858099623</v>
      </c>
      <c r="G801" s="5">
        <v>-0.377317676143386</v>
      </c>
      <c r="H801" s="5">
        <v>-0.465091584815503</v>
      </c>
      <c r="I801" s="5">
        <v>-0.356230031948881</v>
      </c>
    </row>
    <row r="802">
      <c r="A802" s="2" t="s">
        <v>827</v>
      </c>
      <c r="B802" s="8" t="str">
        <f>HYPERLINK("https://www.suredividend.com/sure-analysis-research-database/","Century Therapeutics Inc")</f>
        <v>Century Therapeutics Inc</v>
      </c>
      <c r="C802" s="5">
        <v>0.292168674698795</v>
      </c>
      <c r="D802" s="5">
        <v>2.0</v>
      </c>
      <c r="E802" s="5">
        <v>0.425249169435216</v>
      </c>
      <c r="F802" s="5">
        <v>0.292168674698795</v>
      </c>
      <c r="G802" s="5">
        <v>-0.073434125269978</v>
      </c>
      <c r="H802" s="5">
        <v>-0.670759785111281</v>
      </c>
      <c r="I802" s="5">
        <v>-0.812089356110381</v>
      </c>
    </row>
    <row r="803">
      <c r="A803" s="2" t="s">
        <v>828</v>
      </c>
      <c r="B803" s="8" t="str">
        <f>HYPERLINK("https://www.suredividend.com/sure-analysis-research-database/","Irobot Corp")</f>
        <v>Irobot Corp</v>
      </c>
      <c r="C803" s="5">
        <v>-0.599483204134367</v>
      </c>
      <c r="D803" s="5">
        <v>-0.537451507012832</v>
      </c>
      <c r="E803" s="5">
        <v>-0.608091024020227</v>
      </c>
      <c r="F803" s="5">
        <v>-0.599483204134367</v>
      </c>
      <c r="G803" s="5">
        <v>-0.658289241622575</v>
      </c>
      <c r="H803" s="5">
        <v>-0.748784440842787</v>
      </c>
      <c r="I803" s="5">
        <v>-0.81547619047619</v>
      </c>
    </row>
    <row r="804">
      <c r="A804" s="2" t="s">
        <v>829</v>
      </c>
      <c r="B804" s="8" t="str">
        <f>HYPERLINK("https://www.suredividend.com/sure-analysis-research-database/","Iridium Communications Inc")</f>
        <v>Iridium Communications Inc</v>
      </c>
      <c r="C804" s="5">
        <v>-0.104713313896987</v>
      </c>
      <c r="D804" s="5">
        <v>0.028829563284883</v>
      </c>
      <c r="E804" s="5">
        <v>-0.310716349957819</v>
      </c>
      <c r="F804" s="5">
        <v>-0.104713313896987</v>
      </c>
      <c r="G804" s="5">
        <v>-0.365760717094857</v>
      </c>
      <c r="H804" s="5">
        <v>0.068831594487903</v>
      </c>
      <c r="I804" s="5">
        <v>1.00814155626883</v>
      </c>
    </row>
    <row r="805">
      <c r="A805" s="2" t="s">
        <v>830</v>
      </c>
      <c r="B805" s="8" t="str">
        <f>HYPERLINK("https://www.suredividend.com/sure-analysis-research-database/","Iradimed Corp")</f>
        <v>Iradimed Corp</v>
      </c>
      <c r="C805" s="5">
        <v>-0.087844954708236</v>
      </c>
      <c r="D805" s="5">
        <v>0.057384475251586</v>
      </c>
      <c r="E805" s="5">
        <v>-0.007165376898824</v>
      </c>
      <c r="F805" s="5">
        <v>-0.087844954708236</v>
      </c>
      <c r="G805" s="5">
        <v>0.23751411137627</v>
      </c>
      <c r="H805" s="5">
        <v>0.232224520983389</v>
      </c>
      <c r="I805" s="5">
        <v>0.751575609006253</v>
      </c>
    </row>
    <row r="806">
      <c r="A806" s="2" t="s">
        <v>831</v>
      </c>
      <c r="B806" s="8" t="str">
        <f>HYPERLINK("https://www.suredividend.com/sure-analysis-research-database/","IronNet Inc")</f>
        <v>IronNet Inc</v>
      </c>
      <c r="C806" s="5">
        <v>0.0</v>
      </c>
      <c r="D806" s="5">
        <v>0.0</v>
      </c>
      <c r="E806" s="5">
        <v>0.0</v>
      </c>
      <c r="F806" s="5">
        <v>0.0</v>
      </c>
      <c r="G806" s="5">
        <v>0.0</v>
      </c>
      <c r="H806" s="5">
        <v>0.0</v>
      </c>
      <c r="I806" s="5">
        <v>0.0</v>
      </c>
    </row>
    <row r="807">
      <c r="A807" s="2" t="s">
        <v>832</v>
      </c>
      <c r="B807" s="8" t="str">
        <f>HYPERLINK("https://www.suredividend.com/sure-analysis-IRT/","Independence Realty Trust Inc")</f>
        <v>Independence Realty Trust Inc</v>
      </c>
      <c r="C807" s="5">
        <v>-0.003267973856209</v>
      </c>
      <c r="D807" s="5">
        <v>0.262971336761989</v>
      </c>
      <c r="E807" s="5">
        <v>-0.07506247119047</v>
      </c>
      <c r="F807" s="5">
        <v>-0.003267973856209</v>
      </c>
      <c r="G807" s="5">
        <v>-0.1605057883814</v>
      </c>
      <c r="H807" s="5">
        <v>-0.286292605991398</v>
      </c>
      <c r="I807" s="5">
        <v>0.806743596426794</v>
      </c>
    </row>
    <row r="808">
      <c r="A808" s="2" t="s">
        <v>833</v>
      </c>
      <c r="B808" s="8" t="str">
        <f>HYPERLINK("https://www.suredividend.com/sure-analysis-research-database/","iRhythm Technologies Inc")</f>
        <v>iRhythm Technologies Inc</v>
      </c>
      <c r="C808" s="5">
        <v>0.131913303437966</v>
      </c>
      <c r="D808" s="5">
        <v>0.549558767105768</v>
      </c>
      <c r="E808" s="5">
        <v>0.174031007751938</v>
      </c>
      <c r="F808" s="5">
        <v>0.131913303437966</v>
      </c>
      <c r="G808" s="5">
        <v>0.207855647492772</v>
      </c>
      <c r="H808" s="5">
        <v>0.018664873045232</v>
      </c>
      <c r="I808" s="5">
        <v>0.445823389021479</v>
      </c>
    </row>
    <row r="809">
      <c r="A809" s="2" t="s">
        <v>834</v>
      </c>
      <c r="B809" s="8" t="str">
        <f>HYPERLINK("https://www.suredividend.com/sure-analysis-research-database/","Ironwood Pharmaceuticals Inc")</f>
        <v>Ironwood Pharmaceuticals Inc</v>
      </c>
      <c r="C809" s="5">
        <v>0.202797202797202</v>
      </c>
      <c r="D809" s="5">
        <v>0.565415244596132</v>
      </c>
      <c r="E809" s="5">
        <v>0.24524886877828</v>
      </c>
      <c r="F809" s="5">
        <v>0.202797202797202</v>
      </c>
      <c r="G809" s="5">
        <v>0.197563098346388</v>
      </c>
      <c r="H809" s="5">
        <v>0.25662100456621</v>
      </c>
      <c r="I809" s="5">
        <v>0.239204243554066</v>
      </c>
    </row>
    <row r="810">
      <c r="A810" s="2" t="s">
        <v>835</v>
      </c>
      <c r="B810" s="8" t="str">
        <f>HYPERLINK("https://www.suredividend.com/sure-analysis-research-database/","IVERIC bio Inc")</f>
        <v>IVERIC bio Inc</v>
      </c>
      <c r="C810" s="5">
        <v>0.0</v>
      </c>
      <c r="D810" s="5">
        <v>0.0</v>
      </c>
      <c r="E810" s="5">
        <v>0.0</v>
      </c>
      <c r="F810" s="5">
        <v>0.0</v>
      </c>
      <c r="G810" s="5">
        <v>0.0</v>
      </c>
      <c r="H810" s="5">
        <v>0.0</v>
      </c>
      <c r="I810" s="5">
        <v>0.0</v>
      </c>
    </row>
    <row r="811">
      <c r="A811" s="2" t="s">
        <v>836</v>
      </c>
      <c r="B811" s="8" t="str">
        <f>HYPERLINK("https://www.suredividend.com/sure-analysis-research-database/","Inspirato Incorporated")</f>
        <v>Inspirato Incorporated</v>
      </c>
      <c r="C811" s="5">
        <v>0.078804347826086</v>
      </c>
      <c r="D811" s="5">
        <v>0.039267015706806</v>
      </c>
      <c r="E811" s="5">
        <v>-0.799494949494949</v>
      </c>
      <c r="F811" s="5">
        <v>0.078804347826086</v>
      </c>
      <c r="G811" s="5">
        <v>-0.837295081967213</v>
      </c>
      <c r="H811" s="5">
        <v>-0.610019646365422</v>
      </c>
      <c r="I811" s="5">
        <v>-0.616795366795366</v>
      </c>
    </row>
    <row r="812">
      <c r="A812" s="2" t="s">
        <v>837</v>
      </c>
      <c r="B812" s="8" t="str">
        <f>HYPERLINK("https://www.suredividend.com/sure-analysis-research-database/","Intra-Cellular Therapies Inc")</f>
        <v>Intra-Cellular Therapies Inc</v>
      </c>
      <c r="C812" s="5">
        <v>-0.024574141301312</v>
      </c>
      <c r="D812" s="5">
        <v>0.438928939237899</v>
      </c>
      <c r="E812" s="5">
        <v>0.148824206544976</v>
      </c>
      <c r="F812" s="5">
        <v>-0.024574141301312</v>
      </c>
      <c r="G812" s="5">
        <v>0.463036649214659</v>
      </c>
      <c r="H812" s="5">
        <v>0.527328377787494</v>
      </c>
      <c r="I812" s="5">
        <v>5.4091743119266</v>
      </c>
    </row>
    <row r="813">
      <c r="A813" s="2" t="s">
        <v>838</v>
      </c>
      <c r="B813" s="8" t="str">
        <f>HYPERLINK("https://www.suredividend.com/sure-analysis-research-database/","Integer Holdings Corp")</f>
        <v>Integer Holdings Corp</v>
      </c>
      <c r="C813" s="5">
        <v>0.028058134840532</v>
      </c>
      <c r="D813" s="5">
        <v>0.291164913170236</v>
      </c>
      <c r="E813" s="5">
        <v>0.110190735694822</v>
      </c>
      <c r="F813" s="5">
        <v>0.028058134840532</v>
      </c>
      <c r="G813" s="5">
        <v>0.434849978870263</v>
      </c>
      <c r="H813" s="5">
        <v>0.31093951093951</v>
      </c>
      <c r="I813" s="5">
        <v>0.310770814566979</v>
      </c>
    </row>
    <row r="814">
      <c r="A814" s="2" t="s">
        <v>839</v>
      </c>
      <c r="B814" s="8" t="str">
        <f>HYPERLINK("https://www.suredividend.com/sure-analysis-research-database/","Investors Title Co.")</f>
        <v>Investors Title Co.</v>
      </c>
      <c r="C814" s="5">
        <v>0.031515973849759</v>
      </c>
      <c r="D814" s="5">
        <v>0.279401370202531</v>
      </c>
      <c r="E814" s="5">
        <v>0.099660469556664</v>
      </c>
      <c r="F814" s="5">
        <v>0.031515973849759</v>
      </c>
      <c r="G814" s="5">
        <v>0.09138533178114</v>
      </c>
      <c r="H814" s="5">
        <v>-0.118996799416773</v>
      </c>
      <c r="I814" s="5">
        <v>0.105245106688368</v>
      </c>
    </row>
    <row r="815">
      <c r="A815" s="2" t="s">
        <v>840</v>
      </c>
      <c r="B815" s="8" t="str">
        <f>HYPERLINK("https://www.suredividend.com/sure-analysis-research-database/","ITeos Therapeutics Inc")</f>
        <v>ITeos Therapeutics Inc</v>
      </c>
      <c r="C815" s="5">
        <v>-0.034703196347031</v>
      </c>
      <c r="D815" s="5">
        <v>0.187640449438202</v>
      </c>
      <c r="E815" s="5">
        <v>-0.241750358680057</v>
      </c>
      <c r="F815" s="5">
        <v>-0.034703196347031</v>
      </c>
      <c r="G815" s="5">
        <v>-0.499526515151515</v>
      </c>
      <c r="H815" s="5">
        <v>-0.695739781232009</v>
      </c>
      <c r="I815" s="5">
        <v>-0.44514435695538</v>
      </c>
    </row>
    <row r="816">
      <c r="A816" s="2" t="s">
        <v>841</v>
      </c>
      <c r="B816" s="8" t="str">
        <f>HYPERLINK("https://www.suredividend.com/sure-analysis-research-database/","Itron Inc.")</f>
        <v>Itron Inc.</v>
      </c>
      <c r="C816" s="5">
        <v>-0.016421666004502</v>
      </c>
      <c r="D816" s="5">
        <v>0.298880727527107</v>
      </c>
      <c r="E816" s="5">
        <v>-0.02953090291389</v>
      </c>
      <c r="F816" s="5">
        <v>-0.016421666004502</v>
      </c>
      <c r="G816" s="5">
        <v>0.315910701630049</v>
      </c>
      <c r="H816" s="5">
        <v>0.263740003403096</v>
      </c>
      <c r="I816" s="5">
        <v>0.421979705150296</v>
      </c>
    </row>
    <row r="817">
      <c r="A817" s="2" t="s">
        <v>842</v>
      </c>
      <c r="B817" s="8" t="str">
        <f>HYPERLINK("https://www.suredividend.com/sure-analysis-research-database/","Invesco Mortgage Capital Inc")</f>
        <v>Invesco Mortgage Capital Inc</v>
      </c>
      <c r="C817" s="5">
        <v>0.062076749435665</v>
      </c>
      <c r="D817" s="5">
        <v>0.508447949729088</v>
      </c>
      <c r="E817" s="5">
        <v>-0.153000054006372</v>
      </c>
      <c r="F817" s="5">
        <v>0.062076749435665</v>
      </c>
      <c r="G817" s="5">
        <v>-0.251451754037069</v>
      </c>
      <c r="H817" s="5">
        <v>-0.474694921120501</v>
      </c>
      <c r="I817" s="5">
        <v>-0.841076290136259</v>
      </c>
    </row>
    <row r="818">
      <c r="A818" s="2" t="s">
        <v>843</v>
      </c>
      <c r="B818" s="8" t="str">
        <f>HYPERLINK("https://www.suredividend.com/sure-analysis-research-database/","InvenTrust Properties Corp")</f>
        <v>InvenTrust Properties Corp</v>
      </c>
      <c r="C818" s="5">
        <v>0.007892659826361</v>
      </c>
      <c r="D818" s="5">
        <v>0.082125440116601</v>
      </c>
      <c r="E818" s="5">
        <v>0.070859538784066</v>
      </c>
      <c r="F818" s="5">
        <v>0.007892659826361</v>
      </c>
      <c r="G818" s="5">
        <v>0.067846286997278</v>
      </c>
      <c r="H818" s="5">
        <v>0.011597325644031</v>
      </c>
      <c r="I818" s="5">
        <v>3.05396825396825</v>
      </c>
    </row>
    <row r="819">
      <c r="A819" s="2" t="s">
        <v>844</v>
      </c>
      <c r="B819" s="8" t="str">
        <f>HYPERLINK("https://www.suredividend.com/sure-analysis-research-database/","Invivyd Inc")</f>
        <v>Invivyd Inc</v>
      </c>
      <c r="C819" s="5">
        <v>0.274111675126903</v>
      </c>
      <c r="D819" s="5">
        <v>2.1375</v>
      </c>
      <c r="E819" s="5">
        <v>2.48611111111111</v>
      </c>
      <c r="F819" s="5">
        <v>0.274111675126903</v>
      </c>
      <c r="G819" s="5">
        <v>1.02419354838709</v>
      </c>
      <c r="H819" s="5">
        <v>-0.259587020648967</v>
      </c>
      <c r="I819" s="5">
        <v>-0.759578544061302</v>
      </c>
    </row>
    <row r="820">
      <c r="A820" s="2" t="s">
        <v>845</v>
      </c>
      <c r="B820" s="8" t="str">
        <f>HYPERLINK("https://www.suredividend.com/sure-analysis-JACK/","Jack In The Box, Inc.")</f>
        <v>Jack In The Box, Inc.</v>
      </c>
      <c r="C820" s="5">
        <v>-0.015435501653803</v>
      </c>
      <c r="D820" s="5">
        <v>0.295108014296626</v>
      </c>
      <c r="E820" s="5">
        <v>-0.160655559651729</v>
      </c>
      <c r="F820" s="5">
        <v>-0.015435501653803</v>
      </c>
      <c r="G820" s="5">
        <v>0.104077545065651</v>
      </c>
      <c r="H820" s="5">
        <v>-0.052920720850238</v>
      </c>
      <c r="I820" s="5">
        <v>0.109100920317785</v>
      </c>
    </row>
    <row r="821">
      <c r="A821" s="2" t="s">
        <v>846</v>
      </c>
      <c r="B821" s="8" t="str">
        <f>HYPERLINK("https://www.suredividend.com/sure-analysis-research-database/","Janux Therapeutics Inc")</f>
        <v>Janux Therapeutics Inc</v>
      </c>
      <c r="C821" s="5">
        <v>-0.112767940354147</v>
      </c>
      <c r="D821" s="5">
        <v>0.581395348837209</v>
      </c>
      <c r="E821" s="5">
        <v>-0.290082028337062</v>
      </c>
      <c r="F821" s="5">
        <v>-0.112767940354147</v>
      </c>
      <c r="G821" s="5">
        <v>-0.567272727272727</v>
      </c>
      <c r="H821" s="5">
        <v>-0.345704467353952</v>
      </c>
      <c r="I821" s="5">
        <v>-0.621471172962226</v>
      </c>
    </row>
    <row r="822">
      <c r="A822" s="2" t="s">
        <v>847</v>
      </c>
      <c r="B822" s="8" t="str">
        <f>HYPERLINK("https://www.suredividend.com/sure-analysis-research-database/","Janus International Group Inc")</f>
        <v>Janus International Group Inc</v>
      </c>
      <c r="C822" s="5">
        <v>0.123371647509578</v>
      </c>
      <c r="D822" s="5">
        <v>0.583153347732181</v>
      </c>
      <c r="E822" s="5">
        <v>0.285964912280701</v>
      </c>
      <c r="F822" s="5">
        <v>0.123371647509578</v>
      </c>
      <c r="G822" s="5">
        <v>0.357407407407407</v>
      </c>
      <c r="H822" s="5">
        <v>0.431640625</v>
      </c>
      <c r="I822" s="5">
        <v>0.500511770726714</v>
      </c>
    </row>
    <row r="823">
      <c r="A823" s="2" t="s">
        <v>848</v>
      </c>
      <c r="B823" s="8" t="str">
        <f>HYPERLINK("https://www.suredividend.com/sure-analysis-research-database/","Sanfilippo (John B.) &amp; Son, Inc")</f>
        <v>Sanfilippo (John B.) &amp; Son, Inc</v>
      </c>
      <c r="C823" s="5">
        <v>0.043187111801242</v>
      </c>
      <c r="D823" s="5">
        <v>0.057036090077686</v>
      </c>
      <c r="E823" s="5">
        <v>0.017012656599039</v>
      </c>
      <c r="F823" s="5">
        <v>0.043187111801242</v>
      </c>
      <c r="G823" s="5">
        <v>0.377397054018209</v>
      </c>
      <c r="H823" s="5">
        <v>0.458302242602667</v>
      </c>
      <c r="I823" s="5">
        <v>0.977471287205214</v>
      </c>
    </row>
    <row r="824">
      <c r="A824" s="2" t="s">
        <v>849</v>
      </c>
      <c r="B824" s="8" t="str">
        <f>HYPERLINK("https://www.suredividend.com/sure-analysis-research-database/","John Bean Technologies Corp")</f>
        <v>John Bean Technologies Corp</v>
      </c>
      <c r="C824" s="5">
        <v>0.042533936651583</v>
      </c>
      <c r="D824" s="5">
        <v>0.036722245831562</v>
      </c>
      <c r="E824" s="5">
        <v>-0.140351255395605</v>
      </c>
      <c r="F824" s="5">
        <v>0.042533936651583</v>
      </c>
      <c r="G824" s="5">
        <v>-0.048164632265456</v>
      </c>
      <c r="H824" s="5">
        <v>-0.209281184125831</v>
      </c>
      <c r="I824" s="5">
        <v>0.323237183373259</v>
      </c>
    </row>
    <row r="825">
      <c r="A825" s="2" t="s">
        <v>850</v>
      </c>
      <c r="B825" s="8" t="str">
        <f>HYPERLINK("https://www.suredividend.com/sure-analysis-research-database/","JELD-WEN Holding Inc.")</f>
        <v>JELD-WEN Holding Inc.</v>
      </c>
      <c r="C825" s="5">
        <v>0.017478813559322</v>
      </c>
      <c r="D825" s="5">
        <v>0.71364852809991</v>
      </c>
      <c r="E825" s="5">
        <v>0.082863585118376</v>
      </c>
      <c r="F825" s="5">
        <v>0.017478813559322</v>
      </c>
      <c r="G825" s="5">
        <v>0.595514950166113</v>
      </c>
      <c r="H825" s="5">
        <v>-0.168398268398268</v>
      </c>
      <c r="I825" s="5">
        <v>0.122735242548217</v>
      </c>
    </row>
    <row r="826">
      <c r="A826" s="2" t="s">
        <v>851</v>
      </c>
      <c r="B826" s="8" t="str">
        <f>HYPERLINK("https://www.suredividend.com/sure-analysis-JJSF/","J&amp;J Snack Foods Corp.")</f>
        <v>J&amp;J Snack Foods Corp.</v>
      </c>
      <c r="C826" s="5">
        <v>-0.028120138805791</v>
      </c>
      <c r="D826" s="5">
        <v>0.075503753404812</v>
      </c>
      <c r="E826" s="5">
        <v>0.045178019347761</v>
      </c>
      <c r="F826" s="5">
        <v>-0.028120138805791</v>
      </c>
      <c r="G826" s="5">
        <v>0.119989299289629</v>
      </c>
      <c r="H826" s="5">
        <v>0.134175376859861</v>
      </c>
      <c r="I826" s="5">
        <v>0.138565942411441</v>
      </c>
    </row>
    <row r="827">
      <c r="A827" s="2" t="s">
        <v>852</v>
      </c>
      <c r="B827" s="8" t="str">
        <f>HYPERLINK("https://www.suredividend.com/sure-analysis-research-database/","John Marshall Bancorp Inc")</f>
        <v>John Marshall Bancorp Inc</v>
      </c>
      <c r="C827" s="5">
        <v>-0.052748226950354</v>
      </c>
      <c r="D827" s="5">
        <v>0.232410611303344</v>
      </c>
      <c r="E827" s="5">
        <v>0.104392764857881</v>
      </c>
      <c r="F827" s="5">
        <v>-0.052748226950354</v>
      </c>
      <c r="G827" s="5">
        <v>-0.127655405515732</v>
      </c>
      <c r="H827" s="5">
        <v>-0.019171367331108</v>
      </c>
      <c r="I827" s="5">
        <v>-0.019171367331108</v>
      </c>
    </row>
    <row r="828">
      <c r="A828" s="2" t="s">
        <v>853</v>
      </c>
      <c r="B828" s="8" t="str">
        <f>HYPERLINK("https://www.suredividend.com/sure-analysis-research-database/","JOANN Inc")</f>
        <v>JOANN Inc</v>
      </c>
      <c r="C828" s="5">
        <v>0.031614349775784</v>
      </c>
      <c r="D828" s="5">
        <v>-0.303301029678982</v>
      </c>
      <c r="E828" s="5">
        <v>-0.585495495495495</v>
      </c>
      <c r="F828" s="5">
        <v>0.031614349775784</v>
      </c>
      <c r="G828" s="5">
        <v>-0.877306666666666</v>
      </c>
      <c r="H828" s="5">
        <v>-0.952532755596822</v>
      </c>
      <c r="I828" s="5">
        <v>-0.960086749078291</v>
      </c>
    </row>
    <row r="829">
      <c r="A829" s="2" t="s">
        <v>854</v>
      </c>
      <c r="B829" s="8" t="str">
        <f>HYPERLINK("https://www.suredividend.com/sure-analysis-research-database/","Joby Aviation Inc")</f>
        <v>Joby Aviation Inc</v>
      </c>
      <c r="C829" s="5">
        <v>-0.078195488721804</v>
      </c>
      <c r="D829" s="5">
        <v>0.169847328244274</v>
      </c>
      <c r="E829" s="5">
        <v>-0.247852760736196</v>
      </c>
      <c r="F829" s="5">
        <v>-0.078195488721804</v>
      </c>
      <c r="G829" s="5">
        <v>0.412442396313364</v>
      </c>
      <c r="H829" s="5">
        <v>0.621693121693121</v>
      </c>
      <c r="I829" s="5">
        <v>-0.416190476190476</v>
      </c>
    </row>
    <row r="830">
      <c r="A830" s="2" t="s">
        <v>855</v>
      </c>
      <c r="B830" s="8" t="str">
        <f>HYPERLINK("https://www.suredividend.com/sure-analysis-research-database/","St. Joe Co.")</f>
        <v>St. Joe Co.</v>
      </c>
      <c r="C830" s="5">
        <v>-0.057992688600864</v>
      </c>
      <c r="D830" s="5">
        <v>0.230850066004307</v>
      </c>
      <c r="E830" s="5">
        <v>-0.117396123953766</v>
      </c>
      <c r="F830" s="5">
        <v>-0.057992688600864</v>
      </c>
      <c r="G830" s="5">
        <v>0.241995166975942</v>
      </c>
      <c r="H830" s="5">
        <v>0.262549775952535</v>
      </c>
      <c r="I830" s="5">
        <v>2.79222690480968</v>
      </c>
    </row>
    <row r="831">
      <c r="A831" s="2" t="s">
        <v>856</v>
      </c>
      <c r="B831" s="8" t="str">
        <f>HYPERLINK("https://www.suredividend.com/sure-analysis-research-database/","Johnson Outdoors Inc")</f>
        <v>Johnson Outdoors Inc</v>
      </c>
      <c r="C831" s="5">
        <v>-0.087656699279728</v>
      </c>
      <c r="D831" s="5">
        <v>0.019183635392195</v>
      </c>
      <c r="E831" s="5">
        <v>-0.162422440875597</v>
      </c>
      <c r="F831" s="5">
        <v>-0.087656699279728</v>
      </c>
      <c r="G831" s="5">
        <v>-0.244738148657905</v>
      </c>
      <c r="H831" s="5">
        <v>-0.405699449836187</v>
      </c>
      <c r="I831" s="5">
        <v>-0.16446499339498</v>
      </c>
    </row>
    <row r="832">
      <c r="A832" s="2" t="s">
        <v>857</v>
      </c>
      <c r="B832" s="8" t="str">
        <f>HYPERLINK("https://www.suredividend.com/sure-analysis-research-database/","James River Group Holdings Ltd")</f>
        <v>James River Group Holdings Ltd</v>
      </c>
      <c r="C832" s="5">
        <v>0.055194805194805</v>
      </c>
      <c r="D832" s="5">
        <v>-0.272197962154294</v>
      </c>
      <c r="E832" s="5">
        <v>-0.459321573346494</v>
      </c>
      <c r="F832" s="5">
        <v>0.055194805194805</v>
      </c>
      <c r="G832" s="5">
        <v>-0.536924896342419</v>
      </c>
      <c r="H832" s="5">
        <v>-0.631798973568831</v>
      </c>
      <c r="I832" s="5">
        <v>-0.707796878371574</v>
      </c>
    </row>
    <row r="833">
      <c r="A833" s="2" t="s">
        <v>858</v>
      </c>
      <c r="B833" s="8" t="str">
        <f>HYPERLINK("https://www.suredividend.com/sure-analysis-JXN/","Jackson Financial Inc")</f>
        <v>Jackson Financial Inc</v>
      </c>
      <c r="C833" s="5">
        <v>-0.0080078125</v>
      </c>
      <c r="D833" s="5">
        <v>0.383855832683955</v>
      </c>
      <c r="E833" s="5">
        <v>0.599992439492312</v>
      </c>
      <c r="F833" s="5">
        <v>-0.0080078125</v>
      </c>
      <c r="G833" s="5">
        <v>0.243868212175165</v>
      </c>
      <c r="H833" s="5">
        <v>0.544224284971556</v>
      </c>
      <c r="I833" s="5">
        <v>0.614944356120826</v>
      </c>
    </row>
    <row r="834">
      <c r="A834" s="2" t="s">
        <v>859</v>
      </c>
      <c r="B834" s="8" t="str">
        <f>HYPERLINK("https://www.suredividend.com/sure-analysis-research-database/","Joint Corp")</f>
        <v>Joint Corp</v>
      </c>
      <c r="C834" s="5">
        <v>0.012486992715921</v>
      </c>
      <c r="D834" s="5">
        <v>0.233206590621039</v>
      </c>
      <c r="E834" s="5">
        <v>-0.268970698722764</v>
      </c>
      <c r="F834" s="5">
        <v>0.012486992715921</v>
      </c>
      <c r="G834" s="5">
        <v>-0.479679144385026</v>
      </c>
      <c r="H834" s="5">
        <v>-0.807326732673267</v>
      </c>
      <c r="I834" s="5">
        <v>0.198275862068965</v>
      </c>
    </row>
    <row r="835">
      <c r="A835" s="2" t="s">
        <v>860</v>
      </c>
      <c r="B835" s="8" t="str">
        <f>HYPERLINK("https://www.suredividend.com/sure-analysis-research-database/","Kadant, Inc.")</f>
        <v>Kadant, Inc.</v>
      </c>
      <c r="C835" s="5">
        <v>-0.00583471243203</v>
      </c>
      <c r="D835" s="5">
        <v>0.278382215984966</v>
      </c>
      <c r="E835" s="5">
        <v>0.284435755834474</v>
      </c>
      <c r="F835" s="5">
        <v>-0.00583471243203</v>
      </c>
      <c r="G835" s="5">
        <v>0.395237407879648</v>
      </c>
      <c r="H835" s="5">
        <v>0.35278687313699</v>
      </c>
      <c r="I835" s="5">
        <v>2.37859897008438</v>
      </c>
    </row>
    <row r="836">
      <c r="A836" s="2" t="s">
        <v>861</v>
      </c>
      <c r="B836" s="8" t="str">
        <f>HYPERLINK("https://www.suredividend.com/sure-analysis-KALU/","Kaiser Aluminum Corp")</f>
        <v>Kaiser Aluminum Corp</v>
      </c>
      <c r="C836" s="5">
        <v>-0.011687506919193</v>
      </c>
      <c r="D836" s="5">
        <v>0.296203410029453</v>
      </c>
      <c r="E836" s="5">
        <v>-0.086583244635968</v>
      </c>
      <c r="F836" s="5">
        <v>-0.011687506919193</v>
      </c>
      <c r="G836" s="5">
        <v>-0.143579399558708</v>
      </c>
      <c r="H836" s="5">
        <v>-0.1898701953787</v>
      </c>
      <c r="I836" s="5">
        <v>-0.128182754404744</v>
      </c>
    </row>
    <row r="837">
      <c r="A837" s="2" t="s">
        <v>862</v>
      </c>
      <c r="B837" s="8" t="str">
        <f>HYPERLINK("https://www.suredividend.com/sure-analysis-research-database/","KalVista Pharmaceuticals Inc")</f>
        <v>KalVista Pharmaceuticals Inc</v>
      </c>
      <c r="C837" s="5">
        <v>0.169795918367346</v>
      </c>
      <c r="D837" s="5">
        <v>0.793491864831038</v>
      </c>
      <c r="E837" s="5">
        <v>0.463738508682329</v>
      </c>
      <c r="F837" s="5">
        <v>0.169795918367346</v>
      </c>
      <c r="G837" s="5">
        <v>0.76260762607626</v>
      </c>
      <c r="H837" s="5">
        <v>0.222696245733788</v>
      </c>
      <c r="I837" s="5">
        <v>-0.171197223828802</v>
      </c>
    </row>
    <row r="838">
      <c r="A838" s="2" t="s">
        <v>863</v>
      </c>
      <c r="B838" s="8" t="str">
        <f>HYPERLINK("https://www.suredividend.com/sure-analysis-research-database/","Kaman Corp.")</f>
        <v>Kaman Corp.</v>
      </c>
      <c r="C838" s="5">
        <v>0.881419624217119</v>
      </c>
      <c r="D838" s="5">
        <v>1.50921605096392</v>
      </c>
      <c r="E838" s="5">
        <v>1.02748305931265</v>
      </c>
      <c r="F838" s="5">
        <v>0.881419624217119</v>
      </c>
      <c r="G838" s="5">
        <v>0.924826675893532</v>
      </c>
      <c r="H838" s="5">
        <v>0.205415541995596</v>
      </c>
      <c r="I838" s="5">
        <v>-0.127837769308638</v>
      </c>
    </row>
    <row r="839">
      <c r="A839" s="2" t="s">
        <v>864</v>
      </c>
      <c r="B839" s="8" t="str">
        <f>HYPERLINK("https://www.suredividend.com/sure-analysis-research-database/","Openlane Inc.")</f>
        <v>Openlane Inc.</v>
      </c>
      <c r="C839" s="5">
        <v>-0.00810263335584</v>
      </c>
      <c r="D839" s="5">
        <v>0.118811881188118</v>
      </c>
      <c r="E839" s="5">
        <v>-0.046103896103896</v>
      </c>
      <c r="F839" s="5">
        <v>-0.00810263335584</v>
      </c>
      <c r="G839" s="5">
        <v>0.017313019390581</v>
      </c>
      <c r="H839" s="5">
        <v>0.027991602519244</v>
      </c>
      <c r="I839" s="5">
        <v>-0.218770773837064</v>
      </c>
    </row>
    <row r="840">
      <c r="A840" s="2" t="s">
        <v>865</v>
      </c>
      <c r="B840" s="8" t="str">
        <f>HYPERLINK("https://www.suredividend.com/sure-analysis-research-database/","KB Home")</f>
        <v>KB Home</v>
      </c>
      <c r="C840" s="5">
        <v>-0.028978546269612</v>
      </c>
      <c r="D840" s="5">
        <v>0.411032810875072</v>
      </c>
      <c r="E840" s="5">
        <v>0.125392681329243</v>
      </c>
      <c r="F840" s="5">
        <v>-0.028978546269612</v>
      </c>
      <c r="G840" s="5">
        <v>0.6424430019471</v>
      </c>
      <c r="H840" s="5">
        <v>0.521724403541741</v>
      </c>
      <c r="I840" s="5">
        <v>2.2167045882459</v>
      </c>
    </row>
    <row r="841">
      <c r="A841" s="2" t="s">
        <v>866</v>
      </c>
      <c r="B841" s="8" t="str">
        <f>HYPERLINK("https://www.suredividend.com/sure-analysis-research-database/","Chinook Therapeutics Inc")</f>
        <v>Chinook Therapeutics Inc</v>
      </c>
      <c r="C841" s="5">
        <v>0.0</v>
      </c>
      <c r="D841" s="5">
        <v>0.0</v>
      </c>
      <c r="E841" s="5">
        <v>0.0</v>
      </c>
      <c r="F841" s="5">
        <v>0.0</v>
      </c>
      <c r="G841" s="5">
        <v>0.0</v>
      </c>
      <c r="H841" s="5">
        <v>0.0</v>
      </c>
      <c r="I841" s="5">
        <v>0.0</v>
      </c>
    </row>
    <row r="842">
      <c r="A842" s="2" t="s">
        <v>867</v>
      </c>
      <c r="B842" s="8" t="str">
        <f>HYPERLINK("https://www.suredividend.com/sure-analysis-research-database/","Kimball Electronics Inc")</f>
        <v>Kimball Electronics Inc</v>
      </c>
      <c r="C842" s="5">
        <v>-0.086456400742114</v>
      </c>
      <c r="D842" s="5">
        <v>-0.025722200237435</v>
      </c>
      <c r="E842" s="5">
        <v>-0.155403087478559</v>
      </c>
      <c r="F842" s="5">
        <v>-0.086456400742114</v>
      </c>
      <c r="G842" s="5">
        <v>-0.03715291357059</v>
      </c>
      <c r="H842" s="5">
        <v>0.293746715712033</v>
      </c>
      <c r="I842" s="5">
        <v>0.543573667711599</v>
      </c>
    </row>
    <row r="843">
      <c r="A843" s="2" t="s">
        <v>868</v>
      </c>
      <c r="B843" s="8" t="str">
        <f>HYPERLINK("https://www.suredividend.com/sure-analysis-research-database/","Kelly Services, Inc.")</f>
        <v>Kelly Services, Inc.</v>
      </c>
      <c r="C843" s="5">
        <v>-0.032377428307122</v>
      </c>
      <c r="D843" s="5">
        <v>0.198551654597121</v>
      </c>
      <c r="E843" s="5">
        <v>0.178472042271769</v>
      </c>
      <c r="F843" s="5">
        <v>-0.032377428307122</v>
      </c>
      <c r="G843" s="5">
        <v>0.22247674255528</v>
      </c>
      <c r="H843" s="5">
        <v>0.303686716354662</v>
      </c>
      <c r="I843" s="5">
        <v>-5.1121080518E-4</v>
      </c>
    </row>
    <row r="844">
      <c r="A844" s="2" t="s">
        <v>869</v>
      </c>
      <c r="B844" s="8" t="str">
        <f>HYPERLINK("https://www.suredividend.com/sure-analysis-research-database/","Kforce Inc.")</f>
        <v>Kforce Inc.</v>
      </c>
      <c r="C844" s="5">
        <v>0.043220840734162</v>
      </c>
      <c r="D844" s="5">
        <v>0.25585564074831</v>
      </c>
      <c r="E844" s="5">
        <v>0.143174124818135</v>
      </c>
      <c r="F844" s="5">
        <v>0.043220840734162</v>
      </c>
      <c r="G844" s="5">
        <v>0.320535183981203</v>
      </c>
      <c r="H844" s="5">
        <v>0.113403495025386</v>
      </c>
      <c r="I844" s="5">
        <v>1.4679685831241</v>
      </c>
    </row>
    <row r="845">
      <c r="A845" s="2" t="s">
        <v>870</v>
      </c>
      <c r="B845" s="8" t="str">
        <f>HYPERLINK("https://www.suredividend.com/sure-analysis-research-database/","Korn Ferry")</f>
        <v>Korn Ferry</v>
      </c>
      <c r="C845" s="5">
        <v>-0.012131423757371</v>
      </c>
      <c r="D845" s="5">
        <v>0.310451650972389</v>
      </c>
      <c r="E845" s="5">
        <v>0.133452806953441</v>
      </c>
      <c r="F845" s="5">
        <v>-0.012131423757371</v>
      </c>
      <c r="G845" s="5">
        <v>0.088886412599361</v>
      </c>
      <c r="H845" s="5">
        <v>-0.065571000984951</v>
      </c>
      <c r="I845" s="5">
        <v>0.408657126656607</v>
      </c>
    </row>
    <row r="846">
      <c r="A846" s="2" t="s">
        <v>871</v>
      </c>
      <c r="B846" s="8" t="str">
        <f>HYPERLINK("https://www.suredividend.com/sure-analysis-research-database/","OrthoPediatrics corp")</f>
        <v>OrthoPediatrics corp</v>
      </c>
      <c r="C846" s="5">
        <v>-0.156259612426945</v>
      </c>
      <c r="D846" s="5">
        <v>0.172222222222222</v>
      </c>
      <c r="E846" s="5">
        <v>-0.341732661387089</v>
      </c>
      <c r="F846" s="5">
        <v>-0.156259612426945</v>
      </c>
      <c r="G846" s="5">
        <v>-0.421063739974672</v>
      </c>
      <c r="H846" s="5">
        <v>-0.391391169292212</v>
      </c>
      <c r="I846" s="5">
        <v>-0.204004643064422</v>
      </c>
    </row>
    <row r="847">
      <c r="A847" s="2" t="s">
        <v>872</v>
      </c>
      <c r="B847" s="8" t="str">
        <f>HYPERLINK("https://www.suredividend.com/sure-analysis-KLIC/","Kulicke &amp; Soffa Industries, Inc.")</f>
        <v>Kulicke &amp; Soffa Industries, Inc.</v>
      </c>
      <c r="C847" s="5">
        <v>-0.019919590643274</v>
      </c>
      <c r="D847" s="5">
        <v>0.274413586774424</v>
      </c>
      <c r="E847" s="5">
        <v>-0.088768214441061</v>
      </c>
      <c r="F847" s="5">
        <v>-0.019919590643274</v>
      </c>
      <c r="G847" s="5">
        <v>0.060841631358027</v>
      </c>
      <c r="H847" s="5">
        <v>0.068090521816889</v>
      </c>
      <c r="I847" s="5">
        <v>1.79995196800651</v>
      </c>
    </row>
    <row r="848">
      <c r="A848" s="2" t="s">
        <v>873</v>
      </c>
      <c r="B848" s="8" t="str">
        <f>HYPERLINK("https://www.suredividend.com/sure-analysis-research-database/","Kaleyra Inc")</f>
        <v>Kaleyra Inc</v>
      </c>
      <c r="C848" s="5">
        <v>0.058479532163742</v>
      </c>
      <c r="D848" s="5">
        <v>0.063142437591776</v>
      </c>
      <c r="E848" s="5">
        <v>3.18497109826589</v>
      </c>
      <c r="F848" s="5">
        <v>1.73941503651292</v>
      </c>
      <c r="G848" s="5">
        <v>1.09091434182406</v>
      </c>
      <c r="H848" s="5">
        <v>-0.810743693634819</v>
      </c>
      <c r="I848" s="5">
        <v>-0.276</v>
      </c>
    </row>
    <row r="849">
      <c r="A849" s="2" t="s">
        <v>874</v>
      </c>
      <c r="B849" s="8" t="str">
        <f>HYPERLINK("https://www.suredividend.com/sure-analysis-research-database/","Kennametal Inc.")</f>
        <v>Kennametal Inc.</v>
      </c>
      <c r="C849" s="5">
        <v>-0.017060876308646</v>
      </c>
      <c r="D849" s="5">
        <v>0.136129361885212</v>
      </c>
      <c r="E849" s="5">
        <v>-0.124733276708582</v>
      </c>
      <c r="F849" s="5">
        <v>-0.017060876308646</v>
      </c>
      <c r="G849" s="5">
        <v>-0.063549351133899</v>
      </c>
      <c r="H849" s="5">
        <v>-0.204353925971959</v>
      </c>
      <c r="I849" s="5">
        <v>-0.22567520511207</v>
      </c>
    </row>
    <row r="850">
      <c r="A850" s="2" t="s">
        <v>875</v>
      </c>
      <c r="B850" s="8" t="str">
        <f>HYPERLINK("https://www.suredividend.com/sure-analysis-research-database/","Knowles Corp")</f>
        <v>Knowles Corp</v>
      </c>
      <c r="C850" s="5">
        <v>-0.040201005025125</v>
      </c>
      <c r="D850" s="5">
        <v>0.321291314373558</v>
      </c>
      <c r="E850" s="5">
        <v>-0.026062322946175</v>
      </c>
      <c r="F850" s="5">
        <v>-0.040201005025125</v>
      </c>
      <c r="G850" s="5">
        <v>-0.099528548978522</v>
      </c>
      <c r="H850" s="5">
        <v>-0.184148077835785</v>
      </c>
      <c r="I850" s="5">
        <v>0.13615333773959</v>
      </c>
    </row>
    <row r="851">
      <c r="A851" s="2" t="s">
        <v>876</v>
      </c>
      <c r="B851" s="8" t="str">
        <f>HYPERLINK("https://www.suredividend.com/sure-analysis-research-database/","Kiniksa Pharmaceuticals Ltd")</f>
        <v>Kiniksa Pharmaceuticals Ltd</v>
      </c>
      <c r="C851" s="5">
        <v>0.048460661345496</v>
      </c>
      <c r="D851" s="5">
        <v>0.205901639344262</v>
      </c>
      <c r="E851" s="5">
        <v>-0.029551451187335</v>
      </c>
      <c r="F851" s="5">
        <v>0.048460661345496</v>
      </c>
      <c r="G851" s="5">
        <v>0.314510364546104</v>
      </c>
      <c r="H851" s="5">
        <v>0.656756756756756</v>
      </c>
      <c r="I851" s="5">
        <v>-0.010226049515608</v>
      </c>
    </row>
    <row r="852">
      <c r="A852" s="2" t="s">
        <v>877</v>
      </c>
      <c r="B852" s="8" t="str">
        <f>HYPERLINK("https://www.suredividend.com/sure-analysis-research-database/","Kinsale Capital Group Inc")</f>
        <v>Kinsale Capital Group Inc</v>
      </c>
      <c r="C852" s="5">
        <v>0.186736735242303</v>
      </c>
      <c r="D852" s="5">
        <v>0.15962435698399</v>
      </c>
      <c r="E852" s="5">
        <v>0.05626101406904</v>
      </c>
      <c r="F852" s="5">
        <v>0.186736735242303</v>
      </c>
      <c r="G852" s="5">
        <v>0.457825933859561</v>
      </c>
      <c r="H852" s="5">
        <v>1.05201677960632</v>
      </c>
      <c r="I852" s="5">
        <v>5.95751269577577</v>
      </c>
    </row>
    <row r="853">
      <c r="A853" s="2" t="s">
        <v>878</v>
      </c>
      <c r="B853" s="8" t="str">
        <f>HYPERLINK("https://www.suredividend.com/sure-analysis-research-database/","Kinnate Biopharma Inc")</f>
        <v>Kinnate Biopharma Inc</v>
      </c>
      <c r="C853" s="5">
        <v>0.021097046413502</v>
      </c>
      <c r="D853" s="5">
        <v>1.26168224299065</v>
      </c>
      <c r="E853" s="5">
        <v>-0.168384879725085</v>
      </c>
      <c r="F853" s="5">
        <v>0.021097046413502</v>
      </c>
      <c r="G853" s="5">
        <v>-0.669398907103825</v>
      </c>
      <c r="H853" s="5">
        <v>-0.76504854368932</v>
      </c>
      <c r="I853" s="5">
        <v>-0.937996413015629</v>
      </c>
    </row>
    <row r="854">
      <c r="A854" s="2" t="s">
        <v>879</v>
      </c>
      <c r="B854" s="8" t="str">
        <f>HYPERLINK("https://www.suredividend.com/sure-analysis-research-database/","Kinetik Holdings Inc")</f>
        <v>Kinetik Holdings Inc</v>
      </c>
      <c r="C854" s="5">
        <v>0.005988023952095</v>
      </c>
      <c r="D854" s="5">
        <v>-0.025677458642037</v>
      </c>
      <c r="E854" s="5">
        <v>-0.013166589815056</v>
      </c>
      <c r="F854" s="5">
        <v>0.005988023952095</v>
      </c>
      <c r="G854" s="5">
        <v>0.175577379931914</v>
      </c>
      <c r="H854" s="5">
        <v>-0.458501208702659</v>
      </c>
      <c r="I854" s="5">
        <v>-0.778511093561923</v>
      </c>
    </row>
    <row r="855">
      <c r="A855" s="2" t="s">
        <v>880</v>
      </c>
      <c r="B855" s="8" t="str">
        <f>HYPERLINK("https://www.suredividend.com/sure-analysis-research-database/","Kodiak Sciences Inc")</f>
        <v>Kodiak Sciences Inc</v>
      </c>
      <c r="C855" s="5">
        <v>0.572368421052631</v>
      </c>
      <c r="D855" s="5">
        <v>2.36619718309859</v>
      </c>
      <c r="E855" s="5">
        <v>0.665505226480836</v>
      </c>
      <c r="F855" s="5">
        <v>0.572368421052631</v>
      </c>
      <c r="G855" s="5">
        <v>-0.393401015228426</v>
      </c>
      <c r="H855" s="5">
        <v>-0.912534309240622</v>
      </c>
      <c r="I855" s="5">
        <v>-0.401752190237797</v>
      </c>
    </row>
    <row r="856">
      <c r="A856" s="2" t="s">
        <v>881</v>
      </c>
      <c r="B856" s="8" t="str">
        <f>HYPERLINK("https://www.suredividend.com/sure-analysis-research-database/","Eastman Kodak Co.")</f>
        <v>Eastman Kodak Co.</v>
      </c>
      <c r="C856" s="5">
        <v>-0.056410256410256</v>
      </c>
      <c r="D856" s="5">
        <v>-0.005405405405405</v>
      </c>
      <c r="E856" s="5">
        <v>-0.324770642201834</v>
      </c>
      <c r="F856" s="5">
        <v>-0.056410256410256</v>
      </c>
      <c r="G856" s="5">
        <v>0.045454545454545</v>
      </c>
      <c r="H856" s="5">
        <v>0.01098901098901</v>
      </c>
      <c r="I856" s="5">
        <v>0.362962962962962</v>
      </c>
    </row>
    <row r="857">
      <c r="A857" s="2" t="s">
        <v>882</v>
      </c>
      <c r="B857" s="8" t="str">
        <f>HYPERLINK("https://www.suredividend.com/sure-analysis-research-database/","Koppers Holdings Inc")</f>
        <v>Koppers Holdings Inc</v>
      </c>
      <c r="C857" s="5">
        <v>0.007614213197969</v>
      </c>
      <c r="D857" s="5">
        <v>0.420233302420808</v>
      </c>
      <c r="E857" s="5">
        <v>0.374540244120051</v>
      </c>
      <c r="F857" s="5">
        <v>0.007614213197969</v>
      </c>
      <c r="G857" s="5">
        <v>0.604454295902284</v>
      </c>
      <c r="H857" s="5">
        <v>0.740523404829353</v>
      </c>
      <c r="I857" s="5">
        <v>1.26178111428108</v>
      </c>
    </row>
    <row r="858">
      <c r="A858" s="2" t="s">
        <v>883</v>
      </c>
      <c r="B858" s="8" t="str">
        <f>HYPERLINK("https://www.suredividend.com/sure-analysis-research-database/","Kore Group Holdings Inc")</f>
        <v>Kore Group Holdings Inc</v>
      </c>
      <c r="C858" s="5">
        <v>-0.081820036727198</v>
      </c>
      <c r="D858" s="5">
        <v>0.821862348178137</v>
      </c>
      <c r="E858" s="5">
        <v>-0.285714285714285</v>
      </c>
      <c r="F858" s="5">
        <v>-0.081820036727198</v>
      </c>
      <c r="G858" s="5">
        <v>-0.601769911504424</v>
      </c>
      <c r="H858" s="5">
        <v>-0.825242718446601</v>
      </c>
      <c r="I858" s="5">
        <v>-0.874651810584958</v>
      </c>
    </row>
    <row r="859">
      <c r="A859" s="2" t="s">
        <v>884</v>
      </c>
      <c r="B859" s="8" t="str">
        <f>HYPERLINK("https://www.suredividend.com/sure-analysis-research-database/","Kosmos Energy Ltd")</f>
        <v>Kosmos Energy Ltd</v>
      </c>
      <c r="C859" s="5">
        <v>-0.070044709388971</v>
      </c>
      <c r="D859" s="5">
        <v>-0.151020408163265</v>
      </c>
      <c r="E859" s="5">
        <v>-0.108571428571428</v>
      </c>
      <c r="F859" s="5">
        <v>-0.070044709388971</v>
      </c>
      <c r="G859" s="5">
        <v>-0.231527093596059</v>
      </c>
      <c r="H859" s="5">
        <v>0.447795823665893</v>
      </c>
      <c r="I859" s="5">
        <v>0.31111718109806</v>
      </c>
    </row>
    <row r="860">
      <c r="A860" s="2" t="s">
        <v>885</v>
      </c>
      <c r="B860" s="8" t="str">
        <f>HYPERLINK("https://www.suredividend.com/sure-analysis-research-database/","Karyopharm Therapeutics Inc")</f>
        <v>Karyopharm Therapeutics Inc</v>
      </c>
      <c r="C860" s="5">
        <v>0.046242774566473</v>
      </c>
      <c r="D860" s="5">
        <v>0.097901249545068</v>
      </c>
      <c r="E860" s="5">
        <v>-0.497222222222222</v>
      </c>
      <c r="F860" s="5">
        <v>0.046242774566473</v>
      </c>
      <c r="G860" s="5">
        <v>-0.715408805031446</v>
      </c>
      <c r="H860" s="5">
        <v>-0.894028103044496</v>
      </c>
      <c r="I860" s="5">
        <v>-0.890169902912621</v>
      </c>
    </row>
    <row r="861">
      <c r="A861" s="2" t="s">
        <v>886</v>
      </c>
      <c r="B861" s="8" t="str">
        <f>HYPERLINK("https://www.suredividend.com/sure-analysis-KREF/","KKR Real Estate Finance Trust Inc")</f>
        <v>KKR Real Estate Finance Trust Inc</v>
      </c>
      <c r="C861" s="5">
        <v>-0.00907029478458</v>
      </c>
      <c r="D861" s="5">
        <v>0.296902667998852</v>
      </c>
      <c r="E861" s="5">
        <v>0.114019136316513</v>
      </c>
      <c r="F861" s="5">
        <v>-0.00907029478458</v>
      </c>
      <c r="G861" s="5">
        <v>-0.032722175083926</v>
      </c>
      <c r="H861" s="5">
        <v>-0.214993563066974</v>
      </c>
      <c r="I861" s="5">
        <v>0.078089536528403</v>
      </c>
    </row>
    <row r="862">
      <c r="A862" s="2" t="s">
        <v>887</v>
      </c>
      <c r="B862" s="8" t="str">
        <f>HYPERLINK("https://www.suredividend.com/sure-analysis-KRG/","Kite Realty Group Trust")</f>
        <v>Kite Realty Group Trust</v>
      </c>
      <c r="C862" s="5">
        <v>-0.040494749042264</v>
      </c>
      <c r="D862" s="5">
        <v>0.102223758029108</v>
      </c>
      <c r="E862" s="5">
        <v>-0.028365108944954</v>
      </c>
      <c r="F862" s="5">
        <v>-0.040494749042264</v>
      </c>
      <c r="G862" s="5">
        <v>0.051967892911705</v>
      </c>
      <c r="H862" s="5">
        <v>0.125291828793774</v>
      </c>
      <c r="I862" s="5">
        <v>0.708856271715238</v>
      </c>
    </row>
    <row r="863">
      <c r="A863" s="2" t="s">
        <v>888</v>
      </c>
      <c r="B863" s="8" t="str">
        <f>HYPERLINK("https://www.suredividend.com/sure-analysis-research-database/","Kearny Financial Corp.")</f>
        <v>Kearny Financial Corp.</v>
      </c>
      <c r="C863" s="5">
        <v>-0.124860646599777</v>
      </c>
      <c r="D863" s="5">
        <v>0.174587024180033</v>
      </c>
      <c r="E863" s="5">
        <v>-0.066587395957193</v>
      </c>
      <c r="F863" s="5">
        <v>-0.124860646599777</v>
      </c>
      <c r="G863" s="5">
        <v>-0.097753002700994</v>
      </c>
      <c r="H863" s="5">
        <v>-0.320028411551721</v>
      </c>
      <c r="I863" s="5">
        <v>-0.26897181118054</v>
      </c>
    </row>
    <row r="864">
      <c r="A864" s="2" t="s">
        <v>889</v>
      </c>
      <c r="B864" s="8" t="str">
        <f>HYPERLINK("https://www.suredividend.com/sure-analysis-KRO/","Kronos Worldwide, Inc.")</f>
        <v>Kronos Worldwide, Inc.</v>
      </c>
      <c r="C864" s="5">
        <v>-0.030181086519114</v>
      </c>
      <c r="D864" s="5">
        <v>0.481754741922592</v>
      </c>
      <c r="E864" s="5">
        <v>0.074262280467148</v>
      </c>
      <c r="F864" s="5">
        <v>-0.030181086519114</v>
      </c>
      <c r="G864" s="5">
        <v>-0.073557960289849</v>
      </c>
      <c r="H864" s="5">
        <v>-0.218541006331114</v>
      </c>
      <c r="I864" s="5">
        <v>-0.002369888956731</v>
      </c>
    </row>
    <row r="865">
      <c r="A865" s="2" t="s">
        <v>890</v>
      </c>
      <c r="B865" s="8" t="str">
        <f>HYPERLINK("https://www.suredividend.com/sure-analysis-research-database/","Kronos Bio Inc")</f>
        <v>Kronos Bio Inc</v>
      </c>
      <c r="C865" s="5">
        <v>-0.056</v>
      </c>
      <c r="D865" s="5">
        <v>0.396945661181484</v>
      </c>
      <c r="E865" s="5">
        <v>-0.397959183673469</v>
      </c>
      <c r="F865" s="5">
        <v>-0.056</v>
      </c>
      <c r="G865" s="5">
        <v>-0.5390625</v>
      </c>
      <c r="H865" s="5">
        <v>-0.868303571428571</v>
      </c>
      <c r="I865" s="5">
        <v>-0.956409309198374</v>
      </c>
    </row>
    <row r="866">
      <c r="A866" s="2" t="s">
        <v>891</v>
      </c>
      <c r="B866" s="8" t="str">
        <f>HYPERLINK("https://www.suredividend.com/sure-analysis-research-database/","Keros Therapeutics Inc")</f>
        <v>Keros Therapeutics Inc</v>
      </c>
      <c r="C866" s="5">
        <v>0.467555331991951</v>
      </c>
      <c r="D866" s="5">
        <v>1.10954446854663</v>
      </c>
      <c r="E866" s="5">
        <v>0.390278770550393</v>
      </c>
      <c r="F866" s="5">
        <v>0.467555331991951</v>
      </c>
      <c r="G866" s="5">
        <v>0.005687693898655</v>
      </c>
      <c r="H866" s="5">
        <v>0.385327635327635</v>
      </c>
      <c r="I866" s="5">
        <v>1.9058764940239</v>
      </c>
    </row>
    <row r="867">
      <c r="A867" s="2" t="s">
        <v>892</v>
      </c>
      <c r="B867" s="8" t="str">
        <f>HYPERLINK("https://www.suredividend.com/sure-analysis-research-database/","Karat Packaging Inc")</f>
        <v>Karat Packaging Inc</v>
      </c>
      <c r="C867" s="5">
        <v>-0.00281690140845</v>
      </c>
      <c r="D867" s="5">
        <v>0.245388844773688</v>
      </c>
      <c r="E867" s="5">
        <v>0.313773413849228</v>
      </c>
      <c r="F867" s="5">
        <v>-0.00281690140845</v>
      </c>
      <c r="G867" s="5">
        <v>0.772088532913791</v>
      </c>
      <c r="H867" s="5">
        <v>0.637080737545171</v>
      </c>
      <c r="I867" s="5">
        <v>0.474780538610326</v>
      </c>
    </row>
    <row r="868">
      <c r="A868" s="2" t="s">
        <v>893</v>
      </c>
      <c r="B868" s="8" t="str">
        <f>HYPERLINK("https://www.suredividend.com/sure-analysis-research-database/","Karuna Therapeutics Inc")</f>
        <v>Karuna Therapeutics Inc</v>
      </c>
      <c r="C868" s="5">
        <v>-0.00811980664118</v>
      </c>
      <c r="D868" s="5">
        <v>0.914501768508354</v>
      </c>
      <c r="E868" s="5">
        <v>0.547569752538696</v>
      </c>
      <c r="F868" s="5">
        <v>-0.00811980664118</v>
      </c>
      <c r="G868" s="5">
        <v>0.59457537586347</v>
      </c>
      <c r="H868" s="5">
        <v>1.91116468842729</v>
      </c>
      <c r="I868" s="5">
        <v>14.6813186813186</v>
      </c>
    </row>
    <row r="869">
      <c r="A869" s="2" t="s">
        <v>894</v>
      </c>
      <c r="B869" s="8" t="str">
        <f>HYPERLINK("https://www.suredividend.com/sure-analysis-research-database/","Kura Sushi USA Inc")</f>
        <v>Kura Sushi USA Inc</v>
      </c>
      <c r="C869" s="5">
        <v>0.259605263157894</v>
      </c>
      <c r="D869" s="5">
        <v>0.54752667313288</v>
      </c>
      <c r="E869" s="5">
        <v>8.3638264506E-4</v>
      </c>
      <c r="F869" s="5">
        <v>0.259605263157894</v>
      </c>
      <c r="G869" s="5">
        <v>0.555573610659733</v>
      </c>
      <c r="H869" s="5">
        <v>1.23355109659356</v>
      </c>
      <c r="I869" s="5">
        <v>3.88169301376848</v>
      </c>
    </row>
    <row r="870">
      <c r="A870" s="2" t="s">
        <v>895</v>
      </c>
      <c r="B870" s="8" t="str">
        <f>HYPERLINK("https://www.suredividend.com/sure-analysis-research-database/","Krystal Biotech Inc")</f>
        <v>Krystal Biotech Inc</v>
      </c>
      <c r="C870" s="5">
        <v>-0.040061260680316</v>
      </c>
      <c r="D870" s="5">
        <v>0.043276390713972</v>
      </c>
      <c r="E870" s="5">
        <v>-0.057235592146928</v>
      </c>
      <c r="F870" s="5">
        <v>-0.040061260680316</v>
      </c>
      <c r="G870" s="5">
        <v>0.414034671099501</v>
      </c>
      <c r="H870" s="5">
        <v>1.21521577380952</v>
      </c>
      <c r="I870" s="5">
        <v>4.38625056535504</v>
      </c>
    </row>
    <row r="871">
      <c r="A871" s="2" t="s">
        <v>896</v>
      </c>
      <c r="B871" s="8" t="str">
        <f>HYPERLINK("https://www.suredividend.com/sure-analysis-KTB/","Kontoor Brands Inc")</f>
        <v>Kontoor Brands Inc</v>
      </c>
      <c r="C871" s="5">
        <v>-0.015059275873117</v>
      </c>
      <c r="D871" s="5">
        <v>0.329895390791967</v>
      </c>
      <c r="E871" s="5">
        <v>0.485382942739792</v>
      </c>
      <c r="F871" s="5">
        <v>-0.015059275873117</v>
      </c>
      <c r="G871" s="5">
        <v>0.362624892506006</v>
      </c>
      <c r="H871" s="5">
        <v>0.351360262359077</v>
      </c>
      <c r="I871" s="5">
        <v>0.518024691358024</v>
      </c>
    </row>
    <row r="872">
      <c r="A872" s="2" t="s">
        <v>897</v>
      </c>
      <c r="B872" s="8" t="str">
        <f>HYPERLINK("https://www.suredividend.com/sure-analysis-research-database/","Kratos Defense &amp; Security Solutions Inc")</f>
        <v>Kratos Defense &amp; Security Solutions Inc</v>
      </c>
      <c r="C872" s="5">
        <v>-0.131099063578117</v>
      </c>
      <c r="D872" s="5">
        <v>0.039504716981132</v>
      </c>
      <c r="E872" s="5">
        <v>0.199319727891156</v>
      </c>
      <c r="F872" s="5">
        <v>-0.131099063578117</v>
      </c>
      <c r="G872" s="5">
        <v>0.567111111111111</v>
      </c>
      <c r="H872" s="5">
        <v>0.079608083282302</v>
      </c>
      <c r="I872" s="5">
        <v>0.162162162162162</v>
      </c>
    </row>
    <row r="873">
      <c r="A873" s="2" t="s">
        <v>898</v>
      </c>
      <c r="B873" s="8" t="str">
        <f>HYPERLINK("https://www.suredividend.com/sure-analysis-research-database/","Kura Oncology Inc")</f>
        <v>Kura Oncology Inc</v>
      </c>
      <c r="C873" s="5">
        <v>0.29346314325452</v>
      </c>
      <c r="D873" s="5">
        <v>1.42819843342036</v>
      </c>
      <c r="E873" s="5">
        <v>0.865596790371113</v>
      </c>
      <c r="F873" s="5">
        <v>0.29346314325452</v>
      </c>
      <c r="G873" s="5">
        <v>0.363636363636363</v>
      </c>
      <c r="H873" s="5">
        <v>0.444099378881987</v>
      </c>
      <c r="I873" s="5">
        <v>0.221273801707156</v>
      </c>
    </row>
    <row r="874">
      <c r="A874" s="2" t="s">
        <v>899</v>
      </c>
      <c r="B874" s="8" t="str">
        <f>HYPERLINK("https://www.suredividend.com/sure-analysis-research-database/","Kennedy-Wilson Holdings Inc")</f>
        <v>Kennedy-Wilson Holdings Inc</v>
      </c>
      <c r="C874" s="5">
        <v>-0.107431340872374</v>
      </c>
      <c r="D874" s="5">
        <v>-0.11714418114124</v>
      </c>
      <c r="E874" s="5">
        <v>-0.314384279855307</v>
      </c>
      <c r="F874" s="5">
        <v>-0.107431340872374</v>
      </c>
      <c r="G874" s="5">
        <v>-0.334718083024774</v>
      </c>
      <c r="H874" s="5">
        <v>-0.438325039520568</v>
      </c>
      <c r="I874" s="5">
        <v>-0.26538535690305</v>
      </c>
    </row>
    <row r="875">
      <c r="A875" s="2" t="s">
        <v>900</v>
      </c>
      <c r="B875" s="8" t="str">
        <f>HYPERLINK("https://www.suredividend.com/sure-analysis-KWR/","Quaker Houghton")</f>
        <v>Quaker Houghton</v>
      </c>
      <c r="C875" s="5">
        <v>-0.071456346425867</v>
      </c>
      <c r="D875" s="5">
        <v>0.42373559936662</v>
      </c>
      <c r="E875" s="5">
        <v>0.002188168279619</v>
      </c>
      <c r="F875" s="5">
        <v>-0.071456346425867</v>
      </c>
      <c r="G875" s="5">
        <v>0.055414604670577</v>
      </c>
      <c r="H875" s="5">
        <v>-0.007788349592516</v>
      </c>
      <c r="I875" s="5">
        <v>0.053765377848862</v>
      </c>
    </row>
    <row r="876">
      <c r="A876" s="2" t="s">
        <v>901</v>
      </c>
      <c r="B876" s="8" t="str">
        <f>HYPERLINK("https://www.suredividend.com/sure-analysis-research-database/","Kymera Therapeutics Inc")</f>
        <v>Kymera Therapeutics Inc</v>
      </c>
      <c r="C876" s="5">
        <v>0.280047132757266</v>
      </c>
      <c r="D876" s="5">
        <v>1.97082953509571</v>
      </c>
      <c r="E876" s="5">
        <v>0.492216117216117</v>
      </c>
      <c r="F876" s="5">
        <v>0.280047132757266</v>
      </c>
      <c r="G876" s="5">
        <v>-0.115603799185888</v>
      </c>
      <c r="H876" s="5">
        <v>-0.153066528066527</v>
      </c>
      <c r="I876" s="5">
        <v>-0.020144317498496</v>
      </c>
    </row>
    <row r="877">
      <c r="A877" s="2" t="s">
        <v>902</v>
      </c>
      <c r="B877" s="8" t="str">
        <f>HYPERLINK("https://www.suredividend.com/sure-analysis-research-database/","Kezar Life Sciences Inc")</f>
        <v>Kezar Life Sciences Inc</v>
      </c>
      <c r="C877" s="5">
        <v>-0.021954823728097</v>
      </c>
      <c r="D877" s="5">
        <v>0.26931506849315</v>
      </c>
      <c r="E877" s="5">
        <v>-0.578818181818181</v>
      </c>
      <c r="F877" s="5">
        <v>-0.021954823728097</v>
      </c>
      <c r="G877" s="5">
        <v>-0.865710144927536</v>
      </c>
      <c r="H877" s="5">
        <v>-0.926108452950558</v>
      </c>
      <c r="I877" s="5">
        <v>-0.946990846681922</v>
      </c>
    </row>
    <row r="878">
      <c r="A878" s="2" t="s">
        <v>903</v>
      </c>
      <c r="B878" s="8" t="str">
        <f>HYPERLINK("https://www.suredividend.com/sure-analysis-LADR/","Ladder Capital Corp")</f>
        <v>Ladder Capital Corp</v>
      </c>
      <c r="C878" s="5">
        <v>0.004344048653345</v>
      </c>
      <c r="D878" s="5">
        <v>0.239478904197716</v>
      </c>
      <c r="E878" s="5">
        <v>0.068974764427922</v>
      </c>
      <c r="F878" s="5">
        <v>0.004344048653345</v>
      </c>
      <c r="G878" s="5">
        <v>0.139589905362776</v>
      </c>
      <c r="H878" s="5">
        <v>0.166451404585082</v>
      </c>
      <c r="I878" s="5">
        <v>0.030477531845856</v>
      </c>
    </row>
    <row r="879">
      <c r="A879" s="2" t="s">
        <v>904</v>
      </c>
      <c r="B879" s="8" t="str">
        <f>HYPERLINK("https://www.suredividend.com/sure-analysis-LANC/","Lancaster Colony Corp.")</f>
        <v>Lancaster Colony Corp.</v>
      </c>
      <c r="C879" s="5">
        <v>0.091231444197367</v>
      </c>
      <c r="D879" s="5">
        <v>0.098845900131326</v>
      </c>
      <c r="E879" s="5">
        <v>-0.034813070450087</v>
      </c>
      <c r="F879" s="5">
        <v>0.091231444197367</v>
      </c>
      <c r="G879" s="5">
        <v>-0.01797733727289</v>
      </c>
      <c r="H879" s="5">
        <v>0.201230008719618</v>
      </c>
      <c r="I879" s="5">
        <v>0.284479215376115</v>
      </c>
    </row>
    <row r="880">
      <c r="A880" s="2" t="s">
        <v>905</v>
      </c>
      <c r="B880" s="8" t="str">
        <f>HYPERLINK("https://www.suredividend.com/sure-analysis-LAND/","Gladstone Land Corp")</f>
        <v>Gladstone Land Corp</v>
      </c>
      <c r="C880" s="5">
        <v>-8.0827224839E-4</v>
      </c>
      <c r="D880" s="5">
        <v>0.077652611090653</v>
      </c>
      <c r="E880" s="5">
        <v>-0.094130801447874</v>
      </c>
      <c r="F880" s="5">
        <v>-8.0827224839E-4</v>
      </c>
      <c r="G880" s="5">
        <v>-0.217953262618275</v>
      </c>
      <c r="H880" s="5">
        <v>-0.472726269924438</v>
      </c>
      <c r="I880" s="5">
        <v>0.47095027080256</v>
      </c>
    </row>
    <row r="881">
      <c r="A881" s="2" t="s">
        <v>906</v>
      </c>
      <c r="B881" s="8" t="str">
        <f>HYPERLINK("https://www.suredividend.com/sure-analysis-research-database/","nLIGHT Inc")</f>
        <v>nLIGHT Inc</v>
      </c>
      <c r="C881" s="5">
        <v>-0.023703703703703</v>
      </c>
      <c r="D881" s="5">
        <v>0.593712212817412</v>
      </c>
      <c r="E881" s="5">
        <v>-0.069209039548022</v>
      </c>
      <c r="F881" s="5">
        <v>-0.023703703703703</v>
      </c>
      <c r="G881" s="5">
        <v>0.075040783034257</v>
      </c>
      <c r="H881" s="5">
        <v>-0.317805383022774</v>
      </c>
      <c r="I881" s="5">
        <v>-0.315680166147456</v>
      </c>
    </row>
    <row r="882">
      <c r="A882" s="2" t="s">
        <v>907</v>
      </c>
      <c r="B882" s="8" t="str">
        <f>HYPERLINK("https://www.suredividend.com/sure-analysis-research-database/","Laureate Education Inc")</f>
        <v>Laureate Education Inc</v>
      </c>
      <c r="C882" s="5">
        <v>-0.052516411378555</v>
      </c>
      <c r="D882" s="5">
        <v>0.01365587202497</v>
      </c>
      <c r="E882" s="5">
        <v>0.132608487152435</v>
      </c>
      <c r="F882" s="5">
        <v>-0.052516411378555</v>
      </c>
      <c r="G882" s="5">
        <v>0.311763458450725</v>
      </c>
      <c r="H882" s="5">
        <v>0.267552034035577</v>
      </c>
      <c r="I882" s="5">
        <v>0.437058179283794</v>
      </c>
    </row>
    <row r="883">
      <c r="A883" s="2" t="s">
        <v>908</v>
      </c>
      <c r="B883" s="8" t="str">
        <f>HYPERLINK("https://www.suredividend.com/sure-analysis-research-database/","CS Disco Inc")</f>
        <v>CS Disco Inc</v>
      </c>
      <c r="C883" s="5">
        <v>0.13965744400527</v>
      </c>
      <c r="D883" s="5">
        <v>0.504347826086956</v>
      </c>
      <c r="E883" s="5">
        <v>-0.078807241746538</v>
      </c>
      <c r="F883" s="5">
        <v>0.13965744400527</v>
      </c>
      <c r="G883" s="5">
        <v>0.116129032258064</v>
      </c>
      <c r="H883" s="5">
        <v>-0.729349186483103</v>
      </c>
      <c r="I883" s="5">
        <v>-0.789024390243902</v>
      </c>
    </row>
    <row r="884">
      <c r="A884" s="2" t="s">
        <v>909</v>
      </c>
      <c r="B884" s="8" t="str">
        <f>HYPERLINK("https://www.suredividend.com/sure-analysis-research-database/","Luminar Technologies Inc")</f>
        <v>Luminar Technologies Inc</v>
      </c>
      <c r="C884" s="5">
        <v>-0.121661721068249</v>
      </c>
      <c r="D884" s="5">
        <v>-0.105740181268882</v>
      </c>
      <c r="E884" s="5">
        <v>-0.578947368421052</v>
      </c>
      <c r="F884" s="5">
        <v>-0.121661721068249</v>
      </c>
      <c r="G884" s="5">
        <v>-0.563421828908554</v>
      </c>
      <c r="H884" s="5">
        <v>-0.772831926323868</v>
      </c>
      <c r="I884" s="5">
        <v>-0.697959183673469</v>
      </c>
    </row>
    <row r="885">
      <c r="A885" s="2" t="s">
        <v>910</v>
      </c>
      <c r="B885" s="8" t="str">
        <f>HYPERLINK("https://www.suredividend.com/sure-analysis-LBAI/","Lakeland Bancorp, Inc.")</f>
        <v>Lakeland Bancorp, Inc.</v>
      </c>
      <c r="C885" s="5">
        <v>-0.017579445571331</v>
      </c>
      <c r="D885" s="5">
        <v>0.313517569314493</v>
      </c>
      <c r="E885" s="5">
        <v>-0.031636753817137</v>
      </c>
      <c r="F885" s="5">
        <v>-0.017579445571331</v>
      </c>
      <c r="G885" s="5">
        <v>-0.175406337964224</v>
      </c>
      <c r="H885" s="5">
        <v>-0.139070100905961</v>
      </c>
      <c r="I885" s="5">
        <v>0.148099275425302</v>
      </c>
    </row>
    <row r="886">
      <c r="A886" s="2" t="s">
        <v>911</v>
      </c>
      <c r="B886" s="8" t="str">
        <f>HYPERLINK("https://www.suredividend.com/sure-analysis-research-database/","Luther Burbank Corp")</f>
        <v>Luther Burbank Corp</v>
      </c>
      <c r="C886" s="5">
        <v>-0.070028011204481</v>
      </c>
      <c r="D886" s="5">
        <v>0.240348692403487</v>
      </c>
      <c r="E886" s="5">
        <v>-0.041385948026948</v>
      </c>
      <c r="F886" s="5">
        <v>-0.070028011204481</v>
      </c>
      <c r="G886" s="5">
        <v>-0.126315789473684</v>
      </c>
      <c r="H886" s="5">
        <v>-0.193626736617118</v>
      </c>
      <c r="I886" s="5">
        <v>0.163904924392923</v>
      </c>
    </row>
    <row r="887">
      <c r="A887" s="2" t="s">
        <v>912</v>
      </c>
      <c r="B887" s="8" t="str">
        <f>HYPERLINK("https://www.suredividend.com/sure-analysis-research-database/","Liberty Energy Inc")</f>
        <v>Liberty Energy Inc</v>
      </c>
      <c r="C887" s="5">
        <v>0.096471885336273</v>
      </c>
      <c r="D887" s="5">
        <v>0.018381035277251</v>
      </c>
      <c r="E887" s="5">
        <v>0.262352201976352</v>
      </c>
      <c r="F887" s="5">
        <v>0.096471885336273</v>
      </c>
      <c r="G887" s="5">
        <v>0.304878368803631</v>
      </c>
      <c r="H887" s="5">
        <v>0.653916514219191</v>
      </c>
      <c r="I887" s="5">
        <v>0.369693213511</v>
      </c>
    </row>
    <row r="888">
      <c r="A888" s="2" t="s">
        <v>913</v>
      </c>
      <c r="B888" s="8" t="str">
        <f>HYPERLINK("https://www.suredividend.com/sure-analysis-research-database/","LendingClub Corp")</f>
        <v>LendingClub Corp</v>
      </c>
      <c r="C888" s="5">
        <v>0.02974828375286</v>
      </c>
      <c r="D888" s="5">
        <v>0.750972762645914</v>
      </c>
      <c r="E888" s="5">
        <v>0.071428571428571</v>
      </c>
      <c r="F888" s="5">
        <v>0.02974828375286</v>
      </c>
      <c r="G888" s="5">
        <v>-0.081632653061224</v>
      </c>
      <c r="H888" s="5">
        <v>-0.466824644549763</v>
      </c>
      <c r="I888" s="5">
        <v>-0.407894736842105</v>
      </c>
    </row>
    <row r="889">
      <c r="A889" s="2" t="s">
        <v>914</v>
      </c>
      <c r="B889" s="8" t="str">
        <f>HYPERLINK("https://www.suredividend.com/sure-analysis-research-database/","LCI Industries")</f>
        <v>LCI Industries</v>
      </c>
      <c r="C889" s="5">
        <v>-0.061808925304271</v>
      </c>
      <c r="D889" s="5">
        <v>0.125087524826524</v>
      </c>
      <c r="E889" s="5">
        <v>-0.107151644168816</v>
      </c>
      <c r="F889" s="5">
        <v>-0.061808925304271</v>
      </c>
      <c r="G889" s="5">
        <v>0.132456289434088</v>
      </c>
      <c r="H889" s="5">
        <v>0.053276463191586</v>
      </c>
      <c r="I889" s="5">
        <v>0.684294107398384</v>
      </c>
    </row>
    <row r="890">
      <c r="A890" s="2" t="s">
        <v>915</v>
      </c>
      <c r="B890" s="8" t="str">
        <f>HYPERLINK("https://www.suredividend.com/sure-analysis-research-database/","Lifetime Brands, Inc.")</f>
        <v>Lifetime Brands, Inc.</v>
      </c>
      <c r="C890" s="5">
        <v>0.147540983606557</v>
      </c>
      <c r="D890" s="5">
        <v>0.479346781940442</v>
      </c>
      <c r="E890" s="5">
        <v>0.424158913940111</v>
      </c>
      <c r="F890" s="5">
        <v>0.147540983606557</v>
      </c>
      <c r="G890" s="5">
        <v>0.007181070227989</v>
      </c>
      <c r="H890" s="5">
        <v>-0.461673984171816</v>
      </c>
      <c r="I890" s="5">
        <v>-0.12664746047229</v>
      </c>
    </row>
    <row r="891">
      <c r="A891" s="2" t="s">
        <v>916</v>
      </c>
      <c r="B891" s="8" t="str">
        <f>HYPERLINK("https://www.suredividend.com/sure-analysis-research-database/","Lands` End, Inc.")</f>
        <v>Lands` End, Inc.</v>
      </c>
      <c r="C891" s="5">
        <v>-0.028242677824267</v>
      </c>
      <c r="D891" s="5">
        <v>0.474603174603174</v>
      </c>
      <c r="E891" s="5">
        <v>-0.005353319057815</v>
      </c>
      <c r="F891" s="5">
        <v>-0.028242677824267</v>
      </c>
      <c r="G891" s="5">
        <v>0.031076581576026</v>
      </c>
      <c r="H891" s="5">
        <v>-0.487589630446773</v>
      </c>
      <c r="I891" s="5">
        <v>-0.499461206896551</v>
      </c>
    </row>
    <row r="892">
      <c r="A892" s="2" t="s">
        <v>917</v>
      </c>
      <c r="B892" s="8" t="str">
        <f>HYPERLINK("https://www.suredividend.com/sure-analysis-research-database/","Legacy Housing Corp")</f>
        <v>Legacy Housing Corp</v>
      </c>
      <c r="C892" s="5">
        <v>-0.052339413164155</v>
      </c>
      <c r="D892" s="5">
        <v>0.311025781678551</v>
      </c>
      <c r="E892" s="5">
        <v>0.008651614264612</v>
      </c>
      <c r="F892" s="5">
        <v>-0.052339413164155</v>
      </c>
      <c r="G892" s="5">
        <v>0.225012813941568</v>
      </c>
      <c r="H892" s="5">
        <v>0.0</v>
      </c>
      <c r="I892" s="5">
        <v>0.766444937176644</v>
      </c>
    </row>
    <row r="893">
      <c r="A893" s="2" t="s">
        <v>918</v>
      </c>
      <c r="B893" s="8" t="str">
        <f>HYPERLINK("https://www.suredividend.com/sure-analysis-research-database/","Centrus Energy Corp")</f>
        <v>Centrus Energy Corp</v>
      </c>
      <c r="C893" s="5">
        <v>-0.049255651534644</v>
      </c>
      <c r="D893" s="5">
        <v>0.042523176138653</v>
      </c>
      <c r="E893" s="5">
        <v>0.461299435028248</v>
      </c>
      <c r="F893" s="5">
        <v>-0.049255651534644</v>
      </c>
      <c r="G893" s="5">
        <v>0.27131973457852</v>
      </c>
      <c r="H893" s="5">
        <v>0.304665825977301</v>
      </c>
      <c r="I893" s="5">
        <v>16.7157534246575</v>
      </c>
    </row>
    <row r="894">
      <c r="A894" s="2" t="s">
        <v>919</v>
      </c>
      <c r="B894" s="8" t="str">
        <f>HYPERLINK("https://www.suredividend.com/sure-analysis-research-database/","Lifecore Biomedical Inc")</f>
        <v>Lifecore Biomedical Inc</v>
      </c>
      <c r="C894" s="5">
        <v>0.134087237479805</v>
      </c>
      <c r="D894" s="5">
        <v>-0.001422475106685</v>
      </c>
      <c r="E894" s="5">
        <v>-0.334281650071123</v>
      </c>
      <c r="F894" s="5">
        <v>0.134087237479805</v>
      </c>
      <c r="G894" s="5">
        <v>0.054054054054053</v>
      </c>
      <c r="H894" s="5">
        <v>-0.32822966507177</v>
      </c>
      <c r="I894" s="5">
        <v>-0.44418052256532</v>
      </c>
    </row>
    <row r="895">
      <c r="A895" s="2" t="s">
        <v>920</v>
      </c>
      <c r="B895" s="8" t="str">
        <f>HYPERLINK("https://www.suredividend.com/sure-analysis-research-database/","LifeStance Health Group Inc")</f>
        <v>LifeStance Health Group Inc</v>
      </c>
      <c r="C895" s="5">
        <v>-0.158365261813537</v>
      </c>
      <c r="D895" s="5">
        <v>0.170515097690941</v>
      </c>
      <c r="E895" s="5">
        <v>-0.278203723986856</v>
      </c>
      <c r="F895" s="5">
        <v>-0.158365261813537</v>
      </c>
      <c r="G895" s="5">
        <v>0.189530685920577</v>
      </c>
      <c r="H895" s="5">
        <v>-0.030882352941176</v>
      </c>
      <c r="I895" s="5">
        <v>-0.699086757990867</v>
      </c>
    </row>
    <row r="896">
      <c r="A896" s="2" t="s">
        <v>921</v>
      </c>
      <c r="B896" s="8" t="str">
        <f>HYPERLINK("https://www.suredividend.com/sure-analysis-research-database/","LGI Homes Inc")</f>
        <v>LGI Homes Inc</v>
      </c>
      <c r="C896" s="5">
        <v>-0.098753379393211</v>
      </c>
      <c r="D896" s="5">
        <v>0.368727189781021</v>
      </c>
      <c r="E896" s="5">
        <v>-0.123246639392168</v>
      </c>
      <c r="F896" s="5">
        <v>-0.098753379393211</v>
      </c>
      <c r="G896" s="5">
        <v>0.084787128265389</v>
      </c>
      <c r="H896" s="5">
        <v>-0.014534406306454</v>
      </c>
      <c r="I896" s="5">
        <v>1.01089142091152</v>
      </c>
    </row>
    <row r="897">
      <c r="A897" s="2" t="s">
        <v>922</v>
      </c>
      <c r="B897" s="8" t="str">
        <f>HYPERLINK("https://www.suredividend.com/sure-analysis-research-database/","Ligand Pharmaceuticals, Inc.")</f>
        <v>Ligand Pharmaceuticals, Inc.</v>
      </c>
      <c r="C897" s="5">
        <v>0.050966115933912</v>
      </c>
      <c r="D897" s="5">
        <v>0.514222311882186</v>
      </c>
      <c r="E897" s="5">
        <v>0.103661226290251</v>
      </c>
      <c r="F897" s="5">
        <v>0.050966115933912</v>
      </c>
      <c r="G897" s="5">
        <v>0.067861715749039</v>
      </c>
      <c r="H897" s="5">
        <v>-0.357087794432548</v>
      </c>
      <c r="I897" s="5">
        <v>-0.352707830286305</v>
      </c>
    </row>
    <row r="898">
      <c r="A898" s="2" t="s">
        <v>923</v>
      </c>
      <c r="B898" s="8" t="str">
        <f>HYPERLINK("https://www.suredividend.com/sure-analysis-research-database/","Li-Cycle Holdings Corp")</f>
        <v>Li-Cycle Holdings Corp</v>
      </c>
      <c r="C898" s="5">
        <v>-0.126196990424076</v>
      </c>
      <c r="D898" s="5">
        <v>-0.587903225806451</v>
      </c>
      <c r="E898" s="5">
        <v>-0.914833333333333</v>
      </c>
      <c r="F898" s="5">
        <v>-0.126196990424076</v>
      </c>
      <c r="G898" s="5">
        <v>-0.911438474870017</v>
      </c>
      <c r="H898" s="5">
        <v>-0.927414772727272</v>
      </c>
      <c r="I898" s="5">
        <v>-0.94739821915693</v>
      </c>
    </row>
    <row r="899">
      <c r="A899" s="2" t="s">
        <v>924</v>
      </c>
      <c r="B899" s="8" t="str">
        <f>HYPERLINK("https://www.suredividend.com/sure-analysis-research-database/","AEye Inc")</f>
        <v>AEye Inc</v>
      </c>
      <c r="C899" s="5">
        <v>-0.388646288209607</v>
      </c>
      <c r="D899" s="5">
        <v>-0.777565935811884</v>
      </c>
      <c r="E899" s="5">
        <v>-0.833094897472579</v>
      </c>
      <c r="F899" s="5">
        <v>-0.388646288209607</v>
      </c>
      <c r="G899" s="5">
        <v>-0.930358652937372</v>
      </c>
      <c r="H899" s="5">
        <v>-0.98315282791817</v>
      </c>
      <c r="I899" s="5">
        <v>-0.868913857677902</v>
      </c>
    </row>
    <row r="900">
      <c r="A900" s="2" t="s">
        <v>925</v>
      </c>
      <c r="B900" s="8" t="str">
        <f t="shared" ref="B900:B901" si="2">HYPERLINK("https://www.suredividend.com/sure-analysis-research-database/","Liberty Latin America Ltd")</f>
        <v>Liberty Latin America Ltd</v>
      </c>
      <c r="C900" s="5">
        <v>0.004103967168262</v>
      </c>
      <c r="D900" s="5">
        <v>0.09880239520958</v>
      </c>
      <c r="E900" s="5">
        <v>-0.118847539015606</v>
      </c>
      <c r="F900" s="5">
        <v>0.004103967168262</v>
      </c>
      <c r="G900" s="5">
        <v>-0.242518059855521</v>
      </c>
      <c r="H900" s="5">
        <v>-0.315936626281453</v>
      </c>
      <c r="I900" s="5">
        <v>-0.520161079441451</v>
      </c>
    </row>
    <row r="901">
      <c r="A901" s="2" t="s">
        <v>926</v>
      </c>
      <c r="B901" s="8" t="str">
        <f t="shared" si="2"/>
        <v>Liberty Latin America Ltd</v>
      </c>
      <c r="C901" s="5">
        <v>0.00817438692098</v>
      </c>
      <c r="D901" s="5">
        <v>0.099554234769688</v>
      </c>
      <c r="E901" s="5">
        <v>-0.101941747572815</v>
      </c>
      <c r="F901" s="5">
        <v>0.00817438692098</v>
      </c>
      <c r="G901" s="5">
        <v>-0.233954451345755</v>
      </c>
      <c r="H901" s="5">
        <v>-0.295238095238095</v>
      </c>
      <c r="I901" s="5">
        <v>-0.525327620159464</v>
      </c>
    </row>
    <row r="902">
      <c r="A902" s="2" t="s">
        <v>927</v>
      </c>
      <c r="B902" s="8" t="str">
        <f>HYPERLINK("https://www.suredividend.com/sure-analysis-research-database/","Lindblad Expeditions Holdings Inc")</f>
        <v>Lindblad Expeditions Holdings Inc</v>
      </c>
      <c r="C902" s="5">
        <v>-0.146406388642413</v>
      </c>
      <c r="D902" s="5">
        <v>0.658620689655172</v>
      </c>
      <c r="E902" s="5">
        <v>-0.163478260869565</v>
      </c>
      <c r="F902" s="5">
        <v>-0.146406388642413</v>
      </c>
      <c r="G902" s="5">
        <v>-0.122262773722627</v>
      </c>
      <c r="H902" s="5">
        <v>-0.376134889753566</v>
      </c>
      <c r="I902" s="5">
        <v>-0.221052631578947</v>
      </c>
    </row>
    <row r="903">
      <c r="A903" s="2" t="s">
        <v>928</v>
      </c>
      <c r="B903" s="8" t="str">
        <f>HYPERLINK("https://www.suredividend.com/sure-analysis-research-database/","LivaNova PLC")</f>
        <v>LivaNova PLC</v>
      </c>
      <c r="C903" s="5">
        <v>-0.024739080015461</v>
      </c>
      <c r="D903" s="5">
        <v>0.069294342021614</v>
      </c>
      <c r="E903" s="5">
        <v>-0.126989619377162</v>
      </c>
      <c r="F903" s="5">
        <v>-0.024739080015461</v>
      </c>
      <c r="G903" s="5">
        <v>-0.087192474674384</v>
      </c>
      <c r="H903" s="5">
        <v>-0.291093003652711</v>
      </c>
      <c r="I903" s="5">
        <v>-0.432332095848801</v>
      </c>
    </row>
    <row r="904">
      <c r="A904" s="2" t="s">
        <v>929</v>
      </c>
      <c r="B904" s="8" t="str">
        <f>HYPERLINK("https://www.suredividend.com/sure-analysis-research-database/","Lakeland Financial Corp.")</f>
        <v>Lakeland Financial Corp.</v>
      </c>
      <c r="C904" s="5">
        <v>0.128143912568846</v>
      </c>
      <c r="D904" s="5">
        <v>0.521629411494809</v>
      </c>
      <c r="E904" s="5">
        <v>0.336964050766518</v>
      </c>
      <c r="F904" s="5">
        <v>0.128143912568846</v>
      </c>
      <c r="G904" s="5">
        <v>0.138107895623526</v>
      </c>
      <c r="H904" s="5">
        <v>-0.002114488761478</v>
      </c>
      <c r="I904" s="5">
        <v>0.867489153665996</v>
      </c>
    </row>
    <row r="905">
      <c r="A905" s="2" t="s">
        <v>930</v>
      </c>
      <c r="B905" s="8" t="str">
        <f>HYPERLINK("https://www.suredividend.com/sure-analysis-research-database/","LL Flooring Holdings Inc")</f>
        <v>LL Flooring Holdings Inc</v>
      </c>
      <c r="C905" s="5">
        <v>-0.271794871794871</v>
      </c>
      <c r="D905" s="5">
        <v>-0.086816720257234</v>
      </c>
      <c r="E905" s="5">
        <v>-0.275510204081632</v>
      </c>
      <c r="F905" s="5">
        <v>-0.271794871794871</v>
      </c>
      <c r="G905" s="5">
        <v>-0.538961038961039</v>
      </c>
      <c r="H905" s="5">
        <v>-0.796707229778095</v>
      </c>
      <c r="I905" s="5">
        <v>-0.755803955288048</v>
      </c>
    </row>
    <row r="906">
      <c r="A906" s="2" t="s">
        <v>931</v>
      </c>
      <c r="B906" s="8" t="str">
        <f>HYPERLINK("https://www.suredividend.com/sure-analysis-research-database/","Terran Orbital Corp")</f>
        <v>Terran Orbital Corp</v>
      </c>
      <c r="C906" s="5">
        <v>-0.266929824561403</v>
      </c>
      <c r="D906" s="5">
        <v>0.00650367337107</v>
      </c>
      <c r="E906" s="5">
        <v>-0.435337837837837</v>
      </c>
      <c r="F906" s="5">
        <v>-0.266929824561403</v>
      </c>
      <c r="G906" s="5">
        <v>-0.571435897435897</v>
      </c>
      <c r="H906" s="5">
        <v>-0.915200405885337</v>
      </c>
      <c r="I906" s="5">
        <v>-0.91498474059003</v>
      </c>
    </row>
    <row r="907">
      <c r="A907" s="2" t="s">
        <v>932</v>
      </c>
      <c r="B907" s="8" t="str">
        <f>HYPERLINK("https://www.suredividend.com/sure-analysis-LMAT/","Lemaitre Vascular Inc")</f>
        <v>Lemaitre Vascular Inc</v>
      </c>
      <c r="C907" s="5">
        <v>0.025722339675828</v>
      </c>
      <c r="D907" s="5">
        <v>0.234908325768052</v>
      </c>
      <c r="E907" s="5">
        <v>-0.068886710284947</v>
      </c>
      <c r="F907" s="5">
        <v>0.025722339675828</v>
      </c>
      <c r="G907" s="5">
        <v>0.288198447169924</v>
      </c>
      <c r="H907" s="5">
        <v>0.456548715074853</v>
      </c>
      <c r="I907" s="5">
        <v>1.62216817547178</v>
      </c>
    </row>
    <row r="908">
      <c r="A908" s="2" t="s">
        <v>933</v>
      </c>
      <c r="B908" s="8" t="str">
        <f>HYPERLINK("https://www.suredividend.com/sure-analysis-research-database/","Lemonade Inc")</f>
        <v>Lemonade Inc</v>
      </c>
      <c r="C908" s="5">
        <v>0.084934903905765</v>
      </c>
      <c r="D908" s="5">
        <v>0.655629139072847</v>
      </c>
      <c r="E908" s="5">
        <v>-0.195402298850574</v>
      </c>
      <c r="F908" s="5">
        <v>0.084934903905765</v>
      </c>
      <c r="G908" s="5">
        <v>0.155115511551155</v>
      </c>
      <c r="H908" s="5">
        <v>-0.391515994436717</v>
      </c>
      <c r="I908" s="5">
        <v>-0.747874945973202</v>
      </c>
    </row>
    <row r="909">
      <c r="A909" s="2" t="s">
        <v>934</v>
      </c>
      <c r="B909" s="8" t="str">
        <f>HYPERLINK("https://www.suredividend.com/sure-analysis-LNN/","Lindsay Corporation")</f>
        <v>Lindsay Corporation</v>
      </c>
      <c r="C909" s="5">
        <v>0.03391142768659</v>
      </c>
      <c r="D909" s="5">
        <v>0.06586084585644</v>
      </c>
      <c r="E909" s="5">
        <v>0.025449642083212</v>
      </c>
      <c r="F909" s="5">
        <v>0.03391142768659</v>
      </c>
      <c r="G909" s="5">
        <v>-0.119145556678372</v>
      </c>
      <c r="H909" s="5">
        <v>0.115556220140659</v>
      </c>
      <c r="I909" s="5">
        <v>0.661747211340796</v>
      </c>
    </row>
    <row r="910">
      <c r="A910" s="2" t="s">
        <v>935</v>
      </c>
      <c r="B910" s="8" t="str">
        <f>HYPERLINK("https://www.suredividend.com/sure-analysis-research-database/","Lantheus Holdings Inc")</f>
        <v>Lantheus Holdings Inc</v>
      </c>
      <c r="C910" s="5">
        <v>-0.129435483870967</v>
      </c>
      <c r="D910" s="5">
        <v>-0.192353733353284</v>
      </c>
      <c r="E910" s="5">
        <v>-0.386299033541785</v>
      </c>
      <c r="F910" s="5">
        <v>-0.129435483870967</v>
      </c>
      <c r="G910" s="5">
        <v>-0.03959074733096</v>
      </c>
      <c r="H910" s="5">
        <v>1.17904723455793</v>
      </c>
      <c r="I910" s="5">
        <v>2.27717061323618</v>
      </c>
    </row>
    <row r="911">
      <c r="A911" s="2" t="s">
        <v>936</v>
      </c>
      <c r="B911" s="8" t="str">
        <f>HYPERLINK("https://www.suredividend.com/sure-analysis-research-database/","Light &amp; Wonder Inc")</f>
        <v>Light &amp; Wonder Inc</v>
      </c>
      <c r="C911" s="5">
        <v>0.008281573498964</v>
      </c>
      <c r="D911" s="5">
        <v>0.136444749485243</v>
      </c>
      <c r="E911" s="5">
        <v>0.177667140825035</v>
      </c>
      <c r="F911" s="5">
        <v>0.008281573498964</v>
      </c>
      <c r="G911" s="5">
        <v>0.279598145285935</v>
      </c>
      <c r="H911" s="5">
        <v>0.509939813970454</v>
      </c>
      <c r="I911" s="5">
        <v>2.42248863166597</v>
      </c>
    </row>
    <row r="912">
      <c r="A912" s="2" t="s">
        <v>937</v>
      </c>
      <c r="B912" s="8" t="str">
        <f>HYPERLINK("https://www.suredividend.com/sure-analysis-research-database/","Live Oak Bancshares Inc")</f>
        <v>Live Oak Bancshares Inc</v>
      </c>
      <c r="C912" s="5">
        <v>-0.123956043956043</v>
      </c>
      <c r="D912" s="5">
        <v>0.416277598936903</v>
      </c>
      <c r="E912" s="5">
        <v>0.065180153336771</v>
      </c>
      <c r="F912" s="5">
        <v>-0.123956043956043</v>
      </c>
      <c r="G912" s="5">
        <v>0.209447404512519</v>
      </c>
      <c r="H912" s="5">
        <v>-0.268821070280126</v>
      </c>
      <c r="I912" s="5">
        <v>1.93952802359882</v>
      </c>
    </row>
    <row r="913">
      <c r="A913" s="2" t="s">
        <v>938</v>
      </c>
      <c r="B913" s="8" t="str">
        <f>HYPERLINK("https://www.suredividend.com/sure-analysis-research-database/","Local Bounti Corp")</f>
        <v>Local Bounti Corp</v>
      </c>
      <c r="C913" s="5">
        <v>0.038647342995169</v>
      </c>
      <c r="D913" s="5">
        <v>0.720688275310123</v>
      </c>
      <c r="E913" s="5">
        <v>-0.428191489361702</v>
      </c>
      <c r="F913" s="5">
        <v>0.038647342995169</v>
      </c>
      <c r="G913" s="5">
        <v>-0.83158389472035</v>
      </c>
      <c r="H913" s="5">
        <v>-0.966385240775484</v>
      </c>
      <c r="I913" s="5">
        <v>-0.779487179487179</v>
      </c>
    </row>
    <row r="914">
      <c r="A914" s="2" t="s">
        <v>939</v>
      </c>
      <c r="B914" s="8" t="str">
        <f>HYPERLINK("https://www.suredividend.com/sure-analysis-research-database/","El Pollo Loco Holdings Inc")</f>
        <v>El Pollo Loco Holdings Inc</v>
      </c>
      <c r="C914" s="5">
        <v>0.071428571428571</v>
      </c>
      <c r="D914" s="5">
        <v>0.1510353227771</v>
      </c>
      <c r="E914" s="5">
        <v>-0.119291705498602</v>
      </c>
      <c r="F914" s="5">
        <v>0.071428571428571</v>
      </c>
      <c r="G914" s="5">
        <v>-0.201858108108108</v>
      </c>
      <c r="H914" s="5">
        <v>-0.170237426243326</v>
      </c>
      <c r="I914" s="5">
        <v>-0.350903583424344</v>
      </c>
    </row>
    <row r="915">
      <c r="A915" s="2" t="s">
        <v>940</v>
      </c>
      <c r="B915" s="8" t="str">
        <f>HYPERLINK("https://www.suredividend.com/sure-analysis-research-database/","Lovesac Company")</f>
        <v>Lovesac Company</v>
      </c>
      <c r="C915" s="5">
        <v>-0.051663405088062</v>
      </c>
      <c r="D915" s="5">
        <v>0.605699138502319</v>
      </c>
      <c r="E915" s="5">
        <v>-0.158388329281</v>
      </c>
      <c r="F915" s="5">
        <v>-0.051663405088062</v>
      </c>
      <c r="G915" s="5">
        <v>-0.067000385059684</v>
      </c>
      <c r="H915" s="5">
        <v>-0.520577760189948</v>
      </c>
      <c r="I915" s="5">
        <v>0.025825571549534</v>
      </c>
    </row>
    <row r="916">
      <c r="A916" s="2" t="s">
        <v>941</v>
      </c>
      <c r="B916" s="8" t="str">
        <f>HYPERLINK("https://www.suredividend.com/sure-analysis-research-database/","Dorian LPG Ltd")</f>
        <v>Dorian LPG Ltd</v>
      </c>
      <c r="C916" s="5">
        <v>-0.117620241622976</v>
      </c>
      <c r="D916" s="5">
        <v>0.228109137055837</v>
      </c>
      <c r="E916" s="5">
        <v>0.420201271613951</v>
      </c>
      <c r="F916" s="5">
        <v>-0.117620241622976</v>
      </c>
      <c r="G916" s="5">
        <v>1.43474432354236</v>
      </c>
      <c r="H916" s="5">
        <v>3.92130488952172</v>
      </c>
      <c r="I916" s="5">
        <v>11.4497475315987</v>
      </c>
    </row>
    <row r="917">
      <c r="A917" s="2" t="s">
        <v>942</v>
      </c>
      <c r="B917" s="8" t="str">
        <f>HYPERLINK("https://www.suredividend.com/sure-analysis-research-database/","Open Lending Corp")</f>
        <v>Open Lending Corp</v>
      </c>
      <c r="C917" s="5">
        <v>-0.092831962397179</v>
      </c>
      <c r="D917" s="5">
        <v>0.265573770491803</v>
      </c>
      <c r="E917" s="5">
        <v>-0.320422535211267</v>
      </c>
      <c r="F917" s="5">
        <v>-0.092831962397179</v>
      </c>
      <c r="G917" s="5">
        <v>-0.110599078341013</v>
      </c>
      <c r="H917" s="5">
        <v>-0.556321839080459</v>
      </c>
      <c r="I917" s="5">
        <v>-0.475899524779361</v>
      </c>
    </row>
    <row r="918">
      <c r="A918" s="2" t="s">
        <v>943</v>
      </c>
      <c r="B918" s="8" t="str">
        <f>HYPERLINK("https://www.suredividend.com/sure-analysis-research-database/","Liveperson Inc")</f>
        <v>Liveperson Inc</v>
      </c>
      <c r="C918" s="5">
        <v>-0.184696569920844</v>
      </c>
      <c r="D918" s="5">
        <v>0.251012145748987</v>
      </c>
      <c r="E918" s="5">
        <v>-0.345338983050847</v>
      </c>
      <c r="F918" s="5">
        <v>-0.184696569920844</v>
      </c>
      <c r="G918" s="5">
        <v>-0.756501182033096</v>
      </c>
      <c r="H918" s="5">
        <v>-0.88405253283302</v>
      </c>
      <c r="I918" s="5">
        <v>-0.862115127175368</v>
      </c>
    </row>
    <row r="919">
      <c r="A919" s="2" t="s">
        <v>944</v>
      </c>
      <c r="B919" s="8" t="str">
        <f>HYPERLINK("https://www.suredividend.com/sure-analysis-research-database/","Liquidia Corp")</f>
        <v>Liquidia Corp</v>
      </c>
      <c r="C919" s="5">
        <v>0.039900249376558</v>
      </c>
      <c r="D919" s="5">
        <v>1.01774193548387</v>
      </c>
      <c r="E919" s="5">
        <v>0.612113402061855</v>
      </c>
      <c r="F919" s="5">
        <v>0.039900249376558</v>
      </c>
      <c r="G919" s="5">
        <v>0.872754491017964</v>
      </c>
      <c r="H919" s="5">
        <v>1.24596050269299</v>
      </c>
      <c r="I919" s="5">
        <v>2.67941176470588</v>
      </c>
    </row>
    <row r="920">
      <c r="A920" s="2" t="s">
        <v>945</v>
      </c>
      <c r="B920" s="8" t="str">
        <f>HYPERLINK("https://www.suredividend.com/sure-analysis-research-database/","Liquidity Services Inc")</f>
        <v>Liquidity Services Inc</v>
      </c>
      <c r="C920" s="5">
        <v>0.029633933759442</v>
      </c>
      <c r="D920" s="5">
        <v>-0.054933333333333</v>
      </c>
      <c r="E920" s="5">
        <v>0.067469879518072</v>
      </c>
      <c r="F920" s="5">
        <v>0.029633933759442</v>
      </c>
      <c r="G920" s="5">
        <v>0.182910547396528</v>
      </c>
      <c r="H920" s="5">
        <v>-0.031164570803717</v>
      </c>
      <c r="I920" s="5">
        <v>1.1849568434032</v>
      </c>
    </row>
    <row r="921">
      <c r="A921" s="2" t="s">
        <v>946</v>
      </c>
      <c r="B921" s="8" t="str">
        <f>HYPERLINK("https://www.suredividend.com/sure-analysis-research-database/","Stride Inc")</f>
        <v>Stride Inc</v>
      </c>
      <c r="C921" s="5">
        <v>0.022233451237998</v>
      </c>
      <c r="D921" s="5">
        <v>0.114805290227773</v>
      </c>
      <c r="E921" s="5">
        <v>0.570652173913043</v>
      </c>
      <c r="F921" s="5">
        <v>0.022233451237998</v>
      </c>
      <c r="G921" s="5">
        <v>0.480243902439024</v>
      </c>
      <c r="H921" s="5">
        <v>0.762195121951219</v>
      </c>
      <c r="I921" s="5">
        <v>1.02976588628762</v>
      </c>
    </row>
    <row r="922">
      <c r="A922" s="2" t="s">
        <v>947</v>
      </c>
      <c r="B922" s="8" t="str">
        <f>HYPERLINK("https://www.suredividend.com/sure-analysis-research-database/","Landsea Homes Corporation")</f>
        <v>Landsea Homes Corporation</v>
      </c>
      <c r="C922" s="5">
        <v>-0.017503805175038</v>
      </c>
      <c r="D922" s="5">
        <v>0.783149171270718</v>
      </c>
      <c r="E922" s="5">
        <v>0.324102564102564</v>
      </c>
      <c r="F922" s="5">
        <v>-0.017503805175038</v>
      </c>
      <c r="G922" s="5">
        <v>1.00465838509316</v>
      </c>
      <c r="H922" s="5">
        <v>0.828611898016997</v>
      </c>
      <c r="I922" s="5">
        <v>0.30141129032258</v>
      </c>
    </row>
    <row r="923">
      <c r="A923" s="2" t="s">
        <v>948</v>
      </c>
      <c r="B923" s="8" t="str">
        <f>HYPERLINK("https://www.suredividend.com/sure-analysis-LTC/","LTC Properties, Inc.")</f>
        <v>LTC Properties, Inc.</v>
      </c>
      <c r="C923" s="5">
        <v>0.006589496893165</v>
      </c>
      <c r="D923" s="5">
        <v>0.067125302556917</v>
      </c>
      <c r="E923" s="5">
        <v>-0.031708970399939</v>
      </c>
      <c r="F923" s="5">
        <v>0.006589496893165</v>
      </c>
      <c r="G923" s="5">
        <v>-0.094946172669852</v>
      </c>
      <c r="H923" s="5">
        <v>0.030534473526422</v>
      </c>
      <c r="I923" s="5">
        <v>-0.054107744603204</v>
      </c>
    </row>
    <row r="924">
      <c r="A924" s="2" t="s">
        <v>949</v>
      </c>
      <c r="B924" s="8" t="str">
        <f>HYPERLINK("https://www.suredividend.com/sure-analysis-research-database/","Latch Inc")</f>
        <v>Latch Inc</v>
      </c>
      <c r="C924" s="5">
        <v>0.0</v>
      </c>
      <c r="D924" s="5">
        <v>0.0</v>
      </c>
      <c r="E924" s="5">
        <v>0.0</v>
      </c>
      <c r="F924" s="5">
        <v>0.0</v>
      </c>
      <c r="G924" s="5">
        <v>0.0</v>
      </c>
      <c r="H924" s="5">
        <v>0.0</v>
      </c>
      <c r="I924" s="5">
        <v>0.0</v>
      </c>
    </row>
    <row r="925">
      <c r="A925" s="2" t="s">
        <v>950</v>
      </c>
      <c r="B925" s="8" t="str">
        <f>HYPERLINK("https://www.suredividend.com/sure-analysis-research-database/","Life Time Group Holdings Inc")</f>
        <v>Life Time Group Holdings Inc</v>
      </c>
      <c r="C925" s="5">
        <v>-0.073607427055702</v>
      </c>
      <c r="D925" s="5">
        <v>0.219022687609075</v>
      </c>
      <c r="E925" s="5">
        <v>-0.225180255130338</v>
      </c>
      <c r="F925" s="5">
        <v>-0.073607427055702</v>
      </c>
      <c r="G925" s="5">
        <v>-0.239520958083832</v>
      </c>
      <c r="H925" s="5">
        <v>-0.059259259259259</v>
      </c>
      <c r="I925" s="5">
        <v>-0.212957746478873</v>
      </c>
    </row>
    <row r="926">
      <c r="A926" s="2" t="s">
        <v>951</v>
      </c>
      <c r="B926" s="8" t="str">
        <f>HYPERLINK("https://www.suredividend.com/sure-analysis-research-database/","Livent Corp")</f>
        <v>Livent Corp</v>
      </c>
      <c r="C926" s="5">
        <v>0.152932960893854</v>
      </c>
      <c r="D926" s="5">
        <v>-0.018430439952437</v>
      </c>
      <c r="E926" s="5">
        <v>-0.414746543778801</v>
      </c>
      <c r="F926" s="5">
        <v>-0.081757508342602</v>
      </c>
      <c r="G926" s="5">
        <v>-0.130136986301369</v>
      </c>
      <c r="H926" s="5">
        <v>-0.353056426332288</v>
      </c>
      <c r="I926" s="5">
        <v>0.214863870493009</v>
      </c>
    </row>
    <row r="927">
      <c r="A927" s="2" t="s">
        <v>952</v>
      </c>
      <c r="B927" s="8" t="str">
        <f>HYPERLINK("https://www.suredividend.com/sure-analysis-research-database/","Pulmonx Corp")</f>
        <v>Pulmonx Corp</v>
      </c>
      <c r="C927" s="5">
        <v>0.076078431372549</v>
      </c>
      <c r="D927" s="5">
        <v>0.669099756690997</v>
      </c>
      <c r="E927" s="5">
        <v>0.020833333333333</v>
      </c>
      <c r="F927" s="5">
        <v>0.076078431372549</v>
      </c>
      <c r="G927" s="5">
        <v>0.491304347826087</v>
      </c>
      <c r="H927" s="5">
        <v>-0.403478260869565</v>
      </c>
      <c r="I927" s="5">
        <v>-0.650979394556092</v>
      </c>
    </row>
    <row r="928">
      <c r="A928" s="2" t="s">
        <v>953</v>
      </c>
      <c r="B928" s="8" t="str">
        <f>HYPERLINK("https://www.suredividend.com/sure-analysis-research-database/","Lulus Fashion Lounge Holdings Inc")</f>
        <v>Lulus Fashion Lounge Holdings Inc</v>
      </c>
      <c r="C928" s="5">
        <v>0.059139784946236</v>
      </c>
      <c r="D928" s="5">
        <v>-0.052884615384615</v>
      </c>
      <c r="E928" s="5">
        <v>-0.199186991869918</v>
      </c>
      <c r="F928" s="5">
        <v>0.059139784946236</v>
      </c>
      <c r="G928" s="5">
        <v>-0.351973684210526</v>
      </c>
      <c r="H928" s="5">
        <v>-0.776643990929705</v>
      </c>
      <c r="I928" s="5">
        <v>-0.849157733537519</v>
      </c>
    </row>
    <row r="929">
      <c r="A929" s="2" t="s">
        <v>954</v>
      </c>
      <c r="B929" s="8" t="str">
        <f>HYPERLINK("https://www.suredividend.com/sure-analysis-research-database/","LiveVox Holdings Inc")</f>
        <v>LiveVox Holdings Inc</v>
      </c>
      <c r="C929" s="5">
        <v>0.0</v>
      </c>
      <c r="D929" s="5">
        <v>0.0</v>
      </c>
      <c r="E929" s="5">
        <v>0.0</v>
      </c>
      <c r="F929" s="5">
        <v>0.0</v>
      </c>
      <c r="G929" s="5">
        <v>0.0</v>
      </c>
      <c r="H929" s="5">
        <v>0.0</v>
      </c>
      <c r="I929" s="5">
        <v>0.0</v>
      </c>
    </row>
    <row r="930">
      <c r="A930" s="2" t="s">
        <v>955</v>
      </c>
      <c r="B930" s="8" t="str">
        <f>HYPERLINK("https://www.suredividend.com/sure-analysis-research-database/","Lightwave Logic Inc")</f>
        <v>Lightwave Logic Inc</v>
      </c>
      <c r="C930" s="5">
        <v>-0.100401606425702</v>
      </c>
      <c r="D930" s="5">
        <v>-0.06276150627615</v>
      </c>
      <c r="E930" s="5">
        <v>-0.333333333333333</v>
      </c>
      <c r="F930" s="5">
        <v>-0.100401606425702</v>
      </c>
      <c r="G930" s="5">
        <v>-0.269168026101141</v>
      </c>
      <c r="H930" s="5">
        <v>-0.314984709480122</v>
      </c>
      <c r="I930" s="5">
        <v>3.89617486338797</v>
      </c>
    </row>
    <row r="931">
      <c r="A931" s="2" t="s">
        <v>956</v>
      </c>
      <c r="B931" s="8" t="str">
        <f>HYPERLINK("https://www.suredividend.com/sure-analysis-research-database/","Luxfer Holdings PLC")</f>
        <v>Luxfer Holdings PLC</v>
      </c>
      <c r="C931" s="5">
        <v>-0.055155711703107</v>
      </c>
      <c r="D931" s="5">
        <v>-0.012055068121834</v>
      </c>
      <c r="E931" s="5">
        <v>-0.318332827483245</v>
      </c>
      <c r="F931" s="5">
        <v>-0.055155711703107</v>
      </c>
      <c r="G931" s="5">
        <v>-0.466466350783928</v>
      </c>
      <c r="H931" s="5">
        <v>-0.443126532909814</v>
      </c>
      <c r="I931" s="5">
        <v>-0.505807211289718</v>
      </c>
    </row>
    <row r="932">
      <c r="A932" s="2" t="s">
        <v>957</v>
      </c>
      <c r="B932" s="8" t="str">
        <f>HYPERLINK("https://www.suredividend.com/sure-analysis-LXP/","LXP Industrial Trust")</f>
        <v>LXP Industrial Trust</v>
      </c>
      <c r="C932" s="5">
        <v>-0.037298387096774</v>
      </c>
      <c r="D932" s="5">
        <v>0.235590172206337</v>
      </c>
      <c r="E932" s="5">
        <v>-0.047533560728462</v>
      </c>
      <c r="F932" s="5">
        <v>-0.037298387096774</v>
      </c>
      <c r="G932" s="5">
        <v>-0.124142485050808</v>
      </c>
      <c r="H932" s="5">
        <v>-0.270173400686266</v>
      </c>
      <c r="I932" s="5">
        <v>0.254614485213941</v>
      </c>
    </row>
    <row r="933">
      <c r="A933" s="2" t="s">
        <v>958</v>
      </c>
      <c r="B933" s="8" t="str">
        <f>HYPERLINK("https://www.suredividend.com/sure-analysis-research-database/","Lexicon Pharmaceuticals Inc")</f>
        <v>Lexicon Pharmaceuticals Inc</v>
      </c>
      <c r="C933" s="5">
        <v>0.254901960784313</v>
      </c>
      <c r="D933" s="5">
        <v>0.729729729729729</v>
      </c>
      <c r="E933" s="5">
        <v>-0.03030303030303</v>
      </c>
      <c r="F933" s="5">
        <v>0.254901960784313</v>
      </c>
      <c r="G933" s="5">
        <v>-0.135135135135135</v>
      </c>
      <c r="H933" s="5">
        <v>-0.364238410596026</v>
      </c>
      <c r="I933" s="5">
        <v>-0.559633027522935</v>
      </c>
    </row>
    <row r="934">
      <c r="A934" s="2" t="s">
        <v>959</v>
      </c>
      <c r="B934" s="8" t="str">
        <f>HYPERLINK("https://www.suredividend.com/sure-analysis-research-database/","LSB Industries, Inc.")</f>
        <v>LSB Industries, Inc.</v>
      </c>
      <c r="C934" s="5">
        <v>-0.105263157894736</v>
      </c>
      <c r="D934" s="5">
        <v>-0.091603053435114</v>
      </c>
      <c r="E934" s="5">
        <v>-0.235078053259871</v>
      </c>
      <c r="F934" s="5">
        <v>-0.105263157894736</v>
      </c>
      <c r="G934" s="5">
        <v>-0.343059936908517</v>
      </c>
      <c r="H934" s="5">
        <v>-0.126834381551362</v>
      </c>
      <c r="I934" s="5">
        <v>0.4875</v>
      </c>
    </row>
    <row r="935">
      <c r="A935" s="2" t="s">
        <v>960</v>
      </c>
      <c r="B935" s="8" t="str">
        <f>HYPERLINK("https://www.suredividend.com/sure-analysis-research-database/","Lyell Immunopharma Inc")</f>
        <v>Lyell Immunopharma Inc</v>
      </c>
      <c r="C935" s="5">
        <v>0.082474226804123</v>
      </c>
      <c r="D935" s="5">
        <v>0.337579617834394</v>
      </c>
      <c r="E935" s="5">
        <v>-0.285714285714285</v>
      </c>
      <c r="F935" s="5">
        <v>0.082474226804123</v>
      </c>
      <c r="G935" s="5">
        <v>-0.37125748502994</v>
      </c>
      <c r="H935" s="5">
        <v>-0.6</v>
      </c>
      <c r="I935" s="5">
        <v>-0.875666074600355</v>
      </c>
    </row>
    <row r="936">
      <c r="A936" s="2" t="s">
        <v>961</v>
      </c>
      <c r="B936" s="8" t="str">
        <f>HYPERLINK("https://www.suredividend.com/sure-analysis-research-database/","LegalZoom.com Inc.")</f>
        <v>LegalZoom.com Inc.</v>
      </c>
      <c r="C936" s="5">
        <v>-0.03362831858407</v>
      </c>
      <c r="D936" s="5">
        <v>0.069539666993143</v>
      </c>
      <c r="E936" s="5">
        <v>-0.265635507733691</v>
      </c>
      <c r="F936" s="5">
        <v>-0.03362831858407</v>
      </c>
      <c r="G936" s="5">
        <v>0.268292682926829</v>
      </c>
      <c r="H936" s="5">
        <v>-0.285340314136125</v>
      </c>
      <c r="I936" s="5">
        <v>-0.711492734478203</v>
      </c>
    </row>
    <row r="937">
      <c r="A937" s="2" t="s">
        <v>962</v>
      </c>
      <c r="B937" s="8" t="str">
        <f>HYPERLINK("https://www.suredividend.com/sure-analysis-research-database/","La-Z-Boy Inc.")</f>
        <v>La-Z-Boy Inc.</v>
      </c>
      <c r="C937" s="5">
        <v>-0.030606717226435</v>
      </c>
      <c r="D937" s="5">
        <v>0.275335670914222</v>
      </c>
      <c r="E937" s="5">
        <v>0.152712691434368</v>
      </c>
      <c r="F937" s="5">
        <v>-0.030606717226435</v>
      </c>
      <c r="G937" s="5">
        <v>0.330839481199428</v>
      </c>
      <c r="H937" s="5">
        <v>0.083347206877241</v>
      </c>
      <c r="I937" s="5">
        <v>0.354096909299342</v>
      </c>
    </row>
    <row r="938">
      <c r="A938" s="2" t="s">
        <v>963</v>
      </c>
      <c r="B938" s="8" t="str">
        <f>HYPERLINK("https://www.suredividend.com/sure-analysis-MAC/","Macerich Co.")</f>
        <v>Macerich Co.</v>
      </c>
      <c r="C938" s="5">
        <v>0.085547634478289</v>
      </c>
      <c r="D938" s="5">
        <v>0.753229081621972</v>
      </c>
      <c r="E938" s="5">
        <v>0.36739158829676</v>
      </c>
      <c r="F938" s="5">
        <v>0.085547634478289</v>
      </c>
      <c r="G938" s="5">
        <v>0.302701063159613</v>
      </c>
      <c r="H938" s="5">
        <v>0.109888944843489</v>
      </c>
      <c r="I938" s="5">
        <v>-0.507723596350982</v>
      </c>
    </row>
    <row r="939">
      <c r="A939" s="2" t="s">
        <v>964</v>
      </c>
      <c r="B939" s="8" t="str">
        <f>HYPERLINK("https://www.suredividend.com/sure-analysis-research-database/","WM Technology Inc")</f>
        <v>WM Technology Inc</v>
      </c>
      <c r="C939" s="5">
        <v>0.158822712758572</v>
      </c>
      <c r="D939" s="5">
        <v>-0.241181818181818</v>
      </c>
      <c r="E939" s="5">
        <v>-0.181666666666666</v>
      </c>
      <c r="F939" s="5">
        <v>0.158822712758572</v>
      </c>
      <c r="G939" s="5">
        <v>-0.357923076923076</v>
      </c>
      <c r="H939" s="5">
        <v>-0.814511111111111</v>
      </c>
      <c r="I939" s="5">
        <v>-0.914913353720693</v>
      </c>
    </row>
    <row r="940">
      <c r="A940" s="2" t="s">
        <v>965</v>
      </c>
      <c r="B940" s="8" t="str">
        <f>HYPERLINK("https://www.suredividend.com/sure-analysis-research-database/","Marathon Digital Holdings Inc")</f>
        <v>Marathon Digital Holdings Inc</v>
      </c>
      <c r="C940" s="5">
        <v>-0.211579395487441</v>
      </c>
      <c r="D940" s="5">
        <v>1.0902934537246</v>
      </c>
      <c r="E940" s="5">
        <v>0.108982035928143</v>
      </c>
      <c r="F940" s="5">
        <v>-0.211579395487441</v>
      </c>
      <c r="G940" s="5">
        <v>1.30922693266832</v>
      </c>
      <c r="H940" s="5">
        <v>-0.15703231679563</v>
      </c>
      <c r="I940" s="5">
        <v>11.8611111111111</v>
      </c>
    </row>
    <row r="941">
      <c r="A941" s="2" t="s">
        <v>966</v>
      </c>
      <c r="B941" s="8" t="str">
        <f>HYPERLINK("https://www.suredividend.com/sure-analysis-research-database/","908 Devices Inc")</f>
        <v>908 Devices Inc</v>
      </c>
      <c r="C941" s="5">
        <v>-0.311051693404634</v>
      </c>
      <c r="D941" s="5">
        <v>0.503891050583657</v>
      </c>
      <c r="E941" s="5">
        <v>0.213500784929356</v>
      </c>
      <c r="F941" s="5">
        <v>-0.311051693404634</v>
      </c>
      <c r="G941" s="5">
        <v>-0.182875264270613</v>
      </c>
      <c r="H941" s="5">
        <v>-0.463194444444444</v>
      </c>
      <c r="I941" s="5">
        <v>-0.842244897959183</v>
      </c>
    </row>
    <row r="942">
      <c r="A942" s="2" t="s">
        <v>967</v>
      </c>
      <c r="B942" s="8" t="str">
        <f>HYPERLINK("https://www.suredividend.com/sure-analysis-research-database/","Mativ Holdings Inc")</f>
        <v>Mativ Holdings Inc</v>
      </c>
      <c r="C942" s="5">
        <v>-0.148922273024167</v>
      </c>
      <c r="D942" s="5">
        <v>0.015461828610617</v>
      </c>
      <c r="E942" s="5">
        <v>-0.158100136332211</v>
      </c>
      <c r="F942" s="5">
        <v>-0.148922273024167</v>
      </c>
      <c r="G942" s="5">
        <v>-0.474738679469659</v>
      </c>
      <c r="H942" s="5">
        <v>-0.556038624298963</v>
      </c>
      <c r="I942" s="5">
        <v>-0.502107350699075</v>
      </c>
    </row>
    <row r="943">
      <c r="A943" s="2" t="s">
        <v>968</v>
      </c>
      <c r="B943" s="8" t="str">
        <f>HYPERLINK("https://www.suredividend.com/sure-analysis-MATW/","Matthews International Corp.")</f>
        <v>Matthews International Corp.</v>
      </c>
      <c r="C943" s="5">
        <v>-0.060300136425648</v>
      </c>
      <c r="D943" s="5">
        <v>-0.008298731290421</v>
      </c>
      <c r="E943" s="5">
        <v>-0.236793468866758</v>
      </c>
      <c r="F943" s="5">
        <v>-0.060300136425648</v>
      </c>
      <c r="G943" s="5">
        <v>0.039139722654694</v>
      </c>
      <c r="H943" s="5">
        <v>0.065356727461704</v>
      </c>
      <c r="I943" s="5">
        <v>-0.10341218828344</v>
      </c>
    </row>
    <row r="944">
      <c r="A944" s="2" t="s">
        <v>969</v>
      </c>
      <c r="B944" s="8" t="str">
        <f>HYPERLINK("https://www.suredividend.com/sure-analysis-research-database/","Matson Inc")</f>
        <v>Matson Inc</v>
      </c>
      <c r="C944" s="5">
        <v>0.03941605839416</v>
      </c>
      <c r="D944" s="5">
        <v>0.282832320798166</v>
      </c>
      <c r="E944" s="5">
        <v>0.224821120423182</v>
      </c>
      <c r="F944" s="5">
        <v>0.03941605839416</v>
      </c>
      <c r="G944" s="5">
        <v>0.809914492979273</v>
      </c>
      <c r="H944" s="5">
        <v>0.198048123843177</v>
      </c>
      <c r="I944" s="5">
        <v>2.74624701158534</v>
      </c>
    </row>
    <row r="945">
      <c r="A945" s="2" t="s">
        <v>970</v>
      </c>
      <c r="B945" s="8" t="str">
        <f>HYPERLINK("https://www.suredividend.com/sure-analysis-research-database/","MediaAlpha Inc")</f>
        <v>MediaAlpha Inc</v>
      </c>
      <c r="C945" s="5">
        <v>0.171300448430493</v>
      </c>
      <c r="D945" s="5">
        <v>0.467415730337078</v>
      </c>
      <c r="E945" s="5">
        <v>0.309929789368104</v>
      </c>
      <c r="F945" s="5">
        <v>0.171300448430493</v>
      </c>
      <c r="G945" s="5">
        <v>0.020312499999999</v>
      </c>
      <c r="H945" s="5">
        <v>-0.068473609129814</v>
      </c>
      <c r="I945" s="5">
        <v>-0.590081607030759</v>
      </c>
    </row>
    <row r="946">
      <c r="A946" s="2" t="s">
        <v>971</v>
      </c>
      <c r="B946" s="8" t="str">
        <f>HYPERLINK("https://www.suredividend.com/sure-analysis-research-database/","MBIA Inc.")</f>
        <v>MBIA Inc.</v>
      </c>
      <c r="C946" s="5">
        <v>0.040849673202614</v>
      </c>
      <c r="D946" s="5">
        <v>1.26746876446089</v>
      </c>
      <c r="E946" s="5">
        <v>0.678480145450712</v>
      </c>
      <c r="F946" s="5">
        <v>0.040849673202614</v>
      </c>
      <c r="G946" s="5">
        <v>0.11554761654583</v>
      </c>
      <c r="H946" s="5">
        <v>0.08488316642823</v>
      </c>
      <c r="I946" s="5">
        <v>0.565110565110565</v>
      </c>
    </row>
    <row r="947">
      <c r="A947" s="2" t="s">
        <v>972</v>
      </c>
      <c r="B947" s="8" t="str">
        <f>HYPERLINK("https://www.suredividend.com/sure-analysis-research-database/","Merchants Bancorp")</f>
        <v>Merchants Bancorp</v>
      </c>
      <c r="C947" s="5">
        <v>0.031470173790512</v>
      </c>
      <c r="D947" s="5">
        <v>0.504614562421634</v>
      </c>
      <c r="E947" s="5">
        <v>0.443407387932167</v>
      </c>
      <c r="F947" s="5">
        <v>0.031470173790512</v>
      </c>
      <c r="G947" s="5">
        <v>0.726740894508398</v>
      </c>
      <c r="H947" s="5">
        <v>0.561766588436099</v>
      </c>
      <c r="I947" s="5">
        <v>2.33822311065844</v>
      </c>
    </row>
    <row r="948">
      <c r="A948" s="2" t="s">
        <v>973</v>
      </c>
      <c r="B948" s="8" t="str">
        <f>HYPERLINK("https://www.suredividend.com/sure-analysis-research-database/","Malibu Boats Inc")</f>
        <v>Malibu Boats Inc</v>
      </c>
      <c r="C948" s="5">
        <v>-0.069135352061291</v>
      </c>
      <c r="D948" s="5">
        <v>0.134504224099599</v>
      </c>
      <c r="E948" s="5">
        <v>-0.127990430622009</v>
      </c>
      <c r="F948" s="5">
        <v>-0.069135352061291</v>
      </c>
      <c r="G948" s="5">
        <v>-0.096973986904972</v>
      </c>
      <c r="H948" s="5">
        <v>-0.198397737983034</v>
      </c>
      <c r="I948" s="5">
        <v>0.293536121673003</v>
      </c>
    </row>
    <row r="949">
      <c r="A949" s="2" t="s">
        <v>974</v>
      </c>
      <c r="B949" s="8" t="str">
        <f>HYPERLINK("https://www.suredividend.com/sure-analysis-research-database/","Mercantile Bank Corp.")</f>
        <v>Mercantile Bank Corp.</v>
      </c>
      <c r="C949" s="5">
        <v>0.04061416542843</v>
      </c>
      <c r="D949" s="5">
        <v>0.336616026668702</v>
      </c>
      <c r="E949" s="5">
        <v>0.25028638758878</v>
      </c>
      <c r="F949" s="5">
        <v>0.04061416542843</v>
      </c>
      <c r="G949" s="5">
        <v>0.352922047606628</v>
      </c>
      <c r="H949" s="5">
        <v>0.218903740833565</v>
      </c>
      <c r="I949" s="5">
        <v>0.57324657139327</v>
      </c>
    </row>
    <row r="950">
      <c r="A950" s="2" t="s">
        <v>975</v>
      </c>
      <c r="B950" s="8" t="str">
        <f>HYPERLINK("https://www.suredividend.com/sure-analysis-research-database/","Moelis &amp; Co")</f>
        <v>Moelis &amp; Co</v>
      </c>
      <c r="C950" s="5">
        <v>0.027436308569392</v>
      </c>
      <c r="D950" s="5">
        <v>0.466064682763635</v>
      </c>
      <c r="E950" s="5">
        <v>0.244381725476487</v>
      </c>
      <c r="F950" s="5">
        <v>0.027436308569392</v>
      </c>
      <c r="G950" s="5">
        <v>0.322636649901496</v>
      </c>
      <c r="H950" s="5">
        <v>0.186986983690506</v>
      </c>
      <c r="I950" s="5">
        <v>0.980221817807231</v>
      </c>
    </row>
    <row r="951">
      <c r="A951" s="2" t="s">
        <v>976</v>
      </c>
      <c r="B951" s="8" t="str">
        <f>HYPERLINK("https://www.suredividend.com/sure-analysis-research-database/","Metropolitan Bank Holding Corp")</f>
        <v>Metropolitan Bank Holding Corp</v>
      </c>
      <c r="C951" s="5">
        <v>-0.04225352112676</v>
      </c>
      <c r="D951" s="5">
        <v>0.656982193064667</v>
      </c>
      <c r="E951" s="5">
        <v>0.158584534731323</v>
      </c>
      <c r="F951" s="5">
        <v>-0.04225352112676</v>
      </c>
      <c r="G951" s="5">
        <v>-0.101626016260162</v>
      </c>
      <c r="H951" s="5">
        <v>-0.467041800643086</v>
      </c>
      <c r="I951" s="5">
        <v>0.508961593172119</v>
      </c>
    </row>
    <row r="952">
      <c r="A952" s="2" t="s">
        <v>977</v>
      </c>
      <c r="B952" s="8" t="str">
        <f>HYPERLINK("https://www.suredividend.com/sure-analysis-research-database/","Macatawa Bank Corp.")</f>
        <v>Macatawa Bank Corp.</v>
      </c>
      <c r="C952" s="5">
        <v>0.0</v>
      </c>
      <c r="D952" s="5">
        <v>0.305177899913219</v>
      </c>
      <c r="E952" s="5">
        <v>0.172983933863671</v>
      </c>
      <c r="F952" s="5">
        <v>0.0</v>
      </c>
      <c r="G952" s="5">
        <v>0.141457787312413</v>
      </c>
      <c r="H952" s="5">
        <v>0.35536197056173</v>
      </c>
      <c r="I952" s="5">
        <v>0.401311866428145</v>
      </c>
    </row>
    <row r="953">
      <c r="A953" s="2" t="s">
        <v>978</v>
      </c>
      <c r="B953" s="8" t="str">
        <f>HYPERLINK("https://www.suredividend.com/sure-analysis-research-database/","MetroCity Bankshares Inc")</f>
        <v>MetroCity Bankshares Inc</v>
      </c>
      <c r="C953" s="5">
        <v>0.058701505427327</v>
      </c>
      <c r="D953" s="5">
        <v>0.324109813888226</v>
      </c>
      <c r="E953" s="5">
        <v>0.244119637029371</v>
      </c>
      <c r="F953" s="5">
        <v>0.058701505427327</v>
      </c>
      <c r="G953" s="5">
        <v>0.378288258993281</v>
      </c>
      <c r="H953" s="5">
        <v>0.099268115782764</v>
      </c>
      <c r="I953" s="5">
        <v>1.20296161875985</v>
      </c>
    </row>
    <row r="954">
      <c r="A954" s="2" t="s">
        <v>979</v>
      </c>
      <c r="B954" s="8" t="str">
        <f>HYPERLINK("https://www.suredividend.com/sure-analysis-research-database/","MasterCraft Boat Holdings Inc")</f>
        <v>MasterCraft Boat Holdings Inc</v>
      </c>
      <c r="C954" s="5">
        <v>-0.054770318021201</v>
      </c>
      <c r="D954" s="5">
        <v>0.057834898665348</v>
      </c>
      <c r="E954" s="5">
        <v>-0.29419525065963</v>
      </c>
      <c r="F954" s="5">
        <v>-0.054770318021201</v>
      </c>
      <c r="G954" s="5">
        <v>-0.230215827338129</v>
      </c>
      <c r="H954" s="5">
        <v>-0.132197891321979</v>
      </c>
      <c r="I954" s="5">
        <v>0.008007536504945</v>
      </c>
    </row>
    <row r="955">
      <c r="A955" s="2" t="s">
        <v>980</v>
      </c>
      <c r="B955" s="8" t="str">
        <f>HYPERLINK("https://www.suredividend.com/sure-analysis-research-database/","Seres Therapeutics Inc")</f>
        <v>Seres Therapeutics Inc</v>
      </c>
      <c r="C955" s="5">
        <v>-0.107142857142857</v>
      </c>
      <c r="D955" s="5">
        <v>-0.094202898550724</v>
      </c>
      <c r="E955" s="5">
        <v>-0.733475479744136</v>
      </c>
      <c r="F955" s="5">
        <v>-0.107142857142857</v>
      </c>
      <c r="G955" s="5">
        <v>-0.773960216998191</v>
      </c>
      <c r="H955" s="5">
        <v>-0.840966921119592</v>
      </c>
      <c r="I955" s="5">
        <v>-0.793046357615894</v>
      </c>
    </row>
    <row r="956">
      <c r="A956" s="2" t="s">
        <v>981</v>
      </c>
      <c r="B956" s="8" t="str">
        <f>HYPERLINK("https://www.suredividend.com/sure-analysis-research-database/","Monarch Casino &amp; Resort, Inc.")</f>
        <v>Monarch Casino &amp; Resort, Inc.</v>
      </c>
      <c r="C956" s="5">
        <v>0.005929139551699</v>
      </c>
      <c r="D956" s="5">
        <v>0.185359885212993</v>
      </c>
      <c r="E956" s="5">
        <v>0.030797979304018</v>
      </c>
      <c r="F956" s="5">
        <v>0.005929139551699</v>
      </c>
      <c r="G956" s="5">
        <v>0.001586757629251</v>
      </c>
      <c r="H956" s="5">
        <v>0.261955559425842</v>
      </c>
      <c r="I956" s="5">
        <v>0.792510932615916</v>
      </c>
    </row>
    <row r="957">
      <c r="A957" s="2" t="s">
        <v>982</v>
      </c>
      <c r="B957" s="8" t="str">
        <f>HYPERLINK("https://www.suredividend.com/sure-analysis-research-database/","Marcus Corp.")</f>
        <v>Marcus Corp.</v>
      </c>
      <c r="C957" s="5">
        <v>-0.060356652949245</v>
      </c>
      <c r="D957" s="5">
        <v>-0.094322659121559</v>
      </c>
      <c r="E957" s="5">
        <v>-0.097383730506453</v>
      </c>
      <c r="F957" s="5">
        <v>-0.060356652949245</v>
      </c>
      <c r="G957" s="5">
        <v>-0.065242013618809</v>
      </c>
      <c r="H957" s="5">
        <v>-0.139236370718957</v>
      </c>
      <c r="I957" s="5">
        <v>-0.679550903455938</v>
      </c>
    </row>
    <row r="958">
      <c r="A958" s="2" t="s">
        <v>983</v>
      </c>
      <c r="B958" s="8" t="str">
        <f>HYPERLINK("https://www.suredividend.com/sure-analysis-MCY/","Mercury General Corp.")</f>
        <v>Mercury General Corp.</v>
      </c>
      <c r="C958" s="5">
        <v>0.109354060573572</v>
      </c>
      <c r="D958" s="5">
        <v>0.407196113296456</v>
      </c>
      <c r="E958" s="5">
        <v>0.32314626856129</v>
      </c>
      <c r="F958" s="5">
        <v>0.109354060573572</v>
      </c>
      <c r="G958" s="5">
        <v>0.245531254137727</v>
      </c>
      <c r="H958" s="5">
        <v>-0.172181787999335</v>
      </c>
      <c r="I958" s="5">
        <v>0.022452453120098</v>
      </c>
    </row>
    <row r="959">
      <c r="A959" s="2" t="s">
        <v>984</v>
      </c>
      <c r="B959" s="8" t="str">
        <f>HYPERLINK("https://www.suredividend.com/sure-analysis-research-database/","Pediatrix Medical Group Inc")</f>
        <v>Pediatrix Medical Group Inc</v>
      </c>
      <c r="C959" s="5">
        <v>0.06021505376344</v>
      </c>
      <c r="D959" s="5">
        <v>-0.128975265017667</v>
      </c>
      <c r="E959" s="5">
        <v>-0.273932253313696</v>
      </c>
      <c r="F959" s="5">
        <v>0.06021505376344</v>
      </c>
      <c r="G959" s="5">
        <v>-0.350032959789057</v>
      </c>
      <c r="H959" s="5">
        <v>-0.60080971659919</v>
      </c>
      <c r="I959" s="5">
        <v>-0.727398396461155</v>
      </c>
    </row>
    <row r="960">
      <c r="A960" s="2" t="s">
        <v>985</v>
      </c>
      <c r="B960" s="8" t="str">
        <f>HYPERLINK("https://www.suredividend.com/sure-analysis-MDC/","M.D.C. Holdings, Inc.")</f>
        <v>M.D.C. Holdings, Inc.</v>
      </c>
      <c r="C960" s="5">
        <v>0.134117647058823</v>
      </c>
      <c r="D960" s="5">
        <v>0.721315078126716</v>
      </c>
      <c r="E960" s="5">
        <v>0.256638162011262</v>
      </c>
      <c r="F960" s="5">
        <v>0.134117647058823</v>
      </c>
      <c r="G960" s="5">
        <v>0.723521418865765</v>
      </c>
      <c r="H960" s="5">
        <v>0.439347997868313</v>
      </c>
      <c r="I960" s="5">
        <v>1.93033783530996</v>
      </c>
    </row>
    <row r="961">
      <c r="A961" s="2" t="s">
        <v>986</v>
      </c>
      <c r="B961" s="8" t="str">
        <f>HYPERLINK("https://www.suredividend.com/sure-analysis-research-database/","Madrigal Pharmaceuticals Inc")</f>
        <v>Madrigal Pharmaceuticals Inc</v>
      </c>
      <c r="C961" s="5">
        <v>-0.01897311781485</v>
      </c>
      <c r="D961" s="5">
        <v>0.885299003322259</v>
      </c>
      <c r="E961" s="5">
        <v>0.104520461291421</v>
      </c>
      <c r="F961" s="5">
        <v>-0.01897311781485</v>
      </c>
      <c r="G961" s="5">
        <v>-0.215924006908462</v>
      </c>
      <c r="H961" s="5">
        <v>3.0253591062245</v>
      </c>
      <c r="I961" s="5">
        <v>1.04920104721495</v>
      </c>
    </row>
    <row r="962">
      <c r="A962" s="2" t="s">
        <v>987</v>
      </c>
      <c r="B962" s="8" t="str">
        <f>HYPERLINK("https://www.suredividend.com/sure-analysis-research-database/","Veradigm Inc")</f>
        <v>Veradigm Inc</v>
      </c>
      <c r="C962" s="5">
        <v>-0.079122974261201</v>
      </c>
      <c r="D962" s="5">
        <v>-0.232724384432088</v>
      </c>
      <c r="E962" s="5">
        <v>-0.287084870848708</v>
      </c>
      <c r="F962" s="5">
        <v>-0.079122974261201</v>
      </c>
      <c r="G962" s="5">
        <v>-0.455774647887323</v>
      </c>
      <c r="H962" s="5">
        <v>-0.52992700729927</v>
      </c>
      <c r="I962" s="5">
        <v>-0.17717206132879</v>
      </c>
    </row>
    <row r="963">
      <c r="A963" s="2" t="s">
        <v>988</v>
      </c>
      <c r="B963" s="8" t="str">
        <f>HYPERLINK("https://www.suredividend.com/sure-analysis-research-database/","Mimedx Group Inc")</f>
        <v>Mimedx Group Inc</v>
      </c>
      <c r="C963" s="5">
        <v>-0.04903078677309</v>
      </c>
      <c r="D963" s="5">
        <v>0.356097560975609</v>
      </c>
      <c r="E963" s="5">
        <v>0.04642409033877</v>
      </c>
      <c r="F963" s="5">
        <v>-0.04903078677309</v>
      </c>
      <c r="G963" s="5">
        <v>1.25405405405405</v>
      </c>
      <c r="H963" s="5">
        <v>0.820960698689956</v>
      </c>
      <c r="I963" s="5">
        <v>1.27868852459016</v>
      </c>
    </row>
    <row r="964">
      <c r="A964" s="2" t="s">
        <v>989</v>
      </c>
      <c r="B964" s="8" t="str">
        <f>HYPERLINK("https://www.suredividend.com/sure-analysis-research-database/","23andMe Holding Co")</f>
        <v>23andMe Holding Co</v>
      </c>
      <c r="C964" s="5">
        <v>-0.15511767925561</v>
      </c>
      <c r="D964" s="5">
        <v>0.003380135205408</v>
      </c>
      <c r="E964" s="5">
        <v>-0.580543478260869</v>
      </c>
      <c r="F964" s="5">
        <v>-0.15511767925561</v>
      </c>
      <c r="G964" s="5">
        <v>-0.692509960159362</v>
      </c>
      <c r="H964" s="5">
        <v>-0.81667458432304</v>
      </c>
      <c r="I964" s="5">
        <v>-0.921244897959183</v>
      </c>
    </row>
    <row r="965">
      <c r="A965" s="2" t="s">
        <v>990</v>
      </c>
      <c r="B965" s="8" t="str">
        <f>HYPERLINK("https://www.suredividend.com/sure-analysis-research-database/","Medifast Inc")</f>
        <v>Medifast Inc</v>
      </c>
      <c r="C965" s="5">
        <v>-0.169741148467717</v>
      </c>
      <c r="D965" s="5">
        <v>-0.197901695889623</v>
      </c>
      <c r="E965" s="5">
        <v>-0.467890870433667</v>
      </c>
      <c r="F965" s="5">
        <v>-0.169741148467717</v>
      </c>
      <c r="G965" s="5">
        <v>-0.482986063505356</v>
      </c>
      <c r="H965" s="5">
        <v>-0.677434270224657</v>
      </c>
      <c r="I965" s="5">
        <v>-0.448112050756682</v>
      </c>
    </row>
    <row r="966">
      <c r="A966" s="2" t="s">
        <v>991</v>
      </c>
      <c r="B966" s="8" t="str">
        <f>HYPERLINK("https://www.suredividend.com/sure-analysis-research-database/","Medpace Holdings Inc")</f>
        <v>Medpace Holdings Inc</v>
      </c>
      <c r="C966" s="5">
        <v>-0.016898835350536</v>
      </c>
      <c r="D966" s="5">
        <v>0.204051462362154</v>
      </c>
      <c r="E966" s="5">
        <v>0.182645893018327</v>
      </c>
      <c r="F966" s="5">
        <v>-0.016898835350536</v>
      </c>
      <c r="G966" s="5">
        <v>0.347237124463519</v>
      </c>
      <c r="H966" s="5">
        <v>0.77787610619469</v>
      </c>
      <c r="I966" s="5">
        <v>3.96621621621621</v>
      </c>
    </row>
    <row r="967">
      <c r="A967" s="2" t="s">
        <v>992</v>
      </c>
      <c r="B967" s="8" t="str">
        <f>HYPERLINK("https://www.suredividend.com/sure-analysis-research-database/","Montrose Environmental Group Inc")</f>
        <v>Montrose Environmental Group Inc</v>
      </c>
      <c r="C967" s="5">
        <v>-0.007469654528478</v>
      </c>
      <c r="D967" s="5">
        <v>0.431971261787157</v>
      </c>
      <c r="E967" s="5">
        <v>-0.204738154613466</v>
      </c>
      <c r="F967" s="5">
        <v>-0.007469654528478</v>
      </c>
      <c r="G967" s="5">
        <v>-0.394761814386031</v>
      </c>
      <c r="H967" s="5">
        <v>-0.253161592505854</v>
      </c>
      <c r="I967" s="5">
        <v>0.449545454545454</v>
      </c>
    </row>
    <row r="968">
      <c r="A968" s="2" t="s">
        <v>993</v>
      </c>
      <c r="B968" s="8" t="str">
        <f>HYPERLINK("https://www.suredividend.com/sure-analysis-research-database/","Methode Electronics, Inc.")</f>
        <v>Methode Electronics, Inc.</v>
      </c>
      <c r="C968" s="5">
        <v>-0.044590219119711</v>
      </c>
      <c r="D968" s="5">
        <v>-0.043747340048233</v>
      </c>
      <c r="E968" s="5">
        <v>-0.33236763422289</v>
      </c>
      <c r="F968" s="5">
        <v>-0.044590219119711</v>
      </c>
      <c r="G968" s="5">
        <v>-0.531584902136641</v>
      </c>
      <c r="H968" s="5">
        <v>-0.477903481127554</v>
      </c>
      <c r="I968" s="5">
        <v>-0.089854216333677</v>
      </c>
    </row>
    <row r="969">
      <c r="A969" s="2" t="s">
        <v>994</v>
      </c>
      <c r="B969" s="8" t="str">
        <f>HYPERLINK("https://www.suredividend.com/sure-analysis-research-database/","Ramaco Resources Inc")</f>
        <v>Ramaco Resources Inc</v>
      </c>
      <c r="C969" s="5">
        <v>0.09313154831199</v>
      </c>
      <c r="D969" s="5">
        <v>0.595568431873986</v>
      </c>
      <c r="E969" s="5">
        <v>1.19128851965508</v>
      </c>
      <c r="F969" s="5">
        <v>0.09313154831199</v>
      </c>
      <c r="G969" s="5">
        <v>1.43535544777861</v>
      </c>
      <c r="H969" s="5">
        <v>1.43535544777861</v>
      </c>
      <c r="I969" s="5">
        <v>1.43535544777861</v>
      </c>
    </row>
    <row r="970">
      <c r="A970" s="2" t="s">
        <v>995</v>
      </c>
      <c r="B970" s="8" t="str">
        <f>HYPERLINK("https://www.suredividend.com/sure-analysis-research-database/","MFA Financial Inc")</f>
        <v>MFA Financial Inc</v>
      </c>
      <c r="C970" s="5">
        <v>0.029281277728482</v>
      </c>
      <c r="D970" s="5">
        <v>0.374195917690403</v>
      </c>
      <c r="E970" s="5">
        <v>0.068258002725899</v>
      </c>
      <c r="F970" s="5">
        <v>0.029281277728482</v>
      </c>
      <c r="G970" s="5">
        <v>0.139970714545436</v>
      </c>
      <c r="H970" s="5">
        <v>-0.149896668474357</v>
      </c>
      <c r="I970" s="5">
        <v>-0.253620903762136</v>
      </c>
    </row>
    <row r="971">
      <c r="A971" s="2" t="s">
        <v>996</v>
      </c>
      <c r="B971" s="8" t="str">
        <f>HYPERLINK("https://www.suredividend.com/sure-analysis-MGEE/","MGE Energy, Inc.")</f>
        <v>MGE Energy, Inc.</v>
      </c>
      <c r="C971" s="5">
        <v>-0.08795463974554</v>
      </c>
      <c r="D971" s="5">
        <v>-0.054599563065878</v>
      </c>
      <c r="E971" s="5">
        <v>-0.155349156501826</v>
      </c>
      <c r="F971" s="5">
        <v>-0.08795463974554</v>
      </c>
      <c r="G971" s="5">
        <v>-0.030465009269019</v>
      </c>
      <c r="H971" s="5">
        <v>-0.082160228798875</v>
      </c>
      <c r="I971" s="5">
        <v>0.202442444121524</v>
      </c>
    </row>
    <row r="972">
      <c r="A972" s="2" t="s">
        <v>997</v>
      </c>
      <c r="B972" s="8" t="str">
        <f>HYPERLINK("https://www.suredividend.com/sure-analysis-research-database/","Magnite Inc")</f>
        <v>Magnite Inc</v>
      </c>
      <c r="C972" s="5">
        <v>0.025695931477516</v>
      </c>
      <c r="D972" s="5">
        <v>0.451515151515151</v>
      </c>
      <c r="E972" s="5">
        <v>-0.364299933642999</v>
      </c>
      <c r="F972" s="5">
        <v>0.025695931477516</v>
      </c>
      <c r="G972" s="5">
        <v>-0.173425366695427</v>
      </c>
      <c r="H972" s="5">
        <v>-0.231756214915797</v>
      </c>
      <c r="I972" s="5">
        <v>1.23310023310023</v>
      </c>
    </row>
    <row r="973">
      <c r="A973" s="2" t="s">
        <v>998</v>
      </c>
      <c r="B973" s="8" t="str">
        <f>HYPERLINK("https://www.suredividend.com/sure-analysis-research-database/","Macrogenics Inc")</f>
        <v>Macrogenics Inc</v>
      </c>
      <c r="C973" s="5">
        <v>0.417879417879418</v>
      </c>
      <c r="D973" s="5">
        <v>1.75</v>
      </c>
      <c r="E973" s="5">
        <v>1.92077087794432</v>
      </c>
      <c r="F973" s="5">
        <v>0.417879417879418</v>
      </c>
      <c r="G973" s="5">
        <v>1.37630662020905</v>
      </c>
      <c r="H973" s="5">
        <v>0.149115417017691</v>
      </c>
      <c r="I973" s="5">
        <v>0.181975736568457</v>
      </c>
    </row>
    <row r="974">
      <c r="A974" s="2" t="s">
        <v>999</v>
      </c>
      <c r="B974" s="8" t="str">
        <f>HYPERLINK("https://www.suredividend.com/sure-analysis-research-database/","MGP Ingredients, Inc.")</f>
        <v>MGP Ingredients, Inc.</v>
      </c>
      <c r="C974" s="5">
        <v>-0.09764514819326</v>
      </c>
      <c r="D974" s="5">
        <v>-0.05002388297662</v>
      </c>
      <c r="E974" s="5">
        <v>-0.216579952906673</v>
      </c>
      <c r="F974" s="5">
        <v>-0.09764514819326</v>
      </c>
      <c r="G974" s="5">
        <v>-0.022598963229271</v>
      </c>
      <c r="H974" s="5">
        <v>0.175935258745439</v>
      </c>
      <c r="I974" s="5">
        <v>0.293544355184872</v>
      </c>
    </row>
    <row r="975">
      <c r="A975" s="2" t="s">
        <v>1000</v>
      </c>
      <c r="B975" s="8" t="str">
        <f>HYPERLINK("https://www.suredividend.com/sure-analysis-MGRC/","McGrath Rentcorp")</f>
        <v>McGrath Rentcorp</v>
      </c>
      <c r="C975" s="5">
        <v>0.043342337693871</v>
      </c>
      <c r="D975" s="5">
        <v>0.226098509955919</v>
      </c>
      <c r="E975" s="5">
        <v>0.316074938104596</v>
      </c>
      <c r="F975" s="5">
        <v>0.043342337693871</v>
      </c>
      <c r="G975" s="5">
        <v>0.341921631776704</v>
      </c>
      <c r="H975" s="5">
        <v>0.718974421660605</v>
      </c>
      <c r="I975" s="5">
        <v>1.85090295871892</v>
      </c>
    </row>
    <row r="976">
      <c r="A976" s="2" t="s">
        <v>1001</v>
      </c>
      <c r="B976" s="8" t="str">
        <f>HYPERLINK("https://www.suredividend.com/sure-analysis-research-database/","MeiraGTx Holdings plc")</f>
        <v>MeiraGTx Holdings plc</v>
      </c>
      <c r="C976" s="5">
        <v>-0.017094017094017</v>
      </c>
      <c r="D976" s="5">
        <v>0.864864864864864</v>
      </c>
      <c r="E976" s="5">
        <v>0.133004926108374</v>
      </c>
      <c r="F976" s="5">
        <v>-0.017094017094017</v>
      </c>
      <c r="G976" s="5">
        <v>-0.132075471698113</v>
      </c>
      <c r="H976" s="5">
        <v>-0.522160664819944</v>
      </c>
      <c r="I976" s="5">
        <v>-0.249999999999999</v>
      </c>
    </row>
    <row r="977">
      <c r="A977" s="2" t="s">
        <v>1002</v>
      </c>
      <c r="B977" s="8" t="str">
        <f>HYPERLINK("https://www.suredividend.com/sure-analysis-research-database/","Magnolia Oil &amp; Gas Corp")</f>
        <v>Magnolia Oil &amp; Gas Corp</v>
      </c>
      <c r="C977" s="5">
        <v>-0.010803193987787</v>
      </c>
      <c r="D977" s="5">
        <v>-0.035405120688865</v>
      </c>
      <c r="E977" s="5">
        <v>-0.036697877167544</v>
      </c>
      <c r="F977" s="5">
        <v>-0.010803193987787</v>
      </c>
      <c r="G977" s="5">
        <v>-0.087248787549137</v>
      </c>
      <c r="H977" s="5">
        <v>0.008422675624039</v>
      </c>
      <c r="I977" s="5">
        <v>0.86654140336261</v>
      </c>
    </row>
    <row r="978">
      <c r="A978" s="2" t="s">
        <v>1003</v>
      </c>
      <c r="B978" s="8" t="str">
        <f>HYPERLINK("https://www.suredividend.com/sure-analysis-research-database/","MI Homes Inc.")</f>
        <v>MI Homes Inc.</v>
      </c>
      <c r="C978" s="5">
        <v>-0.026063598083345</v>
      </c>
      <c r="D978" s="5">
        <v>0.649655681259223</v>
      </c>
      <c r="E978" s="5">
        <v>0.347834823671254</v>
      </c>
      <c r="F978" s="5">
        <v>-0.026063598083345</v>
      </c>
      <c r="G978" s="5">
        <v>1.2772025123069</v>
      </c>
      <c r="H978" s="5">
        <v>1.6334903808402</v>
      </c>
      <c r="I978" s="5">
        <v>4.30237154150197</v>
      </c>
    </row>
    <row r="979">
      <c r="A979" s="2" t="s">
        <v>1004</v>
      </c>
      <c r="B979" s="8" t="str">
        <f>HYPERLINK("https://www.suredividend.com/sure-analysis-research-database/","Mirion Technologies Inc.")</f>
        <v>Mirion Technologies Inc.</v>
      </c>
      <c r="C979" s="5">
        <v>-0.053658536585365</v>
      </c>
      <c r="D979" s="5">
        <v>0.426470588235294</v>
      </c>
      <c r="E979" s="5">
        <v>0.305518169582772</v>
      </c>
      <c r="F979" s="5">
        <v>-0.053658536585365</v>
      </c>
      <c r="G979" s="5">
        <v>0.237244897959183</v>
      </c>
      <c r="H979" s="5">
        <v>0.229404309252218</v>
      </c>
      <c r="I979" s="5">
        <v>-0.025125628140703</v>
      </c>
    </row>
    <row r="980">
      <c r="A980" s="2" t="s">
        <v>1005</v>
      </c>
      <c r="B980" s="8" t="str">
        <f>HYPERLINK("https://www.suredividend.com/sure-analysis-research-database/","Mirum Pharmaceuticals Inc")</f>
        <v>Mirum Pharmaceuticals Inc</v>
      </c>
      <c r="C980" s="5">
        <v>-0.08130081300813</v>
      </c>
      <c r="D980" s="5">
        <v>-7.36919675755E-4</v>
      </c>
      <c r="E980" s="5">
        <v>0.051570376114773</v>
      </c>
      <c r="F980" s="5">
        <v>-0.08130081300813</v>
      </c>
      <c r="G980" s="5">
        <v>0.136154168412232</v>
      </c>
      <c r="H980" s="5">
        <v>0.493392070484581</v>
      </c>
      <c r="I980" s="5">
        <v>1.05299015897047</v>
      </c>
    </row>
    <row r="981">
      <c r="A981" s="2" t="s">
        <v>1006</v>
      </c>
      <c r="B981" s="8" t="str">
        <f>HYPERLINK("https://www.suredividend.com/sure-analysis-research-database/","Mitek Systems Inc")</f>
        <v>Mitek Systems Inc</v>
      </c>
      <c r="C981" s="5">
        <v>-0.02223926380368</v>
      </c>
      <c r="D981" s="5">
        <v>0.227141482194417</v>
      </c>
      <c r="E981" s="5">
        <v>0.240272373540856</v>
      </c>
      <c r="F981" s="5">
        <v>-0.02223926380368</v>
      </c>
      <c r="G981" s="5">
        <v>0.287878787878787</v>
      </c>
      <c r="H981" s="5">
        <v>-0.236069502696225</v>
      </c>
      <c r="I981" s="5">
        <v>0.138392857142857</v>
      </c>
    </row>
    <row r="982">
      <c r="A982" s="2" t="s">
        <v>1007</v>
      </c>
      <c r="B982" s="8" t="str">
        <f>HYPERLINK("https://www.suredividend.com/sure-analysis-research-database/","Markforged Holding Corporation")</f>
        <v>Markforged Holding Corporation</v>
      </c>
      <c r="C982" s="5">
        <v>-0.118536585365853</v>
      </c>
      <c r="D982" s="5">
        <v>0.111999999999999</v>
      </c>
      <c r="E982" s="5">
        <v>-0.674414414414414</v>
      </c>
      <c r="F982" s="5">
        <v>-0.118536585365853</v>
      </c>
      <c r="G982" s="5">
        <v>-0.483714285714285</v>
      </c>
      <c r="H982" s="5">
        <v>-0.831906976744186</v>
      </c>
      <c r="I982" s="5">
        <v>-0.93029893924783</v>
      </c>
    </row>
    <row r="983">
      <c r="A983" s="2" t="s">
        <v>1008</v>
      </c>
      <c r="B983" s="8" t="str">
        <f>HYPERLINK("https://www.suredividend.com/sure-analysis-research-database/","Marketwise Inc")</f>
        <v>Marketwise Inc</v>
      </c>
      <c r="C983" s="5">
        <v>-0.098901098901098</v>
      </c>
      <c r="D983" s="5">
        <v>0.475881929445644</v>
      </c>
      <c r="E983" s="5">
        <v>0.471467878932886</v>
      </c>
      <c r="F983" s="5">
        <v>-0.098901098901098</v>
      </c>
      <c r="G983" s="5">
        <v>0.178725443219932</v>
      </c>
      <c r="H983" s="5">
        <v>-0.495725970112539</v>
      </c>
      <c r="I983" s="5">
        <v>-0.75073462356875</v>
      </c>
    </row>
    <row r="984">
      <c r="A984" s="2" t="s">
        <v>1009</v>
      </c>
      <c r="B984" s="8" t="str">
        <f>HYPERLINK("https://www.suredividend.com/sure-analysis-research-database/","MoneyLion Inc")</f>
        <v>MoneyLion Inc</v>
      </c>
      <c r="C984" s="5">
        <v>-0.184080395597384</v>
      </c>
      <c r="D984" s="5">
        <v>1.85913918390162</v>
      </c>
      <c r="E984" s="5">
        <v>2.79169755374351</v>
      </c>
      <c r="F984" s="5">
        <v>-0.184080395597384</v>
      </c>
      <c r="G984" s="5">
        <v>1.15440990649481</v>
      </c>
      <c r="H984" s="5">
        <v>-0.289583333333333</v>
      </c>
      <c r="I984" s="5">
        <v>-0.826020408163265</v>
      </c>
    </row>
    <row r="985">
      <c r="A985" s="2" t="s">
        <v>1010</v>
      </c>
      <c r="B985" s="8" t="str">
        <f>HYPERLINK("https://www.suredividend.com/sure-analysis-research-database/","Mesa Laboratories, Inc.")</f>
        <v>Mesa Laboratories, Inc.</v>
      </c>
      <c r="C985" s="5">
        <v>-0.079602939772835</v>
      </c>
      <c r="D985" s="5">
        <v>0.002738996699477</v>
      </c>
      <c r="E985" s="5">
        <v>-0.242429003742681</v>
      </c>
      <c r="F985" s="5">
        <v>-0.079602939772835</v>
      </c>
      <c r="G985" s="5">
        <v>-0.496461970424777</v>
      </c>
      <c r="H985" s="5">
        <v>-0.650941603395382</v>
      </c>
      <c r="I985" s="5">
        <v>-0.54742445419192</v>
      </c>
    </row>
    <row r="986">
      <c r="A986" s="2" t="s">
        <v>1011</v>
      </c>
      <c r="B986" s="8" t="str">
        <f>HYPERLINK("https://www.suredividend.com/sure-analysis-MLI/","Mueller Industries, Inc.")</f>
        <v>Mueller Industries, Inc.</v>
      </c>
      <c r="C986" s="5">
        <v>0.04390243902439</v>
      </c>
      <c r="D986" s="5">
        <v>0.306225136739638</v>
      </c>
      <c r="E986" s="5">
        <v>0.218950444538002</v>
      </c>
      <c r="F986" s="5">
        <v>0.04390243902439</v>
      </c>
      <c r="G986" s="5">
        <v>0.523159953457282</v>
      </c>
      <c r="H986" s="5">
        <v>0.973520661422121</v>
      </c>
      <c r="I986" s="5">
        <v>3.2154847550531</v>
      </c>
    </row>
    <row r="987">
      <c r="A987" s="2" t="s">
        <v>1012</v>
      </c>
      <c r="B987" s="8" t="str">
        <f>HYPERLINK("https://www.suredividend.com/sure-analysis-research-database/","MillerKnoll Inc")</f>
        <v>MillerKnoll Inc</v>
      </c>
      <c r="C987" s="5">
        <v>0.027736131934033</v>
      </c>
      <c r="D987" s="5">
        <v>0.230562100302928</v>
      </c>
      <c r="E987" s="5">
        <v>0.464782713213494</v>
      </c>
      <c r="F987" s="5">
        <v>0.027736131934033</v>
      </c>
      <c r="G987" s="5">
        <v>0.269650174796842</v>
      </c>
      <c r="H987" s="5">
        <v>-0.208546085882274</v>
      </c>
      <c r="I987" s="5">
        <v>-0.140287950235778</v>
      </c>
    </row>
    <row r="988">
      <c r="A988" s="2" t="s">
        <v>1013</v>
      </c>
      <c r="B988" s="8" t="str">
        <f>HYPERLINK("https://www.suredividend.com/sure-analysis-research-database/","MeridianLink Inc")</f>
        <v>MeridianLink Inc</v>
      </c>
      <c r="C988" s="5">
        <v>-0.039160274525635</v>
      </c>
      <c r="D988" s="5">
        <v>0.50632911392405</v>
      </c>
      <c r="E988" s="5">
        <v>0.073038773669972</v>
      </c>
      <c r="F988" s="5">
        <v>-0.039160274525635</v>
      </c>
      <c r="G988" s="5">
        <v>0.508238276299112</v>
      </c>
      <c r="H988" s="5">
        <v>0.316371681415929</v>
      </c>
      <c r="I988" s="5">
        <v>-0.032520325203252</v>
      </c>
    </row>
    <row r="989">
      <c r="A989" s="2" t="s">
        <v>1014</v>
      </c>
      <c r="B989" s="8" t="str">
        <f>HYPERLINK("https://www.suredividend.com/sure-analysis-MLR/","Miller Industries Inc.")</f>
        <v>Miller Industries Inc.</v>
      </c>
      <c r="C989" s="5">
        <v>-0.018207614093166</v>
      </c>
      <c r="D989" s="5">
        <v>0.168645840076783</v>
      </c>
      <c r="E989" s="5">
        <v>0.093264521565116</v>
      </c>
      <c r="F989" s="5">
        <v>-0.018207614093166</v>
      </c>
      <c r="G989" s="5">
        <v>0.468227306481841</v>
      </c>
      <c r="H989" s="5">
        <v>0.389707063674824</v>
      </c>
      <c r="I989" s="5">
        <v>0.574629950584228</v>
      </c>
    </row>
    <row r="990">
      <c r="A990" s="2" t="s">
        <v>1015</v>
      </c>
      <c r="B990" s="8" t="str">
        <f>HYPERLINK("https://www.suredividend.com/sure-analysis-research-database/","Mineralys Therapeutics Inc")</f>
        <v>Mineralys Therapeutics Inc</v>
      </c>
      <c r="C990" s="5">
        <v>0.272093023255813</v>
      </c>
      <c r="D990" s="5">
        <v>0.439473684210526</v>
      </c>
      <c r="E990" s="5">
        <v>-0.247075017205781</v>
      </c>
      <c r="F990" s="5">
        <v>0.272093023255813</v>
      </c>
      <c r="G990" s="5">
        <v>-0.406724511930585</v>
      </c>
      <c r="H990" s="5">
        <v>-0.406724511930585</v>
      </c>
      <c r="I990" s="5">
        <v>-0.406724511930585</v>
      </c>
    </row>
    <row r="991">
      <c r="A991" s="2" t="s">
        <v>1016</v>
      </c>
      <c r="B991" s="8" t="str">
        <f>HYPERLINK("https://www.suredividend.com/sure-analysis-research-database/","Marcus &amp; Millichap Inc")</f>
        <v>Marcus &amp; Millichap Inc</v>
      </c>
      <c r="C991" s="5">
        <v>-0.098214285714285</v>
      </c>
      <c r="D991" s="5">
        <v>0.405781584582441</v>
      </c>
      <c r="E991" s="5">
        <v>0.108216387760384</v>
      </c>
      <c r="F991" s="5">
        <v>-0.098214285714285</v>
      </c>
      <c r="G991" s="5">
        <v>0.090422881440388</v>
      </c>
      <c r="H991" s="5">
        <v>-0.099618040554904</v>
      </c>
      <c r="I991" s="5">
        <v>0.049744959145493</v>
      </c>
    </row>
    <row r="992">
      <c r="A992" s="2" t="s">
        <v>1017</v>
      </c>
      <c r="B992" s="8" t="str">
        <f>HYPERLINK("https://www.suredividend.com/sure-analysis-MMS/","Maximus Inc.")</f>
        <v>Maximus Inc.</v>
      </c>
      <c r="C992" s="5">
        <v>0.0</v>
      </c>
      <c r="D992" s="5">
        <v>0.152866907523192</v>
      </c>
      <c r="E992" s="5">
        <v>0.003798057759684</v>
      </c>
      <c r="F992" s="5">
        <v>0.0</v>
      </c>
      <c r="G992" s="5">
        <v>0.192992838628726</v>
      </c>
      <c r="H992" s="5">
        <v>0.119784642419354</v>
      </c>
      <c r="I992" s="5">
        <v>0.313322882294258</v>
      </c>
    </row>
    <row r="993">
      <c r="A993" s="2" t="s">
        <v>1018</v>
      </c>
      <c r="B993" s="8" t="str">
        <f>HYPERLINK("https://www.suredividend.com/sure-analysis-research-database/","Merit Medical Systems, Inc.")</f>
        <v>Merit Medical Systems, Inc.</v>
      </c>
      <c r="C993" s="5">
        <v>0.056608741442864</v>
      </c>
      <c r="D993" s="5">
        <v>0.163188405797101</v>
      </c>
      <c r="E993" s="5">
        <v>0.091972789115646</v>
      </c>
      <c r="F993" s="5">
        <v>0.056608741442864</v>
      </c>
      <c r="G993" s="5">
        <v>0.1475550471833</v>
      </c>
      <c r="H993" s="5">
        <v>0.488777592283435</v>
      </c>
      <c r="I993" s="5">
        <v>0.503841109237399</v>
      </c>
    </row>
    <row r="994">
      <c r="A994" s="2" t="s">
        <v>1019</v>
      </c>
      <c r="B994" s="8" t="str">
        <f>HYPERLINK("https://www.suredividend.com/sure-analysis-research-database/","Mannkind Corp")</f>
        <v>Mannkind Corp</v>
      </c>
      <c r="C994" s="5">
        <v>-0.032967032967032</v>
      </c>
      <c r="D994" s="5">
        <v>-0.099744245524296</v>
      </c>
      <c r="E994" s="5">
        <v>-0.239740820734341</v>
      </c>
      <c r="F994" s="5">
        <v>-0.032967032967032</v>
      </c>
      <c r="G994" s="5">
        <v>-0.326959847036328</v>
      </c>
      <c r="H994" s="5">
        <v>-0.008450704225352</v>
      </c>
      <c r="I994" s="5">
        <v>1.95798319327731</v>
      </c>
    </row>
    <row r="995">
      <c r="A995" s="2" t="s">
        <v>1020</v>
      </c>
      <c r="B995" s="8" t="str">
        <f>HYPERLINK("https://www.suredividend.com/sure-analysis-research-database/","Monro Inc")</f>
        <v>Monro Inc</v>
      </c>
      <c r="C995" s="5">
        <v>0.082481254260395</v>
      </c>
      <c r="D995" s="5">
        <v>0.244026635330983</v>
      </c>
      <c r="E995" s="5">
        <v>-0.102893282150796</v>
      </c>
      <c r="F995" s="5">
        <v>0.082481254260395</v>
      </c>
      <c r="G995" s="5">
        <v>-0.32668355611147</v>
      </c>
      <c r="H995" s="5">
        <v>-0.295441890593838</v>
      </c>
      <c r="I995" s="5">
        <v>-0.495804989562083</v>
      </c>
    </row>
    <row r="996">
      <c r="A996" s="2" t="s">
        <v>1021</v>
      </c>
      <c r="B996" s="8" t="str">
        <f>HYPERLINK("https://www.suredividend.com/sure-analysis-research-database/","Montauk Renewables Inc")</f>
        <v>Montauk Renewables Inc</v>
      </c>
      <c r="C996" s="5">
        <v>-0.153759820426487</v>
      </c>
      <c r="D996" s="5">
        <v>-0.226666666666666</v>
      </c>
      <c r="E996" s="5">
        <v>-0.107692307692307</v>
      </c>
      <c r="F996" s="5">
        <v>-0.153759820426487</v>
      </c>
      <c r="G996" s="5">
        <v>-0.344917463075586</v>
      </c>
      <c r="H996" s="5">
        <v>-0.246753246753246</v>
      </c>
      <c r="I996" s="5">
        <v>-0.357203751065643</v>
      </c>
    </row>
    <row r="997">
      <c r="A997" s="2" t="s">
        <v>1022</v>
      </c>
      <c r="B997" s="8" t="str">
        <f>HYPERLINK("https://www.suredividend.com/sure-analysis-research-database/","Momentus Inc")</f>
        <v>Momentus Inc</v>
      </c>
      <c r="C997" s="5">
        <v>-0.549017341040462</v>
      </c>
      <c r="D997" s="5">
        <v>-0.760674846625766</v>
      </c>
      <c r="E997" s="5">
        <v>-0.963652457488935</v>
      </c>
      <c r="F997" s="5">
        <v>-0.549017341040462</v>
      </c>
      <c r="G997" s="5">
        <v>-0.982721736241833</v>
      </c>
      <c r="H997" s="5">
        <v>-0.994850165016501</v>
      </c>
      <c r="I997" s="5">
        <v>-0.920468909276248</v>
      </c>
    </row>
    <row r="998">
      <c r="A998" s="2" t="s">
        <v>1023</v>
      </c>
      <c r="B998" s="8" t="str">
        <f>HYPERLINK("https://www.suredividend.com/sure-analysis-research-database/","Modine Manufacturing Co.")</f>
        <v>Modine Manufacturing Co.</v>
      </c>
      <c r="C998" s="5">
        <v>0.105695142378559</v>
      </c>
      <c r="D998" s="5">
        <v>0.690829918032787</v>
      </c>
      <c r="E998" s="5">
        <v>0.833611111111111</v>
      </c>
      <c r="F998" s="5">
        <v>0.105695142378559</v>
      </c>
      <c r="G998" s="5">
        <v>1.92727272727272</v>
      </c>
      <c r="H998" s="5">
        <v>6.38366890380313</v>
      </c>
      <c r="I998" s="5">
        <v>4.0427807486631</v>
      </c>
    </row>
    <row r="999">
      <c r="A999" s="2" t="s">
        <v>1024</v>
      </c>
      <c r="B999" s="8" t="str">
        <f>HYPERLINK("https://www.suredividend.com/sure-analysis-research-database/","Topgolf Callaway Brands Corp")</f>
        <v>Topgolf Callaway Brands Corp</v>
      </c>
      <c r="C999" s="5">
        <v>-0.023012552301255</v>
      </c>
      <c r="D999" s="5">
        <v>0.154987633965375</v>
      </c>
      <c r="E999" s="5">
        <v>-0.285932721712538</v>
      </c>
      <c r="F999" s="5">
        <v>-0.023012552301255</v>
      </c>
      <c r="G999" s="5">
        <v>-0.410353535353535</v>
      </c>
      <c r="H999" s="5">
        <v>-0.398712446351931</v>
      </c>
      <c r="I999" s="5">
        <v>-0.11466956510749</v>
      </c>
    </row>
    <row r="1000">
      <c r="A1000" s="2" t="s">
        <v>1025</v>
      </c>
      <c r="B1000" s="8" t="str">
        <f>HYPERLINK("https://www.suredividend.com/sure-analysis-research-database/","Model N Inc")</f>
        <v>Model N Inc</v>
      </c>
      <c r="C1000" s="5">
        <v>0.041589305607129</v>
      </c>
      <c r="D1000" s="5">
        <v>0.180058897770298</v>
      </c>
      <c r="E1000" s="5">
        <v>-0.139570552147239</v>
      </c>
      <c r="F1000" s="5">
        <v>0.041589305607129</v>
      </c>
      <c r="G1000" s="5">
        <v>-0.33420365535248</v>
      </c>
      <c r="H1000" s="5">
        <v>0.065729483282674</v>
      </c>
      <c r="I1000" s="5">
        <v>0.97396199859254</v>
      </c>
    </row>
    <row r="1001">
      <c r="A1001" s="2" t="s">
        <v>1026</v>
      </c>
      <c r="B1001" s="8" t="str">
        <f>HYPERLINK("https://www.suredividend.com/sure-analysis-research-database/","ModivCare Inc")</f>
        <v>ModivCare Inc</v>
      </c>
      <c r="C1001" s="5">
        <v>-0.029552170947942</v>
      </c>
      <c r="D1001" s="5">
        <v>0.063792673810116</v>
      </c>
      <c r="E1001" s="5">
        <v>-0.032411604714415</v>
      </c>
      <c r="F1001" s="5">
        <v>-0.029552170947942</v>
      </c>
      <c r="G1001" s="5">
        <v>-0.60347389931265</v>
      </c>
      <c r="H1001" s="5">
        <v>-0.626705141657922</v>
      </c>
      <c r="I1001" s="5">
        <v>-0.324845801043808</v>
      </c>
    </row>
    <row r="1002">
      <c r="A1002" s="2" t="s">
        <v>1027</v>
      </c>
      <c r="B1002" s="8" t="str">
        <f>HYPERLINK("https://www.suredividend.com/sure-analysis-research-database/","MidWestOne Financial Group Inc")</f>
        <v>MidWestOne Financial Group Inc</v>
      </c>
      <c r="C1002" s="5">
        <v>-0.034188034188034</v>
      </c>
      <c r="D1002" s="5">
        <v>0.356139151669475</v>
      </c>
      <c r="E1002" s="5">
        <v>0.083426780108967</v>
      </c>
      <c r="F1002" s="5">
        <v>-0.034188034188034</v>
      </c>
      <c r="G1002" s="5">
        <v>-0.090956786345114</v>
      </c>
      <c r="H1002" s="5">
        <v>-0.080110712339045</v>
      </c>
      <c r="I1002" s="5">
        <v>0.171200807538225</v>
      </c>
    </row>
    <row r="1003">
      <c r="A1003" s="2" t="s">
        <v>1028</v>
      </c>
      <c r="B1003" s="8" t="str">
        <f>HYPERLINK("https://www.suredividend.com/sure-analysis-research-database/","Morphic Holding Inc")</f>
        <v>Morphic Holding Inc</v>
      </c>
      <c r="C1003" s="5">
        <v>0.111149584487534</v>
      </c>
      <c r="D1003" s="5">
        <v>0.588613861386138</v>
      </c>
      <c r="E1003" s="5">
        <v>-0.420234869015356</v>
      </c>
      <c r="F1003" s="5">
        <v>0.111149584487534</v>
      </c>
      <c r="G1003" s="5">
        <v>0.007535321821036</v>
      </c>
      <c r="H1003" s="5">
        <v>-0.216361416361416</v>
      </c>
      <c r="I1003" s="5">
        <v>0.782777777777778</v>
      </c>
    </row>
    <row r="1004">
      <c r="A1004" s="2" t="s">
        <v>1029</v>
      </c>
      <c r="B1004" s="8" t="str">
        <f>HYPERLINK("https://www.suredividend.com/sure-analysis-research-database/","Movado Group, Inc.")</f>
        <v>Movado Group, Inc.</v>
      </c>
      <c r="C1004" s="5">
        <v>-0.04776119402985</v>
      </c>
      <c r="D1004" s="5">
        <v>0.051097776622501</v>
      </c>
      <c r="E1004" s="5">
        <v>0.030998175732938</v>
      </c>
      <c r="F1004" s="5">
        <v>-0.04776119402985</v>
      </c>
      <c r="G1004" s="5">
        <v>-0.120372072502665</v>
      </c>
      <c r="H1004" s="5">
        <v>-0.122410177718816</v>
      </c>
      <c r="I1004" s="5">
        <v>0.032834124177528</v>
      </c>
    </row>
    <row r="1005">
      <c r="A1005" s="2" t="s">
        <v>1030</v>
      </c>
      <c r="B1005" s="8" t="str">
        <f>HYPERLINK("https://www.suredividend.com/sure-analysis-research-database/","Motorcar Parts of America Inc.")</f>
        <v>Motorcar Parts of America Inc.</v>
      </c>
      <c r="C1005" s="5">
        <v>0.059957173447537</v>
      </c>
      <c r="D1005" s="5">
        <v>0.408250355618776</v>
      </c>
      <c r="E1005" s="5">
        <v>0.093922651933701</v>
      </c>
      <c r="F1005" s="5">
        <v>0.059957173447537</v>
      </c>
      <c r="G1005" s="5">
        <v>-0.281045751633986</v>
      </c>
      <c r="H1005" s="5">
        <v>-0.391891891891891</v>
      </c>
      <c r="I1005" s="5">
        <v>-0.505494505494505</v>
      </c>
    </row>
    <row r="1006">
      <c r="A1006" s="2" t="s">
        <v>1031</v>
      </c>
      <c r="B1006" s="8" t="str">
        <f>HYPERLINK("https://www.suredividend.com/sure-analysis-research-database/","Mid Penn Bancorp, Inc.")</f>
        <v>Mid Penn Bancorp, Inc.</v>
      </c>
      <c r="C1006" s="5">
        <v>-0.052718286655683</v>
      </c>
      <c r="D1006" s="5">
        <v>0.249823394520339</v>
      </c>
      <c r="E1006" s="5">
        <v>-0.014166005872141</v>
      </c>
      <c r="F1006" s="5">
        <v>-0.052718286655683</v>
      </c>
      <c r="G1006" s="5">
        <v>-0.2046063666073</v>
      </c>
      <c r="H1006" s="5">
        <v>-0.147093070687442</v>
      </c>
      <c r="I1006" s="5">
        <v>0.166926265480799</v>
      </c>
    </row>
    <row r="1007">
      <c r="A1007" s="2" t="s">
        <v>1032</v>
      </c>
      <c r="B1007" s="8" t="str">
        <f>HYPERLINK("https://www.suredividend.com/sure-analysis-research-database/","MultiPlan Corp")</f>
        <v>MultiPlan Corp</v>
      </c>
      <c r="C1007" s="5">
        <v>-0.249999999999999</v>
      </c>
      <c r="D1007" s="5">
        <v>-0.345454545454545</v>
      </c>
      <c r="E1007" s="5">
        <v>-0.465346534653465</v>
      </c>
      <c r="F1007" s="5">
        <v>-0.249999999999999</v>
      </c>
      <c r="G1007" s="5">
        <v>-0.205882352941176</v>
      </c>
      <c r="H1007" s="5">
        <v>-0.713527851458885</v>
      </c>
      <c r="I1007" s="5">
        <v>-0.888888888888888</v>
      </c>
    </row>
    <row r="1008">
      <c r="A1008" s="2" t="s">
        <v>1033</v>
      </c>
      <c r="B1008" s="8" t="str">
        <f>HYPERLINK("https://www.suredividend.com/sure-analysis-research-database/","Marine Products Corp")</f>
        <v>Marine Products Corp</v>
      </c>
      <c r="C1008" s="5">
        <v>-0.046491228070175</v>
      </c>
      <c r="D1008" s="5">
        <v>-0.009973131745525</v>
      </c>
      <c r="E1008" s="5">
        <v>-0.35509516351037</v>
      </c>
      <c r="F1008" s="5">
        <v>-0.046491228070175</v>
      </c>
      <c r="G1008" s="5">
        <v>-0.116927851299424</v>
      </c>
      <c r="H1008" s="5">
        <v>-0.029429622486517</v>
      </c>
      <c r="I1008" s="5">
        <v>-0.073166156495937</v>
      </c>
    </row>
    <row r="1009">
      <c r="A1009" s="2" t="s">
        <v>1034</v>
      </c>
      <c r="B1009" s="8" t="str">
        <f>HYPERLINK("https://www.suredividend.com/sure-analysis-research-database/","Marqeta Inc")</f>
        <v>Marqeta Inc</v>
      </c>
      <c r="C1009" s="5">
        <v>-0.051575931232091</v>
      </c>
      <c r="D1009" s="5">
        <v>0.316103379721669</v>
      </c>
      <c r="E1009" s="5">
        <v>0.21915285451197</v>
      </c>
      <c r="F1009" s="5">
        <v>-0.051575931232091</v>
      </c>
      <c r="G1009" s="5">
        <v>-0.020710059171597</v>
      </c>
      <c r="H1009" s="5">
        <v>-0.371320037986704</v>
      </c>
      <c r="I1009" s="5">
        <v>-0.783093053735255</v>
      </c>
    </row>
    <row r="1010">
      <c r="A1010" s="2" t="s">
        <v>1035</v>
      </c>
      <c r="B1010" s="8" t="str">
        <f>HYPERLINK("https://www.suredividend.com/sure-analysis-research-database/","MRC Global Inc")</f>
        <v>MRC Global Inc</v>
      </c>
      <c r="C1010" s="5">
        <v>-0.041780199818346</v>
      </c>
      <c r="D1010" s="5">
        <v>0.093264248704663</v>
      </c>
      <c r="E1010" s="5">
        <v>-0.058035714285714</v>
      </c>
      <c r="F1010" s="5">
        <v>-0.041780199818346</v>
      </c>
      <c r="G1010" s="5">
        <v>-0.177067082683307</v>
      </c>
      <c r="H1010" s="5">
        <v>0.431478968792401</v>
      </c>
      <c r="I1010" s="5">
        <v>-0.314489928525016</v>
      </c>
    </row>
    <row r="1011">
      <c r="A1011" s="2" t="s">
        <v>1036</v>
      </c>
      <c r="B1011" s="8" t="str">
        <f>HYPERLINK("https://www.suredividend.com/sure-analysis-research-database/","Mersana Therapeutics Inc")</f>
        <v>Mersana Therapeutics Inc</v>
      </c>
      <c r="C1011" s="5">
        <v>0.5</v>
      </c>
      <c r="D1011" s="5">
        <v>2.0</v>
      </c>
      <c r="E1011" s="5">
        <v>1.76190476190476</v>
      </c>
      <c r="F1011" s="5">
        <v>0.5</v>
      </c>
      <c r="G1011" s="5">
        <v>-0.478260869565217</v>
      </c>
      <c r="H1011" s="5">
        <v>-0.194444444444444</v>
      </c>
      <c r="I1011" s="5">
        <v>-0.185011709601873</v>
      </c>
    </row>
    <row r="1012">
      <c r="A1012" s="2" t="s">
        <v>1037</v>
      </c>
      <c r="B1012" s="8" t="str">
        <f>HYPERLINK("https://www.suredividend.com/sure-analysis-research-database/","Marten Transport, Ltd.")</f>
        <v>Marten Transport, Ltd.</v>
      </c>
      <c r="C1012" s="5">
        <v>-0.093422306959008</v>
      </c>
      <c r="D1012" s="5">
        <v>0.09988607909696</v>
      </c>
      <c r="E1012" s="5">
        <v>-0.145544883601829</v>
      </c>
      <c r="F1012" s="5">
        <v>-0.093422306959008</v>
      </c>
      <c r="G1012" s="5">
        <v>-0.136859111082874</v>
      </c>
      <c r="H1012" s="5">
        <v>0.177111311903553</v>
      </c>
      <c r="I1012" s="5">
        <v>0.67188214197813</v>
      </c>
    </row>
    <row r="1013">
      <c r="A1013" s="2" t="s">
        <v>1038</v>
      </c>
      <c r="B1013" s="8" t="str">
        <f>HYPERLINK("https://www.suredividend.com/sure-analysis-research-database/","Midland States Bancorp Inc")</f>
        <v>Midland States Bancorp Inc</v>
      </c>
      <c r="C1013" s="5">
        <v>-0.003628447024673</v>
      </c>
      <c r="D1013" s="5">
        <v>0.377096863167924</v>
      </c>
      <c r="E1013" s="5">
        <v>0.21347103092009</v>
      </c>
      <c r="F1013" s="5">
        <v>-0.003628447024673</v>
      </c>
      <c r="G1013" s="5">
        <v>0.237210014823091</v>
      </c>
      <c r="H1013" s="5">
        <v>0.143342507276005</v>
      </c>
      <c r="I1013" s="5">
        <v>0.500546448087431</v>
      </c>
    </row>
    <row r="1014">
      <c r="A1014" s="2" t="s">
        <v>1039</v>
      </c>
      <c r="B1014" s="8" t="str">
        <f>HYPERLINK("https://www.suredividend.com/sure-analysis-MSEX/","Middlesex Water Co.")</f>
        <v>Middlesex Water Co.</v>
      </c>
      <c r="C1014" s="5">
        <v>-0.118713806766229</v>
      </c>
      <c r="D1014" s="5">
        <v>-0.08027513816548</v>
      </c>
      <c r="E1014" s="5">
        <v>-0.273541744655513</v>
      </c>
      <c r="F1014" s="5">
        <v>-0.118713806766229</v>
      </c>
      <c r="G1014" s="5">
        <v>-0.309620309077126</v>
      </c>
      <c r="H1014" s="5">
        <v>-0.39891090930446</v>
      </c>
      <c r="I1014" s="5">
        <v>0.153844619049709</v>
      </c>
    </row>
    <row r="1015">
      <c r="A1015" s="2" t="s">
        <v>1040</v>
      </c>
      <c r="B1015" s="8" t="str">
        <f>HYPERLINK("https://www.suredividend.com/sure-analysis-research-database/","Madison Square Garden Entertainment Corp.")</f>
        <v>Madison Square Garden Entertainment Corp.</v>
      </c>
      <c r="C1015" s="5">
        <v>0.067002201950298</v>
      </c>
      <c r="D1015" s="5">
        <v>0.141318977119784</v>
      </c>
      <c r="E1015" s="5">
        <v>-0.042078508895792</v>
      </c>
      <c r="F1015" s="5">
        <v>0.067002201950298</v>
      </c>
      <c r="G1015" s="5">
        <v>0.06</v>
      </c>
      <c r="H1015" s="5">
        <v>0.06</v>
      </c>
      <c r="I1015" s="5">
        <v>0.06</v>
      </c>
    </row>
    <row r="1016">
      <c r="A1016" s="2" t="s">
        <v>1041</v>
      </c>
      <c r="B1016" s="8" t="str">
        <f>HYPERLINK("https://www.suredividend.com/sure-analysis-research-database/","Microstrategy Inc.")</f>
        <v>Microstrategy Inc.</v>
      </c>
      <c r="C1016" s="5">
        <v>-0.186520376175548</v>
      </c>
      <c r="D1016" s="5">
        <v>0.263177303569672</v>
      </c>
      <c r="E1016" s="5">
        <v>0.182232346241457</v>
      </c>
      <c r="F1016" s="5">
        <v>-0.186520376175548</v>
      </c>
      <c r="G1016" s="5">
        <v>0.988736646539711</v>
      </c>
      <c r="H1016" s="5">
        <v>0.515887299011653</v>
      </c>
      <c r="I1016" s="5">
        <v>2.71599045346062</v>
      </c>
    </row>
    <row r="1017">
      <c r="A1017" s="2" t="s">
        <v>1042</v>
      </c>
      <c r="B1017" s="8" t="str">
        <f>HYPERLINK("https://www.suredividend.com/sure-analysis-research-database/","Matador Resources Co")</f>
        <v>Matador Resources Co</v>
      </c>
      <c r="C1017" s="5">
        <v>-0.022511431586352</v>
      </c>
      <c r="D1017" s="5">
        <v>-0.076623011989945</v>
      </c>
      <c r="E1017" s="5">
        <v>0.040048802577854</v>
      </c>
      <c r="F1017" s="5">
        <v>-0.022511431586352</v>
      </c>
      <c r="G1017" s="5">
        <v>-0.163642054449039</v>
      </c>
      <c r="H1017" s="5">
        <v>0.249867884601978</v>
      </c>
      <c r="I1017" s="5">
        <v>1.95101464357392</v>
      </c>
    </row>
    <row r="1018">
      <c r="A1018" s="2" t="s">
        <v>1043</v>
      </c>
      <c r="B1018" s="8" t="str">
        <f>HYPERLINK("https://www.suredividend.com/sure-analysis-research-database/","Meritage Homes Corp.")</f>
        <v>Meritage Homes Corp.</v>
      </c>
      <c r="C1018" s="5">
        <v>-0.039207807118254</v>
      </c>
      <c r="D1018" s="5">
        <v>0.503038945924004</v>
      </c>
      <c r="E1018" s="5">
        <v>0.116335841203777</v>
      </c>
      <c r="F1018" s="5">
        <v>-0.039207807118254</v>
      </c>
      <c r="G1018" s="5">
        <v>0.583431724263203</v>
      </c>
      <c r="H1018" s="5">
        <v>0.68727241934118</v>
      </c>
      <c r="I1018" s="5">
        <v>3.17353445029885</v>
      </c>
    </row>
    <row r="1019">
      <c r="A1019" s="2" t="s">
        <v>1044</v>
      </c>
      <c r="B1019" s="8" t="str">
        <f>HYPERLINK("https://www.suredividend.com/sure-analysis-research-database/","Materion Corp")</f>
        <v>Materion Corp</v>
      </c>
      <c r="C1019" s="5">
        <v>-0.084223468838853</v>
      </c>
      <c r="D1019" s="5">
        <v>0.247684867698499</v>
      </c>
      <c r="E1019" s="5">
        <v>0.029184554545399</v>
      </c>
      <c r="F1019" s="5">
        <v>-0.084223468838853</v>
      </c>
      <c r="G1019" s="5">
        <v>0.338421814579666</v>
      </c>
      <c r="H1019" s="5">
        <v>0.485545321161759</v>
      </c>
      <c r="I1019" s="5">
        <v>1.64141910058316</v>
      </c>
    </row>
    <row r="1020">
      <c r="A1020" s="2" t="s">
        <v>1045</v>
      </c>
      <c r="B1020" s="8" t="str">
        <f>HYPERLINK("https://www.suredividend.com/sure-analysis-research-database/","MACOM Technology Solutions Holdings Inc")</f>
        <v>MACOM Technology Solutions Holdings Inc</v>
      </c>
      <c r="C1020" s="5">
        <v>-0.036040882194728</v>
      </c>
      <c r="D1020" s="5">
        <v>0.244444444444444</v>
      </c>
      <c r="E1020" s="5">
        <v>0.300246698592366</v>
      </c>
      <c r="F1020" s="5">
        <v>-0.036040882194728</v>
      </c>
      <c r="G1020" s="5">
        <v>0.313012895662368</v>
      </c>
      <c r="H1020" s="5">
        <v>0.491344873501997</v>
      </c>
      <c r="I1020" s="5">
        <v>4.17619872905834</v>
      </c>
    </row>
    <row r="1021">
      <c r="A1021" s="2" t="s">
        <v>1046</v>
      </c>
      <c r="B1021" s="8" t="str">
        <f>HYPERLINK("https://www.suredividend.com/sure-analysis-research-database/","Matterport Inc")</f>
        <v>Matterport Inc</v>
      </c>
      <c r="C1021" s="5">
        <v>-0.0817843866171</v>
      </c>
      <c r="D1021" s="5">
        <v>0.247474747474747</v>
      </c>
      <c r="E1021" s="5">
        <v>-0.244648318042813</v>
      </c>
      <c r="F1021" s="5">
        <v>-0.0817843866171</v>
      </c>
      <c r="G1021" s="5">
        <v>-0.30028328611898</v>
      </c>
      <c r="H1021" s="5">
        <v>-0.709753231492361</v>
      </c>
      <c r="I1021" s="5">
        <v>-0.770471694606549</v>
      </c>
    </row>
    <row r="1022">
      <c r="A1022" s="2" t="s">
        <v>1047</v>
      </c>
      <c r="B1022" s="8" t="str">
        <f>HYPERLINK("https://www.suredividend.com/sure-analysis-research-database/","Manitowoc Co., Inc.")</f>
        <v>Manitowoc Co., Inc.</v>
      </c>
      <c r="C1022" s="5">
        <v>-0.002396644697423</v>
      </c>
      <c r="D1022" s="5">
        <v>0.351461038961038</v>
      </c>
      <c r="E1022" s="5">
        <v>-0.066704035874439</v>
      </c>
      <c r="F1022" s="5">
        <v>-0.002396644697423</v>
      </c>
      <c r="G1022" s="5">
        <v>0.259455370650529</v>
      </c>
      <c r="H1022" s="5">
        <v>-0.031976744186046</v>
      </c>
      <c r="I1022" s="5">
        <v>0.124240378122889</v>
      </c>
    </row>
    <row r="1023">
      <c r="A1023" s="2" t="s">
        <v>1048</v>
      </c>
      <c r="B1023" s="8" t="str">
        <f>HYPERLINK("https://www.suredividend.com/sure-analysis-research-database/","Minerals Technologies, Inc.")</f>
        <v>Minerals Technologies, Inc.</v>
      </c>
      <c r="C1023" s="5">
        <v>-0.065488711260692</v>
      </c>
      <c r="D1023" s="5">
        <v>0.258493509240409</v>
      </c>
      <c r="E1023" s="5">
        <v>0.12381530574387</v>
      </c>
      <c r="F1023" s="5">
        <v>-0.065488711260692</v>
      </c>
      <c r="G1023" s="5">
        <v>-0.011879978410823</v>
      </c>
      <c r="H1023" s="5">
        <v>-0.03776178539662</v>
      </c>
      <c r="I1023" s="5">
        <v>0.214172881164468</v>
      </c>
    </row>
    <row r="1024">
      <c r="A1024" s="2" t="s">
        <v>1049</v>
      </c>
      <c r="B1024" s="8" t="str">
        <f>HYPERLINK("https://www.suredividend.com/sure-analysis-research-database/","Mullen Automotive Inc")</f>
        <v>Mullen Automotive Inc</v>
      </c>
      <c r="C1024" s="5">
        <v>-0.454863540937718</v>
      </c>
      <c r="D1024" s="5">
        <v>-0.721885041056765</v>
      </c>
      <c r="E1024" s="5">
        <v>-0.930533261993936</v>
      </c>
      <c r="F1024" s="5">
        <v>-0.454863540937718</v>
      </c>
      <c r="G1024" s="5">
        <v>-0.998940892559736</v>
      </c>
      <c r="H1024" s="5">
        <v>-0.999878090766823</v>
      </c>
      <c r="I1024" s="5">
        <v>0.313659359190556</v>
      </c>
    </row>
    <row r="1025">
      <c r="A1025" s="2" t="s">
        <v>1050</v>
      </c>
      <c r="B1025" s="8" t="str">
        <f>HYPERLINK("https://www.suredividend.com/sure-analysis-research-database/","Murphy Oil Corp.")</f>
        <v>Murphy Oil Corp.</v>
      </c>
      <c r="C1025" s="5">
        <v>-0.086263478668542</v>
      </c>
      <c r="D1025" s="5">
        <v>-0.13407988768363</v>
      </c>
      <c r="E1025" s="5">
        <v>-0.070814074616156</v>
      </c>
      <c r="F1025" s="5">
        <v>-0.086263478668542</v>
      </c>
      <c r="G1025" s="5">
        <v>-0.098369756296145</v>
      </c>
      <c r="H1025" s="5">
        <v>0.312418142211178</v>
      </c>
      <c r="I1025" s="5">
        <v>0.676746646936861</v>
      </c>
    </row>
    <row r="1026">
      <c r="A1026" s="2" t="s">
        <v>1051</v>
      </c>
      <c r="B1026" s="8" t="str">
        <f>HYPERLINK("https://www.suredividend.com/sure-analysis-research-database/","Murphy USA Inc")</f>
        <v>Murphy USA Inc</v>
      </c>
      <c r="C1026" s="5">
        <v>-0.007123625757235</v>
      </c>
      <c r="D1026" s="5">
        <v>-0.025913903908258</v>
      </c>
      <c r="E1026" s="5">
        <v>0.174028248044225</v>
      </c>
      <c r="F1026" s="5">
        <v>-0.007123625757235</v>
      </c>
      <c r="G1026" s="5">
        <v>0.350050643106436</v>
      </c>
      <c r="H1026" s="5">
        <v>0.859104634370486</v>
      </c>
      <c r="I1026" s="5">
        <v>3.47045750148375</v>
      </c>
    </row>
    <row r="1027">
      <c r="A1027" s="2" t="s">
        <v>1052</v>
      </c>
      <c r="B1027" s="8" t="str">
        <f>HYPERLINK("https://www.suredividend.com/sure-analysis-research-database/","MVB Financial Corp.")</f>
        <v>MVB Financial Corp.</v>
      </c>
      <c r="C1027" s="5">
        <v>0.00354609929078</v>
      </c>
      <c r="D1027" s="5">
        <v>0.173008372709939</v>
      </c>
      <c r="E1027" s="5">
        <v>-0.125824848351461</v>
      </c>
      <c r="F1027" s="5">
        <v>0.00354609929078</v>
      </c>
      <c r="G1027" s="5">
        <v>0.099605618479591</v>
      </c>
      <c r="H1027" s="5">
        <v>-0.380092876544291</v>
      </c>
      <c r="I1027" s="5">
        <v>0.560572117870067</v>
      </c>
    </row>
    <row r="1028">
      <c r="A1028" s="2" t="s">
        <v>1053</v>
      </c>
      <c r="B1028" s="8" t="str">
        <f>HYPERLINK("https://www.suredividend.com/sure-analysis-research-database/","Microvision Inc.")</f>
        <v>Microvision Inc.</v>
      </c>
      <c r="C1028" s="5">
        <v>-0.052631578947368</v>
      </c>
      <c r="D1028" s="5">
        <v>0.3125</v>
      </c>
      <c r="E1028" s="5">
        <v>-0.328</v>
      </c>
      <c r="F1028" s="5">
        <v>-0.052631578947368</v>
      </c>
      <c r="G1028" s="5">
        <v>-0.041825095057034</v>
      </c>
      <c r="H1028" s="5">
        <v>-0.106382978723404</v>
      </c>
      <c r="I1028" s="5">
        <v>2.07317073170731</v>
      </c>
    </row>
    <row r="1029">
      <c r="A1029" s="2" t="s">
        <v>1054</v>
      </c>
      <c r="B1029" s="8" t="str">
        <f>HYPERLINK("https://www.suredividend.com/sure-analysis-research-database/","Microvast Holdings Inc")</f>
        <v>Microvast Holdings Inc</v>
      </c>
      <c r="C1029" s="5">
        <v>-0.320285714285714</v>
      </c>
      <c r="D1029" s="5">
        <v>-0.256562499999999</v>
      </c>
      <c r="E1029" s="5">
        <v>-0.650788990825688</v>
      </c>
      <c r="F1029" s="5">
        <v>-0.320285714285714</v>
      </c>
      <c r="G1029" s="5">
        <v>-0.39</v>
      </c>
      <c r="H1029" s="5">
        <v>-0.814863813229572</v>
      </c>
      <c r="I1029" s="5">
        <v>-0.902599795291709</v>
      </c>
    </row>
    <row r="1030">
      <c r="A1030" s="2" t="s">
        <v>1055</v>
      </c>
      <c r="B1030" s="8" t="str">
        <f>HYPERLINK("https://www.suredividend.com/sure-analysis-MWA/","Mueller Water Products Inc")</f>
        <v>Mueller Water Products Inc</v>
      </c>
      <c r="C1030" s="5">
        <v>-0.019444444444444</v>
      </c>
      <c r="D1030" s="5">
        <v>0.137123207138427</v>
      </c>
      <c r="E1030" s="5">
        <v>-0.107988931987314</v>
      </c>
      <c r="F1030" s="5">
        <v>-0.019444444444444</v>
      </c>
      <c r="G1030" s="5">
        <v>0.159458371995631</v>
      </c>
      <c r="H1030" s="5">
        <v>0.159848858222441</v>
      </c>
      <c r="I1030" s="5">
        <v>0.612092980773621</v>
      </c>
    </row>
    <row r="1031">
      <c r="A1031" s="2" t="s">
        <v>1056</v>
      </c>
      <c r="B1031" s="8" t="str">
        <f>HYPERLINK("https://www.suredividend.com/sure-analysis-research-database/","MaxCyte Inc")</f>
        <v>MaxCyte Inc</v>
      </c>
      <c r="C1031" s="5">
        <v>0.0</v>
      </c>
      <c r="D1031" s="5">
        <v>0.0</v>
      </c>
      <c r="E1031" s="5">
        <v>0.0</v>
      </c>
      <c r="F1031" s="5">
        <v>0.0</v>
      </c>
      <c r="G1031" s="5">
        <v>0.0</v>
      </c>
      <c r="H1031" s="5">
        <v>0.0</v>
      </c>
      <c r="I1031" s="5">
        <v>0.0</v>
      </c>
    </row>
    <row r="1032">
      <c r="A1032" s="2" t="s">
        <v>1057</v>
      </c>
      <c r="B1032" s="8" t="str">
        <f>HYPERLINK("https://www.suredividend.com/sure-analysis-research-database/","MaxLinear Inc")</f>
        <v>MaxLinear Inc</v>
      </c>
      <c r="C1032" s="5">
        <v>-0.062684055532183</v>
      </c>
      <c r="D1032" s="5">
        <v>0.493297587131367</v>
      </c>
      <c r="E1032" s="5">
        <v>-0.104501607717041</v>
      </c>
      <c r="F1032" s="5">
        <v>-0.062684055532183</v>
      </c>
      <c r="G1032" s="5">
        <v>-0.460532687651331</v>
      </c>
      <c r="H1032" s="5">
        <v>-0.59402332361516</v>
      </c>
      <c r="I1032" s="5">
        <v>0.183218268720127</v>
      </c>
    </row>
    <row r="1033">
      <c r="A1033" s="2" t="s">
        <v>1058</v>
      </c>
      <c r="B1033" s="8" t="str">
        <f>HYPERLINK("https://www.suredividend.com/sure-analysis-research-database/","Myers Industries Inc.")</f>
        <v>Myers Industries Inc.</v>
      </c>
      <c r="C1033" s="5">
        <v>-0.042966751918158</v>
      </c>
      <c r="D1033" s="5">
        <v>0.1426931157473</v>
      </c>
      <c r="E1033" s="5">
        <v>-0.033619304887686</v>
      </c>
      <c r="F1033" s="5">
        <v>-0.042966751918158</v>
      </c>
      <c r="G1033" s="5">
        <v>-0.187715444260174</v>
      </c>
      <c r="H1033" s="5">
        <v>0.117461910137189</v>
      </c>
      <c r="I1033" s="5">
        <v>0.353550991470675</v>
      </c>
    </row>
    <row r="1034">
      <c r="A1034" s="2" t="s">
        <v>1059</v>
      </c>
      <c r="B1034" s="8" t="str">
        <f>HYPERLINK("https://www.suredividend.com/sure-analysis-research-database/","First Western Financial Inc")</f>
        <v>First Western Financial Inc</v>
      </c>
      <c r="C1034" s="5">
        <v>-0.093292990418557</v>
      </c>
      <c r="D1034" s="5">
        <v>0.350864012021036</v>
      </c>
      <c r="E1034" s="5">
        <v>-0.145030908226343</v>
      </c>
      <c r="F1034" s="5">
        <v>-0.093292990418557</v>
      </c>
      <c r="G1034" s="5">
        <v>-0.321509433962264</v>
      </c>
      <c r="H1034" s="5">
        <v>-0.443688118811881</v>
      </c>
      <c r="I1034" s="5">
        <v>0.307636363636363</v>
      </c>
    </row>
    <row r="1035">
      <c r="A1035" s="2" t="s">
        <v>1060</v>
      </c>
      <c r="B1035" s="8" t="str">
        <f>HYPERLINK("https://www.suredividend.com/sure-analysis-research-database/","Myriad Genetics, Inc.")</f>
        <v>Myriad Genetics, Inc.</v>
      </c>
      <c r="C1035" s="5">
        <v>0.187042842215255</v>
      </c>
      <c r="D1035" s="5">
        <v>0.633357296908698</v>
      </c>
      <c r="E1035" s="5">
        <v>0.012929112795363</v>
      </c>
      <c r="F1035" s="5">
        <v>0.187042842215255</v>
      </c>
      <c r="G1035" s="5">
        <v>0.115365733922434</v>
      </c>
      <c r="H1035" s="5">
        <v>-0.094098883572567</v>
      </c>
      <c r="I1035" s="5">
        <v>-0.176214648295866</v>
      </c>
    </row>
    <row r="1036">
      <c r="A1036" s="2" t="s">
        <v>1061</v>
      </c>
      <c r="B1036" s="8" t="str">
        <f>HYPERLINK("https://www.suredividend.com/sure-analysis-research-database/","PLAYSTUDIOS Inc")</f>
        <v>PLAYSTUDIOS Inc</v>
      </c>
      <c r="C1036" s="5">
        <v>-0.136531365313653</v>
      </c>
      <c r="D1036" s="5">
        <v>-0.142857142857142</v>
      </c>
      <c r="E1036" s="5">
        <v>-0.5125</v>
      </c>
      <c r="F1036" s="5">
        <v>-0.136531365313653</v>
      </c>
      <c r="G1036" s="5">
        <v>-0.490196078431372</v>
      </c>
      <c r="H1036" s="5">
        <v>-0.432038834951456</v>
      </c>
      <c r="I1036" s="5">
        <v>-0.77170731707317</v>
      </c>
    </row>
    <row r="1037">
      <c r="A1037" s="2" t="s">
        <v>1062</v>
      </c>
      <c r="B1037" s="8" t="str">
        <f>HYPERLINK("https://www.suredividend.com/sure-analysis-research-database/","MYR Group Inc")</f>
        <v>MYR Group Inc</v>
      </c>
      <c r="C1037" s="5">
        <v>0.025928230657539</v>
      </c>
      <c r="D1037" s="5">
        <v>0.326598122485471</v>
      </c>
      <c r="E1037" s="5">
        <v>0.026780153622586</v>
      </c>
      <c r="F1037" s="5">
        <v>0.025928230657539</v>
      </c>
      <c r="G1037" s="5">
        <v>0.525287828947368</v>
      </c>
      <c r="H1037" s="5">
        <v>0.626438671489641</v>
      </c>
      <c r="I1037" s="5">
        <v>3.92139303482587</v>
      </c>
    </row>
    <row r="1038">
      <c r="A1038" s="2" t="s">
        <v>1063</v>
      </c>
      <c r="B1038" s="8" t="str">
        <f>HYPERLINK("https://www.suredividend.com/sure-analysis-research-database/","N-able Inc")</f>
        <v>N-able Inc</v>
      </c>
      <c r="C1038" s="5">
        <v>0.008301886792452</v>
      </c>
      <c r="D1038" s="5">
        <v>0.047843137254901</v>
      </c>
      <c r="E1038" s="5">
        <v>-0.046395431834403</v>
      </c>
      <c r="F1038" s="5">
        <v>0.008301886792452</v>
      </c>
      <c r="G1038" s="5">
        <v>0.307240704500978</v>
      </c>
      <c r="H1038" s="5">
        <v>0.267552182163187</v>
      </c>
      <c r="I1038" s="5">
        <v>-0.165</v>
      </c>
    </row>
    <row r="1039">
      <c r="A1039" s="2" t="s">
        <v>1064</v>
      </c>
      <c r="B1039" s="8" t="str">
        <f>HYPERLINK("https://www.suredividend.com/sure-analysis-research-database/","Duckhorn Portfolio Inc (The)")</f>
        <v>Duckhorn Portfolio Inc (The)</v>
      </c>
      <c r="C1039" s="5">
        <v>-0.089340101522842</v>
      </c>
      <c r="D1039" s="5">
        <v>-0.125730994152046</v>
      </c>
      <c r="E1039" s="5">
        <v>-0.297021943573667</v>
      </c>
      <c r="F1039" s="5">
        <v>-0.089340101522842</v>
      </c>
      <c r="G1039" s="5">
        <v>-0.453382084095064</v>
      </c>
      <c r="H1039" s="5">
        <v>-0.534992223950233</v>
      </c>
      <c r="I1039" s="5">
        <v>-0.477881257275902</v>
      </c>
    </row>
    <row r="1040">
      <c r="A1040" s="2" t="s">
        <v>1065</v>
      </c>
      <c r="B1040" s="8" t="str">
        <f>HYPERLINK("https://www.suredividend.com/sure-analysis-research-database/","Inari Medical Inc")</f>
        <v>Inari Medical Inc</v>
      </c>
      <c r="C1040" s="5">
        <v>-0.107054836722119</v>
      </c>
      <c r="D1040" s="5">
        <v>0.002074330164217</v>
      </c>
      <c r="E1040" s="5">
        <v>-0.001722059583261</v>
      </c>
      <c r="F1040" s="5">
        <v>-0.107054836722119</v>
      </c>
      <c r="G1040" s="5">
        <v>-0.01193114027612</v>
      </c>
      <c r="H1040" s="5">
        <v>-0.161434977578475</v>
      </c>
      <c r="I1040" s="5">
        <v>0.363679134321336</v>
      </c>
    </row>
    <row r="1041">
      <c r="A1041" s="2" t="s">
        <v>1066</v>
      </c>
      <c r="B1041" s="8" t="str">
        <f>HYPERLINK("https://www.suredividend.com/sure-analysis-research-database/","Nordic American Tankers Ltd")</f>
        <v>Nordic American Tankers Ltd</v>
      </c>
      <c r="C1041" s="5">
        <v>0.054761904761904</v>
      </c>
      <c r="D1041" s="5">
        <v>-0.057827686679852</v>
      </c>
      <c r="E1041" s="5">
        <v>0.094719153878468</v>
      </c>
      <c r="F1041" s="5">
        <v>0.054761904761904</v>
      </c>
      <c r="G1041" s="5">
        <v>0.682108140947752</v>
      </c>
      <c r="H1041" s="5">
        <v>2.45661672908863</v>
      </c>
      <c r="I1041" s="5">
        <v>2.06786703601108</v>
      </c>
    </row>
    <row r="1042">
      <c r="A1042" s="2" t="s">
        <v>1067</v>
      </c>
      <c r="B1042" s="8" t="str">
        <f>HYPERLINK("https://www.suredividend.com/sure-analysis-research-database/","Nature`s Sunshine Products, Inc.")</f>
        <v>Nature`s Sunshine Products, Inc.</v>
      </c>
      <c r="C1042" s="5">
        <v>0.031231925968768</v>
      </c>
      <c r="D1042" s="5">
        <v>0.03004043905257</v>
      </c>
      <c r="E1042" s="5">
        <v>0.269943019943019</v>
      </c>
      <c r="F1042" s="5">
        <v>0.031231925968768</v>
      </c>
      <c r="G1042" s="5">
        <v>0.775896414342629</v>
      </c>
      <c r="H1042" s="5">
        <v>0.013644115974985</v>
      </c>
      <c r="I1042" s="5">
        <v>1.34161588569027</v>
      </c>
    </row>
    <row r="1043">
      <c r="A1043" s="2" t="s">
        <v>1068</v>
      </c>
      <c r="B1043" s="8" t="str">
        <f>HYPERLINK("https://www.suredividend.com/sure-analysis-research-database/","Nautilus Biotechnology Inc")</f>
        <v>Nautilus Biotechnology Inc</v>
      </c>
      <c r="C1043" s="5">
        <v>-0.003344481605351</v>
      </c>
      <c r="D1043" s="5">
        <v>0.236514522821576</v>
      </c>
      <c r="E1043" s="5">
        <v>-0.029315960912052</v>
      </c>
      <c r="F1043" s="5">
        <v>-0.003344481605351</v>
      </c>
      <c r="G1043" s="5">
        <v>0.497487437185929</v>
      </c>
      <c r="H1043" s="5">
        <v>-0.229974160206718</v>
      </c>
      <c r="I1043" s="5">
        <v>-0.729090909090909</v>
      </c>
    </row>
    <row r="1044">
      <c r="A1044" s="2" t="s">
        <v>1069</v>
      </c>
      <c r="B1044" s="8" t="str">
        <f>HYPERLINK("https://www.suredividend.com/sure-analysis-NAVI/","Navient Corp")</f>
        <v>Navient Corp</v>
      </c>
      <c r="C1044" s="5">
        <v>-0.024167561761546</v>
      </c>
      <c r="D1044" s="5">
        <v>0.175633269709812</v>
      </c>
      <c r="E1044" s="5">
        <v>-0.012392651375149</v>
      </c>
      <c r="F1044" s="5">
        <v>-0.024167561761546</v>
      </c>
      <c r="G1044" s="5">
        <v>0.036455629773713</v>
      </c>
      <c r="H1044" s="5">
        <v>0.216474967529424</v>
      </c>
      <c r="I1044" s="5">
        <v>1.04129780254347</v>
      </c>
    </row>
    <row r="1045">
      <c r="A1045" s="2" t="s">
        <v>1070</v>
      </c>
      <c r="B1045" s="8" t="str">
        <f>HYPERLINK("https://www.suredividend.com/sure-analysis-research-database/","National Bank Holdings Corp")</f>
        <v>National Bank Holdings Corp</v>
      </c>
      <c r="C1045" s="5">
        <v>-0.015595590212422</v>
      </c>
      <c r="D1045" s="5">
        <v>0.203650734157904</v>
      </c>
      <c r="E1045" s="5">
        <v>0.085805634563082</v>
      </c>
      <c r="F1045" s="5">
        <v>-0.015595590212422</v>
      </c>
      <c r="G1045" s="5">
        <v>-0.101509101484559</v>
      </c>
      <c r="H1045" s="5">
        <v>-0.150177810378926</v>
      </c>
      <c r="I1045" s="5">
        <v>0.290593228703977</v>
      </c>
    </row>
    <row r="1046">
      <c r="A1046" s="2" t="s">
        <v>1071</v>
      </c>
      <c r="B1046" s="8" t="str">
        <f>HYPERLINK("https://www.suredividend.com/sure-analysis-research-database/","Northeast Bank")</f>
        <v>Northeast Bank</v>
      </c>
      <c r="C1046" s="5">
        <v>0.034970103279579</v>
      </c>
      <c r="D1046" s="5">
        <v>0.201749606044093</v>
      </c>
      <c r="E1046" s="5">
        <v>0.183583988462542</v>
      </c>
      <c r="F1046" s="5">
        <v>0.034970103279579</v>
      </c>
      <c r="G1046" s="5">
        <v>0.235924909772288</v>
      </c>
      <c r="H1046" s="5">
        <v>0.563363859800857</v>
      </c>
      <c r="I1046" s="5">
        <v>1.69854018046959</v>
      </c>
    </row>
    <row r="1047">
      <c r="A1047" s="2" t="s">
        <v>1072</v>
      </c>
      <c r="B1047" s="8" t="str">
        <f>HYPERLINK("https://www.suredividend.com/sure-analysis-research-database/","Nabors Industries Ltd")</f>
        <v>Nabors Industries Ltd</v>
      </c>
      <c r="C1047" s="5">
        <v>0.08906039446282</v>
      </c>
      <c r="D1047" s="5">
        <v>-0.135466303607896</v>
      </c>
      <c r="E1047" s="5">
        <v>-0.258363226829064</v>
      </c>
      <c r="F1047" s="5">
        <v>0.08906039446282</v>
      </c>
      <c r="G1047" s="5">
        <v>-0.4915641978839</v>
      </c>
      <c r="H1047" s="5">
        <v>-0.172253258845437</v>
      </c>
      <c r="I1047" s="5">
        <v>-0.373293564380515</v>
      </c>
    </row>
    <row r="1048">
      <c r="A1048" s="2" t="s">
        <v>1073</v>
      </c>
      <c r="B1048" s="8" t="str">
        <f>HYPERLINK("https://www.suredividend.com/sure-analysis-research-database/","NBT Bancorp. Inc.")</f>
        <v>NBT Bancorp. Inc.</v>
      </c>
      <c r="C1048" s="5">
        <v>-0.094249582438558</v>
      </c>
      <c r="D1048" s="5">
        <v>0.16747194345942</v>
      </c>
      <c r="E1048" s="5">
        <v>0.039000851236208</v>
      </c>
      <c r="F1048" s="5">
        <v>-0.094249582438558</v>
      </c>
      <c r="G1048" s="5">
        <v>0.058912466769508</v>
      </c>
      <c r="H1048" s="5">
        <v>0.068786971835942</v>
      </c>
      <c r="I1048" s="5">
        <v>0.248302328563958</v>
      </c>
    </row>
    <row r="1049">
      <c r="A1049" s="2" t="s">
        <v>1074</v>
      </c>
      <c r="B1049" s="8" t="str">
        <f>HYPERLINK("https://www.suredividend.com/sure-analysis-NC/","Nacco Industries Inc.")</f>
        <v>Nacco Industries Inc.</v>
      </c>
      <c r="C1049" s="5">
        <v>0.012876712328767</v>
      </c>
      <c r="D1049" s="5">
        <v>0.093654320038101</v>
      </c>
      <c r="E1049" s="5">
        <v>0.017274683425879</v>
      </c>
      <c r="F1049" s="5">
        <v>0.012876712328767</v>
      </c>
      <c r="G1049" s="5">
        <v>0.015757009602571</v>
      </c>
      <c r="H1049" s="5">
        <v>0.269482626596296</v>
      </c>
      <c r="I1049" s="5">
        <v>0.205270982212717</v>
      </c>
    </row>
    <row r="1050">
      <c r="A1050" s="2" t="s">
        <v>1075</v>
      </c>
      <c r="B1050" s="8" t="str">
        <f>HYPERLINK("https://www.suredividend.com/sure-analysis-research-database/","Noodles &amp; Company")</f>
        <v>Noodles &amp; Company</v>
      </c>
      <c r="C1050" s="5">
        <v>-0.117460317460317</v>
      </c>
      <c r="D1050" s="5">
        <v>0.28110599078341</v>
      </c>
      <c r="E1050" s="5">
        <v>-0.234159779614325</v>
      </c>
      <c r="F1050" s="5">
        <v>-0.117460317460317</v>
      </c>
      <c r="G1050" s="5">
        <v>-0.538205980066445</v>
      </c>
      <c r="H1050" s="5">
        <v>-0.656365883807169</v>
      </c>
      <c r="I1050" s="5">
        <v>-0.618131868131868</v>
      </c>
    </row>
    <row r="1051">
      <c r="A1051" s="2" t="s">
        <v>1076</v>
      </c>
      <c r="B1051" s="8" t="str">
        <f>HYPERLINK("https://www.suredividend.com/sure-analysis-research-database/","Noble Corp Plc")</f>
        <v>Noble Corp Plc</v>
      </c>
      <c r="C1051" s="5">
        <v>-0.063538205980066</v>
      </c>
      <c r="D1051" s="5">
        <v>-0.018955263489908</v>
      </c>
      <c r="E1051" s="5">
        <v>-0.118736138657391</v>
      </c>
      <c r="F1051" s="5">
        <v>-0.063538205980066</v>
      </c>
      <c r="G1051" s="5">
        <v>0.115494490545503</v>
      </c>
      <c r="H1051" s="5">
        <v>0.531518376522604</v>
      </c>
      <c r="I1051" s="5">
        <v>0.531518376522604</v>
      </c>
    </row>
    <row r="1052">
      <c r="A1052" s="2" t="s">
        <v>1077</v>
      </c>
      <c r="B1052" s="8" t="str">
        <f>HYPERLINK("https://www.suredividend.com/sure-analysis-research-database/","Neogenomics Inc.")</f>
        <v>Neogenomics Inc.</v>
      </c>
      <c r="C1052" s="5">
        <v>0.013597033374536</v>
      </c>
      <c r="D1052" s="5">
        <v>0.204996326230712</v>
      </c>
      <c r="E1052" s="5">
        <v>-0.049826187717265</v>
      </c>
      <c r="F1052" s="5">
        <v>0.013597033374536</v>
      </c>
      <c r="G1052" s="5">
        <v>0.424847958297132</v>
      </c>
      <c r="H1052" s="5">
        <v>-0.225684608120868</v>
      </c>
      <c r="I1052" s="5">
        <v>-0.01619676064787</v>
      </c>
    </row>
    <row r="1053">
      <c r="A1053" s="2" t="s">
        <v>1078</v>
      </c>
      <c r="B1053" s="8" t="str">
        <f>HYPERLINK("https://www.suredividend.com/sure-analysis-research-database/","Neogen Corp.")</f>
        <v>Neogen Corp.</v>
      </c>
      <c r="C1053" s="5">
        <v>-0.198408751864743</v>
      </c>
      <c r="D1053" s="5">
        <v>0.052219321148825</v>
      </c>
      <c r="E1053" s="5">
        <v>-0.301862278042442</v>
      </c>
      <c r="F1053" s="5">
        <v>-0.198408751864743</v>
      </c>
      <c r="G1053" s="5">
        <v>-0.195608782435129</v>
      </c>
      <c r="H1053" s="5">
        <v>-0.540216771249286</v>
      </c>
      <c r="I1053" s="5">
        <v>-0.451234042553191</v>
      </c>
    </row>
    <row r="1054">
      <c r="A1054" s="2" t="s">
        <v>1079</v>
      </c>
      <c r="B1054" s="8" t="str">
        <f>HYPERLINK("https://www.suredividend.com/sure-analysis-research-database/","Eneti Inc")</f>
        <v>Eneti Inc</v>
      </c>
      <c r="C1054" s="5">
        <v>0.083173996175908</v>
      </c>
      <c r="D1054" s="5">
        <v>0.125090612990675</v>
      </c>
      <c r="E1054" s="5">
        <v>-0.042864142463716</v>
      </c>
      <c r="F1054" s="5">
        <v>0.132026457246767</v>
      </c>
      <c r="G1054" s="5">
        <v>0.163280183167859</v>
      </c>
      <c r="H1054" s="5">
        <v>0.529427645788336</v>
      </c>
      <c r="I1054" s="5">
        <v>-0.581718167386569</v>
      </c>
    </row>
    <row r="1055">
      <c r="A1055" s="2" t="s">
        <v>1080</v>
      </c>
      <c r="B1055" s="8" t="str">
        <f>HYPERLINK("https://www.suredividend.com/sure-analysis-research-database/","NexTier Oilfield Solutions Inc")</f>
        <v>NexTier Oilfield Solutions Inc</v>
      </c>
      <c r="C1055" s="5">
        <v>-0.10989932885906</v>
      </c>
      <c r="D1055" s="5">
        <v>0.407161803713527</v>
      </c>
      <c r="E1055" s="5">
        <v>0.16210295728368</v>
      </c>
      <c r="F1055" s="5">
        <v>0.148268398268398</v>
      </c>
      <c r="G1055" s="5">
        <v>0.132337246531483</v>
      </c>
      <c r="H1055" s="5">
        <v>1.94722222222222</v>
      </c>
      <c r="I1055" s="5">
        <v>-0.135993485342019</v>
      </c>
    </row>
    <row r="1056">
      <c r="A1056" s="2" t="s">
        <v>1081</v>
      </c>
      <c r="B1056" s="8" t="str">
        <f>HYPERLINK("https://www.suredividend.com/sure-analysis-research-database/","NextDecade Corporation")</f>
        <v>NextDecade Corporation</v>
      </c>
      <c r="C1056" s="5">
        <v>0.069182389937106</v>
      </c>
      <c r="D1056" s="5">
        <v>0.172413793103448</v>
      </c>
      <c r="E1056" s="5">
        <v>-0.089285714285714</v>
      </c>
      <c r="F1056" s="5">
        <v>0.069182389937106</v>
      </c>
      <c r="G1056" s="5">
        <v>-0.113043478260869</v>
      </c>
      <c r="H1056" s="5">
        <v>1.3394495412844</v>
      </c>
      <c r="I1056" s="5">
        <v>0.328125</v>
      </c>
    </row>
    <row r="1057">
      <c r="A1057" s="2" t="s">
        <v>1082</v>
      </c>
      <c r="B1057" s="8" t="str">
        <f>HYPERLINK("https://www.suredividend.com/sure-analysis-research-database/","Northfield Bancorp Inc")</f>
        <v>Northfield Bancorp Inc</v>
      </c>
      <c r="C1057" s="5">
        <v>0.052464228934817</v>
      </c>
      <c r="D1057" s="5">
        <v>0.612392527461821</v>
      </c>
      <c r="E1057" s="5">
        <v>0.127758707336394</v>
      </c>
      <c r="F1057" s="5">
        <v>0.052464228934817</v>
      </c>
      <c r="G1057" s="5">
        <v>-0.005662616218814</v>
      </c>
      <c r="H1057" s="5">
        <v>-0.053223972597841</v>
      </c>
      <c r="I1057" s="5">
        <v>0.153460818051138</v>
      </c>
    </row>
    <row r="1058">
      <c r="A1058" s="2" t="s">
        <v>1083</v>
      </c>
      <c r="B1058" s="8" t="str">
        <f>HYPERLINK("https://www.suredividend.com/sure-analysis-research-database/","Novagold Resources Inc.")</f>
        <v>Novagold Resources Inc.</v>
      </c>
      <c r="C1058" s="5">
        <v>-0.251336898395722</v>
      </c>
      <c r="D1058" s="5">
        <v>-0.237057220708446</v>
      </c>
      <c r="E1058" s="5">
        <v>-0.357798165137614</v>
      </c>
      <c r="F1058" s="5">
        <v>-0.251336898395722</v>
      </c>
      <c r="G1058" s="5">
        <v>-0.556962025316455</v>
      </c>
      <c r="H1058" s="5">
        <v>-0.544715447154471</v>
      </c>
      <c r="I1058" s="5">
        <v>-0.257294429708222</v>
      </c>
    </row>
    <row r="1059">
      <c r="A1059" s="2" t="s">
        <v>1084</v>
      </c>
      <c r="B1059" s="8" t="str">
        <f>HYPERLINK("https://www.suredividend.com/sure-analysis-research-database/","Ngm Biopharmaceuticals Inc")</f>
        <v>Ngm Biopharmaceuticals Inc</v>
      </c>
      <c r="C1059" s="5">
        <v>0.79278230500582</v>
      </c>
      <c r="D1059" s="5">
        <v>1.00808449602294</v>
      </c>
      <c r="E1059" s="5">
        <v>-0.330434782608695</v>
      </c>
      <c r="F1059" s="5">
        <v>0.79278230500582</v>
      </c>
      <c r="G1059" s="5">
        <v>-0.697445972495088</v>
      </c>
      <c r="H1059" s="5">
        <v>-0.899346405228758</v>
      </c>
      <c r="I1059" s="5">
        <v>-0.895238095238095</v>
      </c>
    </row>
    <row r="1060">
      <c r="A1060" s="2" t="s">
        <v>1085</v>
      </c>
      <c r="B1060" s="8" t="str">
        <f>HYPERLINK("https://www.suredividend.com/sure-analysis-research-database/","NeoGames SA")</f>
        <v>NeoGames SA</v>
      </c>
      <c r="C1060" s="5">
        <v>-0.018512050296891</v>
      </c>
      <c r="D1060" s="5">
        <v>0.104559748427673</v>
      </c>
      <c r="E1060" s="5">
        <v>0.028550512445095</v>
      </c>
      <c r="F1060" s="5">
        <v>-0.018512050296891</v>
      </c>
      <c r="G1060" s="5">
        <v>1.248</v>
      </c>
      <c r="H1060" s="5">
        <v>0.264057579847053</v>
      </c>
      <c r="I1060" s="5">
        <v>0.284865112025605</v>
      </c>
    </row>
    <row r="1061">
      <c r="A1061" s="2" t="s">
        <v>1086</v>
      </c>
      <c r="B1061" s="8" t="str">
        <f>HYPERLINK("https://www.suredividend.com/sure-analysis-research-database/","Natural Grocers by Vitamin Cottage Inc")</f>
        <v>Natural Grocers by Vitamin Cottage Inc</v>
      </c>
      <c r="C1061" s="5">
        <v>-0.022499999999999</v>
      </c>
      <c r="D1061" s="5">
        <v>0.2738023488785</v>
      </c>
      <c r="E1061" s="5">
        <v>0.283787666116706</v>
      </c>
      <c r="F1061" s="5">
        <v>-0.022499999999999</v>
      </c>
      <c r="G1061" s="5">
        <v>0.655114027197206</v>
      </c>
      <c r="H1061" s="5">
        <v>0.181447348542076</v>
      </c>
      <c r="I1061" s="5">
        <v>0.282966244206554</v>
      </c>
    </row>
    <row r="1062">
      <c r="A1062" s="2" t="s">
        <v>1087</v>
      </c>
      <c r="B1062" s="8" t="str">
        <f>HYPERLINK("https://www.suredividend.com/sure-analysis-research-database/","Ingevity Corp")</f>
        <v>Ingevity Corp</v>
      </c>
      <c r="C1062" s="5">
        <v>-0.032189750105887</v>
      </c>
      <c r="D1062" s="5">
        <v>0.157255001266143</v>
      </c>
      <c r="E1062" s="5">
        <v>-0.278952350899337</v>
      </c>
      <c r="F1062" s="5">
        <v>-0.032189750105887</v>
      </c>
      <c r="G1062" s="5">
        <v>-0.431521333499191</v>
      </c>
      <c r="H1062" s="5">
        <v>-0.296381832178598</v>
      </c>
      <c r="I1062" s="5">
        <v>-0.500218722659667</v>
      </c>
    </row>
    <row r="1063">
      <c r="A1063" s="2" t="s">
        <v>1088</v>
      </c>
      <c r="B1063" s="8" t="str">
        <f>HYPERLINK("https://www.suredividend.com/sure-analysis-NHC/","National Healthcare Corp.")</f>
        <v>National Healthcare Corp.</v>
      </c>
      <c r="C1063" s="5">
        <v>0.05042198658299</v>
      </c>
      <c r="D1063" s="5">
        <v>0.486781610955748</v>
      </c>
      <c r="E1063" s="5">
        <v>0.687942719834196</v>
      </c>
      <c r="F1063" s="5">
        <v>0.05042198658299</v>
      </c>
      <c r="G1063" s="5">
        <v>0.780699550056036</v>
      </c>
      <c r="H1063" s="5">
        <v>0.635323527231808</v>
      </c>
      <c r="I1063" s="5">
        <v>0.462616498579267</v>
      </c>
    </row>
    <row r="1064">
      <c r="A1064" s="2" t="s">
        <v>1089</v>
      </c>
      <c r="B1064" s="8" t="str">
        <f>HYPERLINK("https://www.suredividend.com/sure-analysis-NHI/","National Health Investors, Inc.")</f>
        <v>National Health Investors, Inc.</v>
      </c>
      <c r="C1064" s="5">
        <v>-0.029722470904207</v>
      </c>
      <c r="D1064" s="5">
        <v>0.11442438201785</v>
      </c>
      <c r="E1064" s="5">
        <v>0.018421418610857</v>
      </c>
      <c r="F1064" s="5">
        <v>-0.029722470904207</v>
      </c>
      <c r="G1064" s="5">
        <v>0.006784976442085</v>
      </c>
      <c r="H1064" s="5">
        <v>0.07264449722882</v>
      </c>
      <c r="I1064" s="5">
        <v>-0.083688849884932</v>
      </c>
    </row>
    <row r="1065">
      <c r="A1065" s="2" t="s">
        <v>1090</v>
      </c>
      <c r="B1065" s="8" t="str">
        <f>HYPERLINK("https://www.suredividend.com/sure-analysis-research-database/","Nicolet Bankshares Inc.")</f>
        <v>Nicolet Bankshares Inc.</v>
      </c>
      <c r="C1065" s="5">
        <v>0.03131212723658</v>
      </c>
      <c r="D1065" s="5">
        <v>0.202900294058397</v>
      </c>
      <c r="E1065" s="5">
        <v>0.006413155638762</v>
      </c>
      <c r="F1065" s="5">
        <v>0.03131212723658</v>
      </c>
      <c r="G1065" s="5">
        <v>0.176190503182799</v>
      </c>
      <c r="H1065" s="5">
        <v>-0.094973285356013</v>
      </c>
      <c r="I1065" s="5">
        <v>0.529953917050691</v>
      </c>
    </row>
    <row r="1066">
      <c r="A1066" s="2" t="s">
        <v>1091</v>
      </c>
      <c r="B1066" s="8" t="str">
        <f>HYPERLINK("https://www.suredividend.com/sure-analysis-NJR/","New Jersey Resources Corporation")</f>
        <v>New Jersey Resources Corporation</v>
      </c>
      <c r="C1066" s="5">
        <v>-0.055630327501121</v>
      </c>
      <c r="D1066" s="5">
        <v>0.045121442615137</v>
      </c>
      <c r="E1066" s="5">
        <v>-0.038452753999214</v>
      </c>
      <c r="F1066" s="5">
        <v>-0.055630327501121</v>
      </c>
      <c r="G1066" s="5">
        <v>-0.118008752872756</v>
      </c>
      <c r="H1066" s="5">
        <v>0.129231264417145</v>
      </c>
      <c r="I1066" s="5">
        <v>0.061169756913987</v>
      </c>
    </row>
    <row r="1067">
      <c r="A1067" s="2" t="s">
        <v>1092</v>
      </c>
      <c r="B1067" s="8" t="str">
        <f>HYPERLINK("https://www.suredividend.com/sure-analysis-research-database/","Nikola Corp")</f>
        <v>Nikola Corp</v>
      </c>
      <c r="C1067" s="5">
        <v>-0.090992226794696</v>
      </c>
      <c r="D1067" s="5">
        <v>-0.227961165048543</v>
      </c>
      <c r="E1067" s="5">
        <v>-0.649691629955947</v>
      </c>
      <c r="F1067" s="5">
        <v>-0.090992226794696</v>
      </c>
      <c r="G1067" s="5">
        <v>-0.712924187725631</v>
      </c>
      <c r="H1067" s="5">
        <v>-0.893689839572192</v>
      </c>
      <c r="I1067" s="5">
        <v>-0.919269035532994</v>
      </c>
    </row>
    <row r="1068">
      <c r="A1068" s="2" t="s">
        <v>1093</v>
      </c>
      <c r="B1068" s="8" t="str">
        <f>HYPERLINK("https://www.suredividend.com/sure-analysis-research-database/","Nektar Therapeutics")</f>
        <v>Nektar Therapeutics</v>
      </c>
      <c r="C1068" s="5">
        <v>-0.008849557522123</v>
      </c>
      <c r="D1068" s="5">
        <v>0.181933305192064</v>
      </c>
      <c r="E1068" s="5">
        <v>0.027522935779816</v>
      </c>
      <c r="F1068" s="5">
        <v>-0.008849557522123</v>
      </c>
      <c r="G1068" s="5">
        <v>-0.785440613026819</v>
      </c>
      <c r="H1068" s="5">
        <v>-0.947417840375586</v>
      </c>
      <c r="I1068" s="5">
        <v>-0.986826629028464</v>
      </c>
    </row>
    <row r="1069">
      <c r="A1069" s="2" t="s">
        <v>1094</v>
      </c>
      <c r="B1069" s="8" t="str">
        <f>HYPERLINK("https://www.suredividend.com/sure-analysis-research-database/","Nkarta Inc")</f>
        <v>Nkarta Inc</v>
      </c>
      <c r="C1069" s="5">
        <v>0.439393939393939</v>
      </c>
      <c r="D1069" s="5">
        <v>3.63414634146341</v>
      </c>
      <c r="E1069" s="5">
        <v>3.41860465116279</v>
      </c>
      <c r="F1069" s="5">
        <v>0.439393939393939</v>
      </c>
      <c r="G1069" s="5">
        <v>0.884920634920634</v>
      </c>
      <c r="H1069" s="5">
        <v>0.020408163265306</v>
      </c>
      <c r="I1069" s="5">
        <v>-0.801670146137787</v>
      </c>
    </row>
    <row r="1070">
      <c r="A1070" s="2" t="s">
        <v>1095</v>
      </c>
      <c r="B1070" s="8" t="str">
        <f>HYPERLINK("https://www.suredividend.com/sure-analysis-research-database/","NL Industries, Inc.")</f>
        <v>NL Industries, Inc.</v>
      </c>
      <c r="C1070" s="5">
        <v>-0.058823529411764</v>
      </c>
      <c r="D1070" s="5">
        <v>0.133898851068398</v>
      </c>
      <c r="E1070" s="5">
        <v>-0.063265088883369</v>
      </c>
      <c r="F1070" s="5">
        <v>-0.058823529411764</v>
      </c>
      <c r="G1070" s="5">
        <v>-0.229005738650467</v>
      </c>
      <c r="H1070" s="5">
        <v>-0.070651599957756</v>
      </c>
      <c r="I1070" s="5">
        <v>0.605839416058394</v>
      </c>
    </row>
    <row r="1071">
      <c r="A1071" s="2" t="s">
        <v>1096</v>
      </c>
      <c r="B1071" s="8" t="str">
        <f>HYPERLINK("https://www.suredividend.com/sure-analysis-research-database/","NMI Holdings Inc")</f>
        <v>NMI Holdings Inc</v>
      </c>
      <c r="C1071" s="5">
        <v>0.077493261455525</v>
      </c>
      <c r="D1071" s="5">
        <v>0.193729003359462</v>
      </c>
      <c r="E1071" s="5">
        <v>0.187523208317861</v>
      </c>
      <c r="F1071" s="5">
        <v>0.077493261455525</v>
      </c>
      <c r="G1071" s="5">
        <v>0.391039582427142</v>
      </c>
      <c r="H1071" s="5">
        <v>0.314967105263158</v>
      </c>
      <c r="I1071" s="5">
        <v>0.469669117647058</v>
      </c>
    </row>
    <row r="1072">
      <c r="A1072" s="2" t="s">
        <v>1097</v>
      </c>
      <c r="B1072" s="8" t="str">
        <f>HYPERLINK("https://www.suredividend.com/sure-analysis-research-database/","Newmark Group Inc")</f>
        <v>Newmark Group Inc</v>
      </c>
      <c r="C1072" s="5">
        <v>-0.043795620437956</v>
      </c>
      <c r="D1072" s="5">
        <v>0.933864777088869</v>
      </c>
      <c r="E1072" s="5">
        <v>0.553536222001512</v>
      </c>
      <c r="F1072" s="5">
        <v>-0.043795620437956</v>
      </c>
      <c r="G1072" s="5">
        <v>0.245217556617</v>
      </c>
      <c r="H1072" s="5">
        <v>-0.267844542717218</v>
      </c>
      <c r="I1072" s="5">
        <v>0.142196985384674</v>
      </c>
    </row>
    <row r="1073">
      <c r="A1073" s="2" t="s">
        <v>1098</v>
      </c>
      <c r="B1073" s="8" t="str">
        <f>HYPERLINK("https://www.suredividend.com/sure-analysis-research-database/","NextNav Inc")</f>
        <v>NextNav Inc</v>
      </c>
      <c r="C1073" s="5">
        <v>-0.067415730337078</v>
      </c>
      <c r="D1073" s="5">
        <v>-0.065315315315315</v>
      </c>
      <c r="E1073" s="5">
        <v>0.397306397306397</v>
      </c>
      <c r="F1073" s="5">
        <v>-0.067415730337078</v>
      </c>
      <c r="G1073" s="5">
        <v>0.426116838487972</v>
      </c>
      <c r="H1073" s="5">
        <v>-0.413841807909604</v>
      </c>
      <c r="I1073" s="5">
        <v>-0.621004566210045</v>
      </c>
    </row>
    <row r="1074">
      <c r="A1074" s="2" t="s">
        <v>1099</v>
      </c>
      <c r="B1074" s="8" t="str">
        <f>HYPERLINK("https://www.suredividend.com/sure-analysis-research-database/","Nelnet Inc")</f>
        <v>Nelnet Inc</v>
      </c>
      <c r="C1074" s="5">
        <v>9.06823849467E-4</v>
      </c>
      <c r="D1074" s="5">
        <v>0.070665109776518</v>
      </c>
      <c r="E1074" s="5">
        <v>-0.090875395361096</v>
      </c>
      <c r="F1074" s="5">
        <v>9.06823849467E-4</v>
      </c>
      <c r="G1074" s="5">
        <v>-0.050123978721916</v>
      </c>
      <c r="H1074" s="5">
        <v>0.026592584583439</v>
      </c>
      <c r="I1074" s="5">
        <v>0.807877678545835</v>
      </c>
    </row>
    <row r="1075">
      <c r="A1075" s="2" t="s">
        <v>1100</v>
      </c>
      <c r="B1075" s="8" t="str">
        <f>HYPERLINK("https://www.suredividend.com/sure-analysis-research-database/","Nano X Imaging Ltd")</f>
        <v>Nano X Imaging Ltd</v>
      </c>
      <c r="C1075" s="5">
        <v>-0.073783359497645</v>
      </c>
      <c r="D1075" s="5">
        <v>0.175298804780876</v>
      </c>
      <c r="E1075" s="5">
        <v>-0.529880478087649</v>
      </c>
      <c r="F1075" s="5">
        <v>-0.073783359497645</v>
      </c>
      <c r="G1075" s="5">
        <v>-0.361471861471861</v>
      </c>
      <c r="H1075" s="5">
        <v>-0.429951690821256</v>
      </c>
      <c r="I1075" s="5">
        <v>-0.728110599078341</v>
      </c>
    </row>
    <row r="1076">
      <c r="A1076" s="2" t="s">
        <v>1101</v>
      </c>
      <c r="B1076" s="8" t="str">
        <f>HYPERLINK("https://www.suredividend.com/sure-analysis-research-database/","NI Holdings Inc")</f>
        <v>NI Holdings Inc</v>
      </c>
      <c r="C1076" s="5">
        <v>0.046189376443418</v>
      </c>
      <c r="D1076" s="5">
        <v>0.105777054515866</v>
      </c>
      <c r="E1076" s="5">
        <v>-0.025806451612903</v>
      </c>
      <c r="F1076" s="5">
        <v>0.046189376443418</v>
      </c>
      <c r="G1076" s="5">
        <v>0.027987897125567</v>
      </c>
      <c r="H1076" s="5">
        <v>-0.262615301139446</v>
      </c>
      <c r="I1076" s="5">
        <v>-0.093999999999999</v>
      </c>
    </row>
    <row r="1077">
      <c r="A1077" s="2" t="s">
        <v>1102</v>
      </c>
      <c r="B1077" s="8" t="str">
        <f>HYPERLINK("https://www.suredividend.com/sure-analysis-research-database/","Northern Oil and Gas Inc.")</f>
        <v>Northern Oil and Gas Inc.</v>
      </c>
      <c r="C1077" s="5">
        <v>-0.065012139196115</v>
      </c>
      <c r="D1077" s="5">
        <v>-0.087517737591583</v>
      </c>
      <c r="E1077" s="5">
        <v>-0.106440793323828</v>
      </c>
      <c r="F1077" s="5">
        <v>-0.065012139196115</v>
      </c>
      <c r="G1077" s="5">
        <v>0.044920108531805</v>
      </c>
      <c r="H1077" s="5">
        <v>0.608793126656485</v>
      </c>
      <c r="I1077" s="5">
        <v>0.504340277777777</v>
      </c>
    </row>
    <row r="1078">
      <c r="A1078" s="2" t="s">
        <v>1103</v>
      </c>
      <c r="B1078" s="8" t="str">
        <f>HYPERLINK("https://www.suredividend.com/sure-analysis-research-database/","Inotiv Inc")</f>
        <v>Inotiv Inc</v>
      </c>
      <c r="C1078" s="5">
        <v>-0.059945504087193</v>
      </c>
      <c r="D1078" s="5">
        <v>0.742424242424242</v>
      </c>
      <c r="E1078" s="5">
        <v>-0.528688524590163</v>
      </c>
      <c r="F1078" s="5">
        <v>-0.059945504087193</v>
      </c>
      <c r="G1078" s="5">
        <v>-0.538152610441767</v>
      </c>
      <c r="H1078" s="5">
        <v>-0.875135722041259</v>
      </c>
      <c r="I1078" s="5">
        <v>1.44680851063829</v>
      </c>
    </row>
    <row r="1079">
      <c r="A1079" s="2" t="s">
        <v>1104</v>
      </c>
      <c r="B1079" s="8" t="str">
        <f>HYPERLINK("https://www.suredividend.com/sure-analysis-research-database/","Sunnova Energy International Inc")</f>
        <v>Sunnova Energy International Inc</v>
      </c>
      <c r="C1079" s="5">
        <v>-0.28983606557377</v>
      </c>
      <c r="D1079" s="5">
        <v>0.254924681344148</v>
      </c>
      <c r="E1079" s="5">
        <v>-0.396321070234113</v>
      </c>
      <c r="F1079" s="5">
        <v>-0.28983606557377</v>
      </c>
      <c r="G1079" s="5">
        <v>-0.436231129619989</v>
      </c>
      <c r="H1079" s="5">
        <v>-0.404617921935129</v>
      </c>
      <c r="I1079" s="5">
        <v>-0.037333333333333</v>
      </c>
    </row>
    <row r="1080">
      <c r="A1080" s="2" t="s">
        <v>1105</v>
      </c>
      <c r="B1080" s="8" t="str">
        <f>HYPERLINK("https://www.suredividend.com/sure-analysis-research-database/","Novanta Inc")</f>
        <v>Novanta Inc</v>
      </c>
      <c r="C1080" s="5">
        <v>-0.0365774003919</v>
      </c>
      <c r="D1080" s="5">
        <v>0.251929012345679</v>
      </c>
      <c r="E1080" s="5">
        <v>-0.079275905118601</v>
      </c>
      <c r="F1080" s="5">
        <v>-0.0365774003919</v>
      </c>
      <c r="G1080" s="5">
        <v>0.009205697580394</v>
      </c>
      <c r="H1080" s="5">
        <v>0.223328055492724</v>
      </c>
      <c r="I1080" s="5">
        <v>1.43948278454367</v>
      </c>
    </row>
    <row r="1081">
      <c r="A1081" s="2" t="s">
        <v>1106</v>
      </c>
      <c r="B1081" s="8" t="str">
        <f>HYPERLINK("https://www.suredividend.com/sure-analysis-research-database/","National Presto Industries, Inc.")</f>
        <v>National Presto Industries, Inc.</v>
      </c>
      <c r="C1081" s="5">
        <v>0.027404085700049</v>
      </c>
      <c r="D1081" s="5">
        <v>0.124778399018137</v>
      </c>
      <c r="E1081" s="5">
        <v>0.058249935848088</v>
      </c>
      <c r="F1081" s="5">
        <v>0.027404085700049</v>
      </c>
      <c r="G1081" s="5">
        <v>0.175997559035134</v>
      </c>
      <c r="H1081" s="5">
        <v>0.058888475216001</v>
      </c>
      <c r="I1081" s="5">
        <v>-0.215166843653775</v>
      </c>
    </row>
    <row r="1082">
      <c r="A1082" s="2" t="s">
        <v>1107</v>
      </c>
      <c r="B1082" s="8" t="str">
        <f>HYPERLINK("https://www.suredividend.com/sure-analysis-research-database/","Enpro Inc")</f>
        <v>Enpro Inc</v>
      </c>
      <c r="C1082" s="5">
        <v>-0.002679596784483</v>
      </c>
      <c r="D1082" s="5">
        <v>0.369518574621327</v>
      </c>
      <c r="E1082" s="5">
        <v>0.150041750812025</v>
      </c>
      <c r="F1082" s="5">
        <v>-0.002679596784483</v>
      </c>
      <c r="G1082" s="5">
        <v>0.369714175560345</v>
      </c>
      <c r="H1082" s="5">
        <v>0.551877501747251</v>
      </c>
      <c r="I1082" s="5">
        <v>1.59094924676504</v>
      </c>
    </row>
    <row r="1083">
      <c r="A1083" s="2" t="s">
        <v>1108</v>
      </c>
      <c r="B1083" s="8" t="str">
        <f>HYPERLINK("https://www.suredividend.com/sure-analysis-research-database/","Newpark Resources, Inc.")</f>
        <v>Newpark Resources, Inc.</v>
      </c>
      <c r="C1083" s="5">
        <v>-0.01656626506024</v>
      </c>
      <c r="D1083" s="5">
        <v>-0.067142857142857</v>
      </c>
      <c r="E1083" s="5">
        <v>0.187272727272727</v>
      </c>
      <c r="F1083" s="5">
        <v>-0.01656626506024</v>
      </c>
      <c r="G1083" s="5">
        <v>0.540094339622641</v>
      </c>
      <c r="H1083" s="5">
        <v>0.829131652661064</v>
      </c>
      <c r="I1083" s="5">
        <v>-0.21135265700483</v>
      </c>
    </row>
    <row r="1084">
      <c r="A1084" s="2" t="s">
        <v>1109</v>
      </c>
      <c r="B1084" s="8" t="str">
        <f>HYPERLINK("https://www.suredividend.com/sure-analysis-research-database/","National Research Corp")</f>
        <v>National Research Corp</v>
      </c>
      <c r="C1084" s="5">
        <v>0.012639029322548</v>
      </c>
      <c r="D1084" s="5">
        <v>-0.041993495312798</v>
      </c>
      <c r="E1084" s="5">
        <v>-0.020188135618093</v>
      </c>
      <c r="F1084" s="5">
        <v>0.012639029322548</v>
      </c>
      <c r="G1084" s="5">
        <v>-0.057065652333562</v>
      </c>
      <c r="H1084" s="5">
        <v>0.096999271588102</v>
      </c>
      <c r="I1084" s="5">
        <v>0.143597736784109</v>
      </c>
    </row>
    <row r="1085">
      <c r="A1085" s="2" t="s">
        <v>1110</v>
      </c>
      <c r="B1085" s="8" t="str">
        <f>HYPERLINK("https://www.suredividend.com/sure-analysis-research-database/","Nerdwallet Inc")</f>
        <v>Nerdwallet Inc</v>
      </c>
      <c r="C1085" s="5">
        <v>0.105298913043478</v>
      </c>
      <c r="D1085" s="5">
        <v>0.741970021413276</v>
      </c>
      <c r="E1085" s="5">
        <v>0.450089126559714</v>
      </c>
      <c r="F1085" s="5">
        <v>0.105298913043478</v>
      </c>
      <c r="G1085" s="5">
        <v>0.370682392586352</v>
      </c>
      <c r="H1085" s="5">
        <v>0.152266288951841</v>
      </c>
      <c r="I1085" s="5">
        <v>-0.425088339222614</v>
      </c>
    </row>
    <row r="1086">
      <c r="A1086" s="2" t="s">
        <v>1111</v>
      </c>
      <c r="B1086" s="8" t="str">
        <f>HYPERLINK("https://www.suredividend.com/sure-analysis-research-database/","Nerdy Inc")</f>
        <v>Nerdy Inc</v>
      </c>
      <c r="C1086" s="5">
        <v>-0.043731778425656</v>
      </c>
      <c r="D1086" s="5">
        <v>0.071895424836601</v>
      </c>
      <c r="E1086" s="5">
        <v>-0.323711340206185</v>
      </c>
      <c r="F1086" s="5">
        <v>-0.043731778425656</v>
      </c>
      <c r="G1086" s="5">
        <v>0.192727272727272</v>
      </c>
      <c r="H1086" s="5">
        <v>-0.211538461538461</v>
      </c>
      <c r="I1086" s="5">
        <v>-0.661855670103092</v>
      </c>
    </row>
    <row r="1087">
      <c r="A1087" s="2" t="s">
        <v>1112</v>
      </c>
      <c r="B1087" s="8" t="str">
        <f>HYPERLINK("https://www.suredividend.com/sure-analysis-research-database/","NexPoint Real Estate Finance Inc")</f>
        <v>NexPoint Real Estate Finance Inc</v>
      </c>
      <c r="C1087" s="5">
        <v>-0.012063492063491</v>
      </c>
      <c r="D1087" s="5">
        <v>0.104580174347616</v>
      </c>
      <c r="E1087" s="5">
        <v>-0.036102782664717</v>
      </c>
      <c r="F1087" s="5">
        <v>-0.012063492063491</v>
      </c>
      <c r="G1087" s="5">
        <v>-0.102916673873312</v>
      </c>
      <c r="H1087" s="5">
        <v>-0.041854221444977</v>
      </c>
      <c r="I1087" s="5">
        <v>0.22792342050853</v>
      </c>
    </row>
    <row r="1088">
      <c r="A1088" s="2" t="s">
        <v>1113</v>
      </c>
      <c r="B1088" s="8" t="str">
        <f>HYPERLINK("https://www.suredividend.com/sure-analysis-research-database/","Energy Vault Holdings Inc")</f>
        <v>Energy Vault Holdings Inc</v>
      </c>
      <c r="C1088" s="5">
        <v>-0.291845493562231</v>
      </c>
      <c r="D1088" s="5">
        <v>-0.136125654450261</v>
      </c>
      <c r="E1088" s="5">
        <v>-0.446308724832214</v>
      </c>
      <c r="F1088" s="5">
        <v>-0.291845493562231</v>
      </c>
      <c r="G1088" s="5">
        <v>-0.673267326732673</v>
      </c>
      <c r="H1088" s="5">
        <v>-0.824281150159744</v>
      </c>
      <c r="I1088" s="5">
        <v>-0.824281150159744</v>
      </c>
    </row>
    <row r="1089">
      <c r="A1089" s="2" t="s">
        <v>1114</v>
      </c>
      <c r="B1089" s="8" t="str">
        <f>HYPERLINK("https://www.suredividend.com/sure-analysis-research-database/","Nurix Therapeutics Inc")</f>
        <v>Nurix Therapeutics Inc</v>
      </c>
      <c r="C1089" s="5">
        <v>-0.188953488372093</v>
      </c>
      <c r="D1089" s="5">
        <v>0.902272727272726</v>
      </c>
      <c r="E1089" s="5">
        <v>-0.140657084188911</v>
      </c>
      <c r="F1089" s="5">
        <v>-0.188953488372093</v>
      </c>
      <c r="G1089" s="5">
        <v>-0.323909531502423</v>
      </c>
      <c r="H1089" s="5">
        <v>-0.526047565118912</v>
      </c>
      <c r="I1089" s="5">
        <v>-0.559705418200946</v>
      </c>
    </row>
    <row r="1090">
      <c r="A1090" s="2" t="s">
        <v>1115</v>
      </c>
      <c r="B1090" s="8" t="str">
        <f>HYPERLINK("https://www.suredividend.com/sure-analysis-research-database/","Insight Enterprises Inc.")</f>
        <v>Insight Enterprises Inc.</v>
      </c>
      <c r="C1090" s="5">
        <v>0.050962243918956</v>
      </c>
      <c r="D1090" s="5">
        <v>0.311685567373388</v>
      </c>
      <c r="E1090" s="5">
        <v>0.284896156765335</v>
      </c>
      <c r="F1090" s="5">
        <v>0.050962243918956</v>
      </c>
      <c r="G1090" s="5">
        <v>0.665503979966013</v>
      </c>
      <c r="H1090" s="5">
        <v>1.00884573894282</v>
      </c>
      <c r="I1090" s="5">
        <v>3.14928698752228</v>
      </c>
    </row>
    <row r="1091">
      <c r="A1091" s="2" t="s">
        <v>1116</v>
      </c>
      <c r="B1091" s="8" t="str">
        <f>HYPERLINK("https://www.suredividend.com/sure-analysis-NSP/","Insperity Inc")</f>
        <v>Insperity Inc</v>
      </c>
      <c r="C1091" s="5">
        <v>-0.020047773417505</v>
      </c>
      <c r="D1091" s="5">
        <v>0.207873734240439</v>
      </c>
      <c r="E1091" s="5">
        <v>-0.024181806134393</v>
      </c>
      <c r="F1091" s="5">
        <v>-0.020047773417505</v>
      </c>
      <c r="G1091" s="5">
        <v>0.078824534876076</v>
      </c>
      <c r="H1091" s="5">
        <v>0.146874176311312</v>
      </c>
      <c r="I1091" s="5">
        <v>0.232476347226364</v>
      </c>
    </row>
    <row r="1092">
      <c r="A1092" s="2" t="s">
        <v>1117</v>
      </c>
      <c r="B1092" s="8" t="str">
        <f>HYPERLINK("https://www.suredividend.com/sure-analysis-research-database/","NAPCO Security Technologies Inc")</f>
        <v>NAPCO Security Technologies Inc</v>
      </c>
      <c r="C1092" s="5">
        <v>0.04992700729927</v>
      </c>
      <c r="D1092" s="5">
        <v>0.880812159377386</v>
      </c>
      <c r="E1092" s="5">
        <v>-0.003052389652371</v>
      </c>
      <c r="F1092" s="5">
        <v>0.04992700729927</v>
      </c>
      <c r="G1092" s="5">
        <v>0.244652424926276</v>
      </c>
      <c r="H1092" s="5">
        <v>0.837459441506349</v>
      </c>
      <c r="I1092" s="5">
        <v>3.72660357518401</v>
      </c>
    </row>
    <row r="1093">
      <c r="A1093" s="2" t="s">
        <v>1118</v>
      </c>
      <c r="B1093" s="8" t="str">
        <f>HYPERLINK("https://www.suredividend.com/sure-analysis-research-database/","Nanostring Technologies Inc")</f>
        <v>Nanostring Technologies Inc</v>
      </c>
      <c r="C1093" s="5">
        <v>-0.424639230358097</v>
      </c>
      <c r="D1093" s="5">
        <v>-0.651336032388664</v>
      </c>
      <c r="E1093" s="5">
        <v>-0.907397849462365</v>
      </c>
      <c r="F1093" s="5">
        <v>-0.424639230358097</v>
      </c>
      <c r="G1093" s="5">
        <v>-0.960055658627087</v>
      </c>
      <c r="H1093" s="5">
        <v>-0.986676980198019</v>
      </c>
      <c r="I1093" s="5">
        <v>-0.979025815879201</v>
      </c>
    </row>
    <row r="1094">
      <c r="A1094" s="2" t="s">
        <v>1119</v>
      </c>
      <c r="B1094" s="8" t="str">
        <f>HYPERLINK("https://www.suredividend.com/sure-analysis-research-database/","Bank of N T Butterfield &amp; Son Ltd.")</f>
        <v>Bank of N T Butterfield &amp; Son Ltd.</v>
      </c>
      <c r="C1094" s="5">
        <v>-0.008122461730709</v>
      </c>
      <c r="D1094" s="5">
        <v>0.287254357406679</v>
      </c>
      <c r="E1094" s="5">
        <v>0.013609503347305</v>
      </c>
      <c r="F1094" s="5">
        <v>-0.008122461730709</v>
      </c>
      <c r="G1094" s="5">
        <v>0.083410679187595</v>
      </c>
      <c r="H1094" s="5">
        <v>-0.01120530180817</v>
      </c>
      <c r="I1094" s="5">
        <v>0.17542963341404</v>
      </c>
    </row>
    <row r="1095">
      <c r="A1095" s="2" t="s">
        <v>1120</v>
      </c>
      <c r="B1095" s="8" t="str">
        <f>HYPERLINK("https://www.suredividend.com/sure-analysis-research-database/","Netscout Systems Inc")</f>
        <v>Netscout Systems Inc</v>
      </c>
      <c r="C1095" s="5">
        <v>0.017312072892938</v>
      </c>
      <c r="D1095" s="5">
        <v>0.007671480144404</v>
      </c>
      <c r="E1095" s="5">
        <v>-0.192988796530538</v>
      </c>
      <c r="F1095" s="5">
        <v>0.017312072892938</v>
      </c>
      <c r="G1095" s="5">
        <v>-0.299341073109507</v>
      </c>
      <c r="H1095" s="5">
        <v>-0.281762624638147</v>
      </c>
      <c r="I1095" s="5">
        <v>-0.138835325877362</v>
      </c>
    </row>
    <row r="1096">
      <c r="A1096" s="2" t="s">
        <v>1121</v>
      </c>
      <c r="B1096" s="8" t="str">
        <f>HYPERLINK("https://www.suredividend.com/sure-analysis-research-database/","Netgear Inc")</f>
        <v>Netgear Inc</v>
      </c>
      <c r="C1096" s="5">
        <v>0.017146776406035</v>
      </c>
      <c r="D1096" s="5">
        <v>0.153188180404354</v>
      </c>
      <c r="E1096" s="5">
        <v>0.098518518518518</v>
      </c>
      <c r="F1096" s="5">
        <v>0.017146776406035</v>
      </c>
      <c r="G1096" s="5">
        <v>-0.249113924050632</v>
      </c>
      <c r="H1096" s="5">
        <v>-0.438682816048448</v>
      </c>
      <c r="I1096" s="5">
        <v>-0.614705118212522</v>
      </c>
    </row>
    <row r="1097">
      <c r="A1097" s="2" t="s">
        <v>1122</v>
      </c>
      <c r="B1097" s="8" t="str">
        <f>HYPERLINK("https://www.suredividend.com/sure-analysis-research-database/","Intellia Therapeutics Inc")</f>
        <v>Intellia Therapeutics Inc</v>
      </c>
      <c r="C1097" s="5">
        <v>-0.141357822236798</v>
      </c>
      <c r="D1097" s="5">
        <v>0.130397236614853</v>
      </c>
      <c r="E1097" s="5">
        <v>-0.381964117091595</v>
      </c>
      <c r="F1097" s="5">
        <v>-0.141357822236798</v>
      </c>
      <c r="G1097" s="5">
        <v>-0.371126591400432</v>
      </c>
      <c r="H1097" s="5">
        <v>-0.695652173913043</v>
      </c>
      <c r="I1097" s="5">
        <v>1.01539645881447</v>
      </c>
    </row>
    <row r="1098">
      <c r="A1098" s="2" t="s">
        <v>1123</v>
      </c>
      <c r="B1098" s="8" t="str">
        <f>HYPERLINK("https://www.suredividend.com/sure-analysis-NTST/","Netstreit Corp")</f>
        <v>Netstreit Corp</v>
      </c>
      <c r="C1098" s="5">
        <v>0.021288515406162</v>
      </c>
      <c r="D1098" s="5">
        <v>0.339879609281404</v>
      </c>
      <c r="E1098" s="5">
        <v>0.052990307637212</v>
      </c>
      <c r="F1098" s="5">
        <v>0.021288515406162</v>
      </c>
      <c r="G1098" s="5">
        <v>-0.032927159203636</v>
      </c>
      <c r="H1098" s="5">
        <v>-0.107702247630981</v>
      </c>
      <c r="I1098" s="5">
        <v>0.181020743984762</v>
      </c>
    </row>
    <row r="1099">
      <c r="A1099" s="2" t="s">
        <v>1124</v>
      </c>
      <c r="B1099" s="8" t="str">
        <f>HYPERLINK("https://www.suredividend.com/sure-analysis-NUS/","Nu Skin Enterprises, Inc.")</f>
        <v>Nu Skin Enterprises, Inc.</v>
      </c>
      <c r="C1099" s="5">
        <v>-0.028836251287332</v>
      </c>
      <c r="D1099" s="5">
        <v>0.044267877412031</v>
      </c>
      <c r="E1099" s="5">
        <v>-0.344173366344896</v>
      </c>
      <c r="F1099" s="5">
        <v>-0.028836251287332</v>
      </c>
      <c r="G1099" s="5">
        <v>-0.529286092225982</v>
      </c>
      <c r="H1099" s="5">
        <v>-0.58484942537085</v>
      </c>
      <c r="I1099" s="5">
        <v>-0.635349801240506</v>
      </c>
    </row>
    <row r="1100">
      <c r="A1100" s="2" t="s">
        <v>1125</v>
      </c>
      <c r="B1100" s="8" t="str">
        <f>HYPERLINK("https://www.suredividend.com/sure-analysis-research-database/","Nutex Health Inc")</f>
        <v>Nutex Health Inc</v>
      </c>
      <c r="C1100" s="5">
        <v>-0.292777777777777</v>
      </c>
      <c r="D1100" s="5">
        <v>-0.30054945054945</v>
      </c>
      <c r="E1100" s="5">
        <v>-0.673254620123203</v>
      </c>
      <c r="F1100" s="5">
        <v>-0.292777777777777</v>
      </c>
      <c r="G1100" s="5">
        <v>-0.906397058823529</v>
      </c>
      <c r="H1100" s="5">
        <v>-0.996817499999999</v>
      </c>
      <c r="I1100" s="5">
        <v>-0.996817499999999</v>
      </c>
    </row>
    <row r="1101">
      <c r="A1101" s="2" t="s">
        <v>1126</v>
      </c>
      <c r="B1101" s="8" t="str">
        <f>HYPERLINK("https://www.suredividend.com/sure-analysis-research-database/","Nuvasive Inc")</f>
        <v>Nuvasive Inc</v>
      </c>
      <c r="C1101" s="5">
        <v>0.0</v>
      </c>
      <c r="D1101" s="5">
        <v>0.0</v>
      </c>
      <c r="E1101" s="5">
        <v>0.0</v>
      </c>
      <c r="F1101" s="5">
        <v>0.0</v>
      </c>
      <c r="G1101" s="5">
        <v>0.0</v>
      </c>
      <c r="H1101" s="5">
        <v>0.0</v>
      </c>
      <c r="I1101" s="5">
        <v>0.0</v>
      </c>
    </row>
    <row r="1102">
      <c r="A1102" s="2" t="s">
        <v>1127</v>
      </c>
      <c r="B1102" s="8" t="str">
        <f>HYPERLINK("https://www.suredividend.com/sure-analysis-research-database/","Nuvation Bio Inc")</f>
        <v>Nuvation Bio Inc</v>
      </c>
      <c r="C1102" s="5">
        <v>0.152317880794701</v>
      </c>
      <c r="D1102" s="5">
        <v>0.705882352941176</v>
      </c>
      <c r="E1102" s="5">
        <v>-0.005714285714285</v>
      </c>
      <c r="F1102" s="5">
        <v>0.152317880794701</v>
      </c>
      <c r="G1102" s="5">
        <v>-0.28099173553719</v>
      </c>
      <c r="H1102" s="5">
        <v>-0.701030927835051</v>
      </c>
      <c r="I1102" s="5">
        <v>-0.82061855670103</v>
      </c>
    </row>
    <row r="1103">
      <c r="A1103" s="2" t="s">
        <v>1128</v>
      </c>
      <c r="B1103" s="8" t="str">
        <f>HYPERLINK("https://www.suredividend.com/sure-analysis-research-database/","Nuvalent Inc")</f>
        <v>Nuvalent Inc</v>
      </c>
      <c r="C1103" s="5">
        <v>0.059518956379942</v>
      </c>
      <c r="D1103" s="5">
        <v>0.53002354788069</v>
      </c>
      <c r="E1103" s="5">
        <v>0.607628865979381</v>
      </c>
      <c r="F1103" s="5">
        <v>0.059518956379942</v>
      </c>
      <c r="G1103" s="5">
        <v>1.40203327171903</v>
      </c>
      <c r="H1103" s="5">
        <v>5.00693374422188</v>
      </c>
      <c r="I1103" s="5">
        <v>3.1584</v>
      </c>
    </row>
    <row r="1104">
      <c r="A1104" s="2" t="s">
        <v>1129</v>
      </c>
      <c r="B1104" s="8" t="str">
        <f>HYPERLINK("https://www.suredividend.com/sure-analysis-research-database/","NV5 Global Inc")</f>
        <v>NV5 Global Inc</v>
      </c>
      <c r="C1104" s="5">
        <v>-0.027537796976241</v>
      </c>
      <c r="D1104" s="5">
        <v>0.140474934036939</v>
      </c>
      <c r="E1104" s="5">
        <v>-0.016205389657683</v>
      </c>
      <c r="F1104" s="5">
        <v>-0.027537796976241</v>
      </c>
      <c r="G1104" s="5">
        <v>-0.183096462050196</v>
      </c>
      <c r="H1104" s="5">
        <v>0.067786561264822</v>
      </c>
      <c r="I1104" s="5">
        <v>0.557733890730863</v>
      </c>
    </row>
    <row r="1105">
      <c r="A1105" s="2" t="s">
        <v>1130</v>
      </c>
      <c r="B1105" s="8" t="str">
        <f>HYPERLINK("https://www.suredividend.com/sure-analysis-research-database/","Nevro Corp")</f>
        <v>Nevro Corp</v>
      </c>
      <c r="C1105" s="5">
        <v>-0.180762081784386</v>
      </c>
      <c r="D1105" s="5">
        <v>0.220914127423822</v>
      </c>
      <c r="E1105" s="5">
        <v>-0.278346295538272</v>
      </c>
      <c r="F1105" s="5">
        <v>-0.180762081784386</v>
      </c>
      <c r="G1105" s="5">
        <v>-0.519356597600872</v>
      </c>
      <c r="H1105" s="5">
        <v>-0.714447683835439</v>
      </c>
      <c r="I1105" s="5">
        <v>-0.629310344827586</v>
      </c>
    </row>
    <row r="1106">
      <c r="A1106" s="2" t="s">
        <v>1131</v>
      </c>
      <c r="B1106" s="8" t="str">
        <f>HYPERLINK("https://www.suredividend.com/sure-analysis-research-database/","Invitae Corp")</f>
        <v>Invitae Corp</v>
      </c>
      <c r="C1106" s="5">
        <v>-0.27791959157626</v>
      </c>
      <c r="D1106" s="5">
        <v>-0.212047353760445</v>
      </c>
      <c r="E1106" s="5">
        <v>-0.681267605633802</v>
      </c>
      <c r="F1106" s="5">
        <v>-0.27791959157626</v>
      </c>
      <c r="G1106" s="5">
        <v>-0.821811023622047</v>
      </c>
      <c r="H1106" s="5">
        <v>-0.955714285714285</v>
      </c>
      <c r="I1106" s="5">
        <v>-0.967344877344877</v>
      </c>
    </row>
    <row r="1107">
      <c r="A1107" s="2" t="s">
        <v>1132</v>
      </c>
      <c r="B1107" s="8" t="str">
        <f>HYPERLINK("https://www.suredividend.com/sure-analysis-NWBI/","Northwest Bancshares Inc")</f>
        <v>Northwest Bancshares Inc</v>
      </c>
      <c r="C1107" s="5">
        <v>0.040064102564102</v>
      </c>
      <c r="D1107" s="5">
        <v>0.294866423255721</v>
      </c>
      <c r="E1107" s="5">
        <v>0.129265194619895</v>
      </c>
      <c r="F1107" s="5">
        <v>0.040064102564102</v>
      </c>
      <c r="G1107" s="5">
        <v>0.056297911817841</v>
      </c>
      <c r="H1107" s="5">
        <v>0.10957241284984</v>
      </c>
      <c r="I1107" s="5">
        <v>0.038408307266458</v>
      </c>
    </row>
    <row r="1108">
      <c r="A1108" s="2" t="s">
        <v>1133</v>
      </c>
      <c r="B1108" s="8" t="str">
        <f>HYPERLINK("https://www.suredividend.com/sure-analysis-NWE/","NorthWestern Energy Group Inc")</f>
        <v>NorthWestern Energy Group Inc</v>
      </c>
      <c r="C1108" s="5">
        <v>-0.044409510709373</v>
      </c>
      <c r="D1108" s="5">
        <v>0.070082363115055</v>
      </c>
      <c r="E1108" s="5">
        <v>0.063229699593336</v>
      </c>
      <c r="F1108" s="5">
        <v>-0.044409510709373</v>
      </c>
      <c r="G1108" s="5">
        <v>0.063229699593336</v>
      </c>
      <c r="H1108" s="5">
        <v>0.063229699593336</v>
      </c>
      <c r="I1108" s="5">
        <v>0.063229699593336</v>
      </c>
    </row>
    <row r="1109">
      <c r="A1109" s="2" t="s">
        <v>1134</v>
      </c>
      <c r="B1109" s="8" t="str">
        <f>HYPERLINK("https://www.suredividend.com/sure-analysis-research-database/","National Western Life Group Inc")</f>
        <v>National Western Life Group Inc</v>
      </c>
      <c r="C1109" s="5">
        <v>0.001614839965218</v>
      </c>
      <c r="D1109" s="5">
        <v>0.012683240092376</v>
      </c>
      <c r="E1109" s="5">
        <v>0.15606135297411</v>
      </c>
      <c r="F1109" s="5">
        <v>0.001614839965218</v>
      </c>
      <c r="G1109" s="5">
        <v>0.807941864840837</v>
      </c>
      <c r="H1109" s="5">
        <v>1.29464950153743</v>
      </c>
      <c r="I1109" s="5">
        <v>0.643430591723333</v>
      </c>
    </row>
    <row r="1110">
      <c r="A1110" s="2" t="s">
        <v>1135</v>
      </c>
      <c r="B1110" s="8" t="str">
        <f>HYPERLINK("https://www.suredividend.com/sure-analysis-NWN/","Northwest Natural Holding Co")</f>
        <v>Northwest Natural Holding Co</v>
      </c>
      <c r="C1110" s="5">
        <v>0.001027228044625</v>
      </c>
      <c r="D1110" s="5">
        <v>0.066120669598838</v>
      </c>
      <c r="E1110" s="5">
        <v>-0.087132944083706</v>
      </c>
      <c r="F1110" s="5">
        <v>0.001027228044625</v>
      </c>
      <c r="G1110" s="5">
        <v>-0.185538696565689</v>
      </c>
      <c r="H1110" s="5">
        <v>-0.116700819907247</v>
      </c>
      <c r="I1110" s="5">
        <v>-0.24190054160512</v>
      </c>
    </row>
    <row r="1111">
      <c r="A1111" s="2" t="s">
        <v>1136</v>
      </c>
      <c r="B1111" s="8" t="str">
        <f>HYPERLINK("https://www.suredividend.com/sure-analysis-research-database/","Northwest Pipe Co.")</f>
        <v>Northwest Pipe Co.</v>
      </c>
      <c r="C1111" s="5">
        <v>0.017845340383344</v>
      </c>
      <c r="D1111" s="5">
        <v>0.123677489967165</v>
      </c>
      <c r="E1111" s="5">
        <v>-0.047029702970297</v>
      </c>
      <c r="F1111" s="5">
        <v>0.017845340383344</v>
      </c>
      <c r="G1111" s="5">
        <v>-0.157318741450068</v>
      </c>
      <c r="H1111" s="5">
        <v>0.048689138576778</v>
      </c>
      <c r="I1111" s="5">
        <v>0.401273885350318</v>
      </c>
    </row>
    <row r="1112">
      <c r="A1112" s="2" t="s">
        <v>1137</v>
      </c>
      <c r="B1112" s="8" t="str">
        <f>HYPERLINK("https://www.suredividend.com/sure-analysis-research-database/","Quanex Building Products Corp")</f>
        <v>Quanex Building Products Corp</v>
      </c>
      <c r="C1112" s="5">
        <v>0.044815178279358</v>
      </c>
      <c r="D1112" s="5">
        <v>0.216673840750574</v>
      </c>
      <c r="E1112" s="5">
        <v>0.156890088197475</v>
      </c>
      <c r="F1112" s="5">
        <v>0.044815178279358</v>
      </c>
      <c r="G1112" s="5">
        <v>0.322216886622178</v>
      </c>
      <c r="H1112" s="5">
        <v>0.523244501249499</v>
      </c>
      <c r="I1112" s="5">
        <v>1.28619692501503</v>
      </c>
    </row>
    <row r="1113">
      <c r="A1113" s="2" t="s">
        <v>1138</v>
      </c>
      <c r="B1113" s="8" t="str">
        <f>HYPERLINK("https://www.suredividend.com/sure-analysis-research-database/","NextGen Healthcare Inc")</f>
        <v>NextGen Healthcare Inc</v>
      </c>
      <c r="C1113" s="5">
        <v>0.0</v>
      </c>
      <c r="D1113" s="5">
        <v>0.0</v>
      </c>
      <c r="E1113" s="5">
        <v>0.0</v>
      </c>
      <c r="F1113" s="5">
        <v>0.0</v>
      </c>
      <c r="G1113" s="5">
        <v>0.0</v>
      </c>
      <c r="H1113" s="5">
        <v>0.0</v>
      </c>
      <c r="I1113" s="5">
        <v>0.0</v>
      </c>
    </row>
    <row r="1114">
      <c r="A1114" s="2" t="s">
        <v>1139</v>
      </c>
      <c r="B1114" s="8" t="str">
        <f>HYPERLINK("https://www.suredividend.com/sure-analysis-NXRT/","NexPoint Residential Trust Inc")</f>
        <v>NexPoint Residential Trust Inc</v>
      </c>
      <c r="C1114" s="5">
        <v>-0.061574208539064</v>
      </c>
      <c r="D1114" s="5">
        <v>0.224220700734684</v>
      </c>
      <c r="E1114" s="5">
        <v>-0.193316838481108</v>
      </c>
      <c r="F1114" s="5">
        <v>-0.061574208539064</v>
      </c>
      <c r="G1114" s="5">
        <v>-0.322246508447271</v>
      </c>
      <c r="H1114" s="5">
        <v>-0.554328230154778</v>
      </c>
      <c r="I1114" s="5">
        <v>0.024546627811478</v>
      </c>
    </row>
    <row r="1115">
      <c r="A1115" s="2" t="s">
        <v>1140</v>
      </c>
      <c r="B1115" s="8" t="str">
        <f>HYPERLINK("https://www.suredividend.com/sure-analysis-research-database/","Nextracker Inc")</f>
        <v>Nextracker Inc</v>
      </c>
      <c r="C1115" s="5">
        <v>-0.038847385272145</v>
      </c>
      <c r="D1115" s="5">
        <v>0.300317643661565</v>
      </c>
      <c r="E1115" s="5">
        <v>0.053826351509478</v>
      </c>
      <c r="F1115" s="5">
        <v>-0.038847385272145</v>
      </c>
      <c r="G1115" s="5">
        <v>0.478332239001969</v>
      </c>
      <c r="H1115" s="5">
        <v>0.478332239001969</v>
      </c>
      <c r="I1115" s="5">
        <v>0.478332239001969</v>
      </c>
    </row>
    <row r="1116">
      <c r="A1116" s="2" t="s">
        <v>1141</v>
      </c>
      <c r="B1116" s="8" t="str">
        <f>HYPERLINK("https://www.suredividend.com/sure-analysis-NYMT/","New York Mortgage Trust Inc")</f>
        <v>New York Mortgage Trust Inc</v>
      </c>
      <c r="C1116" s="5">
        <v>-0.007033997655333</v>
      </c>
      <c r="D1116" s="5">
        <v>0.16963102076889</v>
      </c>
      <c r="E1116" s="5">
        <v>-0.114877786253957</v>
      </c>
      <c r="F1116" s="5">
        <v>-0.007033997655333</v>
      </c>
      <c r="G1116" s="5">
        <v>-0.179946943438607</v>
      </c>
      <c r="H1116" s="5">
        <v>-0.198834668608885</v>
      </c>
      <c r="I1116" s="5">
        <v>-0.367466730392962</v>
      </c>
    </row>
    <row r="1117">
      <c r="A1117" s="2" t="s">
        <v>1142</v>
      </c>
      <c r="B1117" s="8" t="str">
        <f>HYPERLINK("https://www.suredividend.com/sure-analysis-research-database/","OmniAb Inc")</f>
        <v>OmniAb Inc</v>
      </c>
      <c r="C1117" s="5">
        <v>0.021069692058346</v>
      </c>
      <c r="D1117" s="5">
        <v>0.406249999999999</v>
      </c>
      <c r="E1117" s="5">
        <v>0.175373134328358</v>
      </c>
      <c r="F1117" s="5">
        <v>0.021069692058346</v>
      </c>
      <c r="G1117" s="5">
        <v>0.444954128440366</v>
      </c>
      <c r="H1117" s="5">
        <v>1.61410788381742</v>
      </c>
      <c r="I1117" s="5">
        <v>1.61410788381742</v>
      </c>
    </row>
    <row r="1118">
      <c r="A1118" s="2" t="s">
        <v>1143</v>
      </c>
      <c r="B1118" s="8" t="str">
        <f>HYPERLINK("https://www.suredividend.com/sure-analysis-research-database/","Outbrain Inc")</f>
        <v>Outbrain Inc</v>
      </c>
      <c r="C1118" s="5">
        <v>-0.068493150684931</v>
      </c>
      <c r="D1118" s="5">
        <v>-0.051162790697674</v>
      </c>
      <c r="E1118" s="5">
        <v>-0.215384615384615</v>
      </c>
      <c r="F1118" s="5">
        <v>-0.068493150684931</v>
      </c>
      <c r="G1118" s="5">
        <v>-0.177419354838709</v>
      </c>
      <c r="H1118" s="5">
        <v>-0.659999999999999</v>
      </c>
      <c r="I1118" s="5">
        <v>-0.796</v>
      </c>
    </row>
    <row r="1119">
      <c r="A1119" s="2" t="s">
        <v>1144</v>
      </c>
      <c r="B1119" s="8" t="str">
        <f>HYPERLINK("https://www.suredividend.com/sure-analysis-research-database/","Origin Bancorp Inc")</f>
        <v>Origin Bancorp Inc</v>
      </c>
      <c r="C1119" s="5">
        <v>-0.099803204947989</v>
      </c>
      <c r="D1119" s="5">
        <v>0.094390309758256</v>
      </c>
      <c r="E1119" s="5">
        <v>-0.005667261858551</v>
      </c>
      <c r="F1119" s="5">
        <v>-0.099803204947989</v>
      </c>
      <c r="G1119" s="5">
        <v>-0.123460169723514</v>
      </c>
      <c r="H1119" s="5">
        <v>-0.217222091840725</v>
      </c>
      <c r="I1119" s="5">
        <v>-0.024339707728497</v>
      </c>
    </row>
    <row r="1120">
      <c r="A1120" s="2" t="s">
        <v>1145</v>
      </c>
      <c r="B1120" s="8" t="str">
        <f>HYPERLINK("https://www.suredividend.com/sure-analysis-research-database/","OceanFirst Financial Corp.")</f>
        <v>OceanFirst Financial Corp.</v>
      </c>
      <c r="C1120" s="5">
        <v>0.055875576036866</v>
      </c>
      <c r="D1120" s="5">
        <v>0.517924426741306</v>
      </c>
      <c r="E1120" s="5">
        <v>0.02451457124652</v>
      </c>
      <c r="F1120" s="5">
        <v>0.055875576036866</v>
      </c>
      <c r="G1120" s="5">
        <v>-0.153755239977101</v>
      </c>
      <c r="H1120" s="5">
        <v>-0.096759569519454</v>
      </c>
      <c r="I1120" s="5">
        <v>-0.057045408948037</v>
      </c>
    </row>
    <row r="1121">
      <c r="A1121" s="2" t="s">
        <v>1146</v>
      </c>
      <c r="B1121" s="8" t="str">
        <f>HYPERLINK("https://www.suredividend.com/sure-analysis-research-database/","Ocugen Inc")</f>
        <v>Ocugen Inc</v>
      </c>
      <c r="C1121" s="5">
        <v>-0.015130434782608</v>
      </c>
      <c r="D1121" s="5">
        <v>0.577437325905292</v>
      </c>
      <c r="E1121" s="5">
        <v>-0.0498322147651</v>
      </c>
      <c r="F1121" s="5">
        <v>-0.015130434782608</v>
      </c>
      <c r="G1121" s="5">
        <v>-0.554094488188976</v>
      </c>
      <c r="H1121" s="5">
        <v>-0.818493589743589</v>
      </c>
      <c r="I1121" s="5">
        <v>3.14568081991215</v>
      </c>
    </row>
    <row r="1122">
      <c r="A1122" s="2" t="s">
        <v>1147</v>
      </c>
      <c r="B1122" s="8" t="str">
        <f>HYPERLINK("https://www.suredividend.com/sure-analysis-research-database/","Eightco Holdings Inc")</f>
        <v>Eightco Holdings Inc</v>
      </c>
      <c r="C1122" s="5">
        <v>0.235214007782101</v>
      </c>
      <c r="D1122" s="5">
        <v>0.35807486631016</v>
      </c>
      <c r="E1122" s="5">
        <v>-0.562137931034482</v>
      </c>
      <c r="F1122" s="5">
        <v>0.235214007782101</v>
      </c>
      <c r="G1122" s="5">
        <v>2.06566875905359</v>
      </c>
      <c r="H1122" s="5">
        <v>-0.687241379310344</v>
      </c>
      <c r="I1122" s="5">
        <v>-0.687241379310344</v>
      </c>
    </row>
    <row r="1123">
      <c r="A1123" s="2" t="s">
        <v>1148</v>
      </c>
      <c r="B1123" s="8" t="str">
        <f>HYPERLINK("https://www.suredividend.com/sure-analysis-research-database/","Ocular Therapeutix Inc")</f>
        <v>Ocular Therapeutix Inc</v>
      </c>
      <c r="C1123" s="5">
        <v>0.145739910313901</v>
      </c>
      <c r="D1123" s="5">
        <v>1.11157024793388</v>
      </c>
      <c r="E1123" s="5">
        <v>0.133037694013303</v>
      </c>
      <c r="F1123" s="5">
        <v>0.145739910313901</v>
      </c>
      <c r="G1123" s="5">
        <v>0.31701030927835</v>
      </c>
      <c r="H1123" s="5">
        <v>-0.044859813084112</v>
      </c>
      <c r="I1123" s="5">
        <v>0.337696335078534</v>
      </c>
    </row>
    <row r="1124">
      <c r="A1124" s="2" t="s">
        <v>1149</v>
      </c>
      <c r="B1124" s="8" t="str">
        <f>HYPERLINK("https://www.suredividend.com/sure-analysis-research-database/","ODP Corporation (The)")</f>
        <v>ODP Corporation (The)</v>
      </c>
      <c r="C1124" s="5">
        <v>-0.05595026642984</v>
      </c>
      <c r="D1124" s="5">
        <v>0.208229142987042</v>
      </c>
      <c r="E1124" s="5">
        <v>0.068986323411102</v>
      </c>
      <c r="F1124" s="5">
        <v>-0.05595026642984</v>
      </c>
      <c r="G1124" s="5">
        <v>0.027053140096618</v>
      </c>
      <c r="H1124" s="5">
        <v>0.232035234121464</v>
      </c>
      <c r="I1124" s="5">
        <v>0.922506528926217</v>
      </c>
    </row>
    <row r="1125">
      <c r="A1125" s="2" t="s">
        <v>1150</v>
      </c>
      <c r="B1125" s="8" t="str">
        <f>HYPERLINK("https://www.suredividend.com/sure-analysis-research-database/","Orion S.A")</f>
        <v>Orion S.A</v>
      </c>
      <c r="C1125" s="5">
        <v>-0.17598269022719</v>
      </c>
      <c r="D1125" s="5">
        <v>0.132651594386806</v>
      </c>
      <c r="E1125" s="5">
        <v>0.046159199333388</v>
      </c>
      <c r="F1125" s="5">
        <v>-0.17598269022719</v>
      </c>
      <c r="G1125" s="5">
        <v>0.152224777118883</v>
      </c>
      <c r="H1125" s="5">
        <v>0.374320357984891</v>
      </c>
      <c r="I1125" s="5">
        <v>-0.108341397933381</v>
      </c>
    </row>
    <row r="1126">
      <c r="A1126" s="2" t="s">
        <v>1151</v>
      </c>
      <c r="B1126" s="8" t="str">
        <f>HYPERLINK("https://www.suredividend.com/sure-analysis-research-database/","OFG Bancorp")</f>
        <v>OFG Bancorp</v>
      </c>
      <c r="C1126" s="5">
        <v>0.016808964781216</v>
      </c>
      <c r="D1126" s="5">
        <v>0.303378318296545</v>
      </c>
      <c r="E1126" s="5">
        <v>0.158735515806052</v>
      </c>
      <c r="F1126" s="5">
        <v>0.016808964781216</v>
      </c>
      <c r="G1126" s="5">
        <v>0.414504329622934</v>
      </c>
      <c r="H1126" s="5">
        <v>0.44554823488357</v>
      </c>
      <c r="I1126" s="5">
        <v>1.15584782916136</v>
      </c>
    </row>
    <row r="1127">
      <c r="A1127" s="2" t="s">
        <v>1152</v>
      </c>
      <c r="B1127" s="8" t="str">
        <f>HYPERLINK("https://www.suredividend.com/sure-analysis-research-database/","Orthofix Medical Inc")</f>
        <v>Orthofix Medical Inc</v>
      </c>
      <c r="C1127" s="5">
        <v>0.084569732937685</v>
      </c>
      <c r="D1127" s="5">
        <v>0.361266294227188</v>
      </c>
      <c r="E1127" s="5">
        <v>-0.244053774560496</v>
      </c>
      <c r="F1127" s="5">
        <v>0.084569732937685</v>
      </c>
      <c r="G1127" s="5">
        <v>-0.311027332704995</v>
      </c>
      <c r="H1127" s="5">
        <v>-0.508571428571428</v>
      </c>
      <c r="I1127" s="5">
        <v>-0.717923982249662</v>
      </c>
    </row>
    <row r="1128">
      <c r="A1128" s="2" t="s">
        <v>1153</v>
      </c>
      <c r="B1128" s="8" t="str">
        <f>HYPERLINK("https://www.suredividend.com/sure-analysis-research-database/","Omega Flex Inc")</f>
        <v>Omega Flex Inc</v>
      </c>
      <c r="C1128" s="5">
        <v>0.031059424195149</v>
      </c>
      <c r="D1128" s="5">
        <v>0.032026903677962</v>
      </c>
      <c r="E1128" s="5">
        <v>-0.147107026923027</v>
      </c>
      <c r="F1128" s="5">
        <v>0.031059424195149</v>
      </c>
      <c r="G1128" s="5">
        <v>-0.283045960008362</v>
      </c>
      <c r="H1128" s="5">
        <v>-0.459396353193391</v>
      </c>
      <c r="I1128" s="5">
        <v>0.266464473668165</v>
      </c>
    </row>
    <row r="1129">
      <c r="A1129" s="2" t="s">
        <v>1154</v>
      </c>
      <c r="B1129" s="8" t="str">
        <f>HYPERLINK("https://www.suredividend.com/sure-analysis-OGS/","ONE Gas Inc")</f>
        <v>ONE Gas Inc</v>
      </c>
      <c r="C1129" s="5">
        <v>-0.020872567482736</v>
      </c>
      <c r="D1129" s="5">
        <v>0.025476660092044</v>
      </c>
      <c r="E1129" s="5">
        <v>-0.197692481790872</v>
      </c>
      <c r="F1129" s="5">
        <v>-0.020872567482736</v>
      </c>
      <c r="G1129" s="5">
        <v>-0.197092597525773</v>
      </c>
      <c r="H1129" s="5">
        <v>-0.139457771500452</v>
      </c>
      <c r="I1129" s="5">
        <v>-0.097917648657792</v>
      </c>
    </row>
    <row r="1130">
      <c r="A1130" s="2" t="s">
        <v>1155</v>
      </c>
      <c r="B1130" s="8" t="str">
        <f>HYPERLINK("https://www.suredividend.com/sure-analysis-research-database/","O-I Glass Inc")</f>
        <v>O-I Glass Inc</v>
      </c>
      <c r="C1130" s="5">
        <v>-0.072649572649572</v>
      </c>
      <c r="D1130" s="5">
        <v>-0.003280839895013</v>
      </c>
      <c r="E1130" s="5">
        <v>-0.346104175634954</v>
      </c>
      <c r="F1130" s="5">
        <v>-0.072649572649572</v>
      </c>
      <c r="G1130" s="5">
        <v>-0.195018547959724</v>
      </c>
      <c r="H1130" s="5">
        <v>0.163093415007656</v>
      </c>
      <c r="I1130" s="5">
        <v>-0.208103514790061</v>
      </c>
    </row>
    <row r="1131">
      <c r="A1131" s="2" t="s">
        <v>1156</v>
      </c>
      <c r="B1131" s="8" t="str">
        <f>HYPERLINK("https://www.suredividend.com/sure-analysis-research-database/","Oceaneering International, Inc.")</f>
        <v>Oceaneering International, Inc.</v>
      </c>
      <c r="C1131" s="5">
        <v>0.014567669172932</v>
      </c>
      <c r="D1131" s="5">
        <v>-0.068191627104013</v>
      </c>
      <c r="E1131" s="5">
        <v>-0.027915353444394</v>
      </c>
      <c r="F1131" s="5">
        <v>0.014567669172932</v>
      </c>
      <c r="G1131" s="5">
        <v>0.031533683707596</v>
      </c>
      <c r="H1131" s="5">
        <v>0.630664652567975</v>
      </c>
      <c r="I1131" s="5">
        <v>0.39380245319561</v>
      </c>
    </row>
    <row r="1132">
      <c r="A1132" s="2" t="s">
        <v>1157</v>
      </c>
      <c r="B1132" s="8" t="str">
        <f>HYPERLINK("https://www.suredividend.com/sure-analysis-research-database/","Oil States International, Inc.")</f>
        <v>Oil States International, Inc.</v>
      </c>
      <c r="C1132" s="5">
        <v>-0.039764359351988</v>
      </c>
      <c r="D1132" s="5">
        <v>-0.183979974968711</v>
      </c>
      <c r="E1132" s="5">
        <v>-0.158709677419354</v>
      </c>
      <c r="F1132" s="5">
        <v>-0.039764359351988</v>
      </c>
      <c r="G1132" s="5">
        <v>-0.221027479091995</v>
      </c>
      <c r="H1132" s="5">
        <v>0.033280507131537</v>
      </c>
      <c r="I1132" s="5">
        <v>-0.620488940628638</v>
      </c>
    </row>
    <row r="1133">
      <c r="A1133" s="2" t="s">
        <v>1158</v>
      </c>
      <c r="B1133" s="8" t="str">
        <f>HYPERLINK("https://www.suredividend.com/sure-analysis-research-database/","Olo Inc")</f>
        <v>Olo Inc</v>
      </c>
      <c r="C1133" s="5">
        <v>-0.052447552447552</v>
      </c>
      <c r="D1133" s="5">
        <v>0.042307692307692</v>
      </c>
      <c r="E1133" s="5">
        <v>-0.296103896103896</v>
      </c>
      <c r="F1133" s="5">
        <v>-0.052447552447552</v>
      </c>
      <c r="G1133" s="5">
        <v>-0.327543424317618</v>
      </c>
      <c r="H1133" s="5">
        <v>-0.66335403726708</v>
      </c>
      <c r="I1133" s="5">
        <v>-0.844028776978417</v>
      </c>
    </row>
    <row r="1134">
      <c r="A1134" s="2" t="s">
        <v>1159</v>
      </c>
      <c r="B1134" s="8" t="str">
        <f>HYPERLINK("https://www.suredividend.com/sure-analysis-OLP/","One Liberty Properties, Inc.")</f>
        <v>One Liberty Properties, Inc.</v>
      </c>
      <c r="C1134" s="5">
        <v>-0.042902784116841</v>
      </c>
      <c r="D1134" s="5">
        <v>0.184063421079377</v>
      </c>
      <c r="E1134" s="5">
        <v>0.073397453944236</v>
      </c>
      <c r="F1134" s="5">
        <v>-0.042902784116841</v>
      </c>
      <c r="G1134" s="5">
        <v>-0.036818607727498</v>
      </c>
      <c r="H1134" s="5">
        <v>-0.183614675470287</v>
      </c>
      <c r="I1134" s="5">
        <v>0.135446841920026</v>
      </c>
    </row>
    <row r="1135">
      <c r="A1135" s="2" t="s">
        <v>1160</v>
      </c>
      <c r="B1135" s="8" t="str">
        <f>HYPERLINK("https://www.suredividend.com/sure-analysis-research-database/","Outset Medical Inc")</f>
        <v>Outset Medical Inc</v>
      </c>
      <c r="C1135" s="5">
        <v>-0.345656192236598</v>
      </c>
      <c r="D1135" s="5">
        <v>0.109717868338558</v>
      </c>
      <c r="E1135" s="5">
        <v>-0.819479857215706</v>
      </c>
      <c r="F1135" s="5">
        <v>-0.345656192236598</v>
      </c>
      <c r="G1135" s="5">
        <v>-0.874823196605374</v>
      </c>
      <c r="H1135" s="5">
        <v>-0.898129496402877</v>
      </c>
      <c r="I1135" s="5">
        <v>-0.94166117336849</v>
      </c>
    </row>
    <row r="1136">
      <c r="A1136" s="2" t="s">
        <v>1161</v>
      </c>
      <c r="B1136" s="8" t="str">
        <f>HYPERLINK("https://www.suredividend.com/sure-analysis-research-database/","Omnicell, Inc.")</f>
        <v>Omnicell, Inc.</v>
      </c>
      <c r="C1136" s="5">
        <v>-0.071485516874834</v>
      </c>
      <c r="D1136" s="5">
        <v>0.002582496413199</v>
      </c>
      <c r="E1136" s="5">
        <v>-0.445044472681067</v>
      </c>
      <c r="F1136" s="5">
        <v>-0.071485516874834</v>
      </c>
      <c r="G1136" s="5">
        <v>-0.392770246784845</v>
      </c>
      <c r="H1136" s="5">
        <v>-0.764269329375253</v>
      </c>
      <c r="I1136" s="5">
        <v>-0.443984723106301</v>
      </c>
    </row>
    <row r="1137">
      <c r="A1137" s="2" t="s">
        <v>1162</v>
      </c>
      <c r="B1137" s="8" t="str">
        <f>HYPERLINK("https://www.suredividend.com/sure-analysis-research-database/","Owens &amp; Minor, Inc.")</f>
        <v>Owens &amp; Minor, Inc.</v>
      </c>
      <c r="C1137" s="5">
        <v>0.051375194603009</v>
      </c>
      <c r="D1137" s="5">
        <v>0.460706560922855</v>
      </c>
      <c r="E1137" s="5">
        <v>0.10048886474742</v>
      </c>
      <c r="F1137" s="5">
        <v>0.051375194603009</v>
      </c>
      <c r="G1137" s="5">
        <v>-0.019835510401548</v>
      </c>
      <c r="H1137" s="5">
        <v>-0.532101616628175</v>
      </c>
      <c r="I1137" s="5">
        <v>1.65795549958018</v>
      </c>
    </row>
    <row r="1138">
      <c r="A1138" s="2" t="s">
        <v>1163</v>
      </c>
      <c r="B1138" s="8" t="str">
        <f>HYPERLINK("https://www.suredividend.com/sure-analysis-research-database/","Singular Genomics Systems Inc")</f>
        <v>Singular Genomics Systems Inc</v>
      </c>
      <c r="C1138" s="5">
        <v>0.086720278200391</v>
      </c>
      <c r="D1138" s="5">
        <v>0.501501501501501</v>
      </c>
      <c r="E1138" s="5">
        <v>-0.375</v>
      </c>
      <c r="F1138" s="5">
        <v>0.086720278200391</v>
      </c>
      <c r="G1138" s="5">
        <v>-0.819494584837545</v>
      </c>
      <c r="H1138" s="5">
        <v>-0.926144756277695</v>
      </c>
      <c r="I1138" s="5">
        <v>-0.980559875583203</v>
      </c>
    </row>
    <row r="1139">
      <c r="A1139" s="2" t="s">
        <v>1164</v>
      </c>
      <c r="B1139" s="8" t="str">
        <f>HYPERLINK("https://www.suredividend.com/sure-analysis-research-database/","Old National Bancorp")</f>
        <v>Old National Bancorp</v>
      </c>
      <c r="C1139" s="5">
        <v>0.03019538188277</v>
      </c>
      <c r="D1139" s="5">
        <v>0.29066714139481</v>
      </c>
      <c r="E1139" s="5">
        <v>0.042209484106305</v>
      </c>
      <c r="F1139" s="5">
        <v>0.03019538188277</v>
      </c>
      <c r="G1139" s="5">
        <v>0.069926457928523</v>
      </c>
      <c r="H1139" s="5">
        <v>0.032677721461891</v>
      </c>
      <c r="I1139" s="5">
        <v>0.274529193310919</v>
      </c>
    </row>
    <row r="1140">
      <c r="A1140" s="2" t="s">
        <v>1165</v>
      </c>
      <c r="B1140" s="8" t="str">
        <f>HYPERLINK("https://www.suredividend.com/sure-analysis-research-database/","Ondas Holdings Inc")</f>
        <v>Ondas Holdings Inc</v>
      </c>
      <c r="C1140" s="5">
        <v>-0.013071895424836</v>
      </c>
      <c r="D1140" s="5">
        <v>3.03743315508021</v>
      </c>
      <c r="E1140" s="5">
        <v>0.006666666666666</v>
      </c>
      <c r="F1140" s="5">
        <v>-0.013071895424836</v>
      </c>
      <c r="G1140" s="5">
        <v>-0.263414634146341</v>
      </c>
      <c r="H1140" s="5">
        <v>-0.669584245076586</v>
      </c>
      <c r="I1140" s="5">
        <v>-0.754471544715447</v>
      </c>
    </row>
    <row r="1141">
      <c r="A1141" s="2" t="s">
        <v>1166</v>
      </c>
      <c r="B1141" s="8" t="str">
        <f>HYPERLINK("https://www.suredividend.com/sure-analysis-research-database/","Onewater Marine Inc")</f>
        <v>Onewater Marine Inc</v>
      </c>
      <c r="C1141" s="5">
        <v>-0.220775377330571</v>
      </c>
      <c r="D1141" s="5">
        <v>0.198452435138825</v>
      </c>
      <c r="E1141" s="5">
        <v>-0.271847345132743</v>
      </c>
      <c r="F1141" s="5">
        <v>-0.220775377330571</v>
      </c>
      <c r="G1141" s="5">
        <v>-0.165980361102312</v>
      </c>
      <c r="H1141" s="5">
        <v>-0.466464032421479</v>
      </c>
      <c r="I1141" s="5">
        <v>0.815549043268402</v>
      </c>
    </row>
    <row r="1142">
      <c r="A1142" s="2" t="s">
        <v>1167</v>
      </c>
      <c r="B1142" s="8" t="str">
        <f>HYPERLINK("https://www.suredividend.com/sure-analysis-research-database/","Orion Office REIT Inc")</f>
        <v>Orion Office REIT Inc</v>
      </c>
      <c r="C1142" s="5">
        <v>-0.057692307692307</v>
      </c>
      <c r="D1142" s="5">
        <v>0.186806411837237</v>
      </c>
      <c r="E1142" s="5">
        <v>-0.138771271071343</v>
      </c>
      <c r="F1142" s="5">
        <v>-0.057692307692307</v>
      </c>
      <c r="G1142" s="5">
        <v>-0.373328682711312</v>
      </c>
      <c r="H1142" s="5">
        <v>-0.640182111910706</v>
      </c>
      <c r="I1142" s="5">
        <v>-0.7844</v>
      </c>
    </row>
    <row r="1143">
      <c r="A1143" s="2" t="s">
        <v>1168</v>
      </c>
      <c r="B1143" s="8" t="str">
        <f>HYPERLINK("https://www.suredividend.com/sure-analysis-research-database/","ON24 Inc")</f>
        <v>ON24 Inc</v>
      </c>
      <c r="C1143" s="5">
        <v>0.012690355329949</v>
      </c>
      <c r="D1143" s="5">
        <v>0.334448160535117</v>
      </c>
      <c r="E1143" s="5">
        <v>-0.093181818181818</v>
      </c>
      <c r="F1143" s="5">
        <v>0.012690355329949</v>
      </c>
      <c r="G1143" s="5">
        <v>-0.00364580732158</v>
      </c>
      <c r="H1143" s="5">
        <v>-0.412570116160946</v>
      </c>
      <c r="I1143" s="5">
        <v>-0.869442085785384</v>
      </c>
    </row>
    <row r="1144">
      <c r="A1144" s="2" t="s">
        <v>1169</v>
      </c>
      <c r="B1144" s="8" t="str">
        <f>HYPERLINK("https://www.suredividend.com/sure-analysis-research-database/","Onto Innovation Inc.")</f>
        <v>Onto Innovation Inc.</v>
      </c>
      <c r="C1144" s="5">
        <v>0.075670372792674</v>
      </c>
      <c r="D1144" s="5">
        <v>0.43166782729805</v>
      </c>
      <c r="E1144" s="5">
        <v>0.346349050425671</v>
      </c>
      <c r="F1144" s="5">
        <v>0.075670372792674</v>
      </c>
      <c r="G1144" s="5">
        <v>1.10535074244751</v>
      </c>
      <c r="H1144" s="5">
        <v>0.942482579426006</v>
      </c>
      <c r="I1144" s="5">
        <v>4.44242223692918</v>
      </c>
    </row>
    <row r="1145">
      <c r="A1145" s="2" t="s">
        <v>1170</v>
      </c>
      <c r="B1145" s="8" t="str">
        <f>HYPERLINK("https://www.suredividend.com/sure-analysis-research-database/","Ooma Inc")</f>
        <v>Ooma Inc</v>
      </c>
      <c r="C1145" s="5">
        <v>0.074557315936626</v>
      </c>
      <c r="D1145" s="5">
        <v>0.073556797020484</v>
      </c>
      <c r="E1145" s="5">
        <v>-0.221997300944669</v>
      </c>
      <c r="F1145" s="5">
        <v>0.074557315936626</v>
      </c>
      <c r="G1145" s="5">
        <v>-0.205922865013774</v>
      </c>
      <c r="H1145" s="5">
        <v>-0.33735632183908</v>
      </c>
      <c r="I1145" s="5">
        <v>-0.240947992100065</v>
      </c>
    </row>
    <row r="1146">
      <c r="A1146" s="2" t="s">
        <v>1171</v>
      </c>
      <c r="B1146" s="8" t="str">
        <f>HYPERLINK("https://www.suredividend.com/sure-analysis-research-database/","Offerpad Solutions Inc")</f>
        <v>Offerpad Solutions Inc</v>
      </c>
      <c r="C1146" s="5">
        <v>-0.08</v>
      </c>
      <c r="D1146" s="5">
        <v>0.196700507614213</v>
      </c>
      <c r="E1146" s="5">
        <v>-0.12360594795539</v>
      </c>
      <c r="F1146" s="5">
        <v>-0.08</v>
      </c>
      <c r="G1146" s="5">
        <v>-0.131555923930561</v>
      </c>
      <c r="H1146" s="5">
        <v>-0.809494949494949</v>
      </c>
      <c r="I1146" s="5">
        <v>-0.073673870333988</v>
      </c>
    </row>
    <row r="1147">
      <c r="A1147" s="2" t="s">
        <v>1172</v>
      </c>
      <c r="B1147" s="8" t="str">
        <f>HYPERLINK("https://www.suredividend.com/sure-analysis-research-database/","Option Care Health Inc.")</f>
        <v>Option Care Health Inc.</v>
      </c>
      <c r="C1147" s="5">
        <v>-0.06084891659246</v>
      </c>
      <c r="D1147" s="5">
        <v>0.188133683815246</v>
      </c>
      <c r="E1147" s="5">
        <v>-0.073499267935578</v>
      </c>
      <c r="F1147" s="5">
        <v>-0.06084891659246</v>
      </c>
      <c r="G1147" s="5">
        <v>0.104748603351955</v>
      </c>
      <c r="H1147" s="5">
        <v>0.390158172231985</v>
      </c>
      <c r="I1147" s="5">
        <v>7.93785310734463</v>
      </c>
    </row>
    <row r="1148">
      <c r="A1148" s="2" t="s">
        <v>1173</v>
      </c>
      <c r="B1148" s="8" t="str">
        <f>HYPERLINK("https://www.suredividend.com/sure-analysis-research-database/","OppFi Inc")</f>
        <v>OppFi Inc</v>
      </c>
      <c r="C1148" s="5">
        <v>-0.31640625</v>
      </c>
      <c r="D1148" s="5">
        <v>0.562499999999999</v>
      </c>
      <c r="E1148" s="5">
        <v>0.674641148325358</v>
      </c>
      <c r="F1148" s="5">
        <v>-0.31640625</v>
      </c>
      <c r="G1148" s="5">
        <v>0.528384279475982</v>
      </c>
      <c r="H1148" s="5">
        <v>-0.187935034802784</v>
      </c>
      <c r="I1148" s="5">
        <v>-0.644670050761421</v>
      </c>
    </row>
    <row r="1149">
      <c r="A1149" s="2" t="s">
        <v>1174</v>
      </c>
      <c r="B1149" s="8" t="str">
        <f>HYPERLINK("https://www.suredividend.com/sure-analysis-OPI/","Office Properties Income Trust")</f>
        <v>Office Properties Income Trust</v>
      </c>
      <c r="C1149" s="5">
        <v>-0.495876599358886</v>
      </c>
      <c r="D1149" s="5">
        <v>-0.104339572127436</v>
      </c>
      <c r="E1149" s="5">
        <v>-0.450360700790106</v>
      </c>
      <c r="F1149" s="5">
        <v>-0.495876599358886</v>
      </c>
      <c r="G1149" s="5">
        <v>-0.720683111954459</v>
      </c>
      <c r="H1149" s="5">
        <v>-0.789654186910545</v>
      </c>
      <c r="I1149" s="5">
        <v>-0.787156515150638</v>
      </c>
    </row>
    <row r="1150">
      <c r="A1150" s="2" t="s">
        <v>1175</v>
      </c>
      <c r="B1150" s="8" t="str">
        <f>HYPERLINK("https://www.suredividend.com/sure-analysis-research-database/","Opko Health Inc")</f>
        <v>Opko Health Inc</v>
      </c>
      <c r="C1150" s="5">
        <v>-0.324503311258278</v>
      </c>
      <c r="D1150" s="5">
        <v>-0.170731707317073</v>
      </c>
      <c r="E1150" s="5">
        <v>-0.451612903225806</v>
      </c>
      <c r="F1150" s="5">
        <v>-0.324503311258278</v>
      </c>
      <c r="G1150" s="5">
        <v>-0.19047619047619</v>
      </c>
      <c r="H1150" s="5">
        <v>-0.654237288135593</v>
      </c>
      <c r="I1150" s="5">
        <v>-0.712676056338028</v>
      </c>
    </row>
    <row r="1151">
      <c r="A1151" s="2" t="s">
        <v>1176</v>
      </c>
      <c r="B1151" s="8" t="str">
        <f>HYPERLINK("https://www.suredividend.com/sure-analysis-research-database/","Oportun Financial Corp")</f>
        <v>Oportun Financial Corp</v>
      </c>
      <c r="C1151" s="5">
        <v>0.053708439897698</v>
      </c>
      <c r="D1151" s="5">
        <v>-0.252268602540834</v>
      </c>
      <c r="E1151" s="5">
        <v>-0.330081300813008</v>
      </c>
      <c r="F1151" s="5">
        <v>0.053708439897698</v>
      </c>
      <c r="G1151" s="5">
        <v>-0.364197530864197</v>
      </c>
      <c r="H1151" s="5">
        <v>-0.771238200999444</v>
      </c>
      <c r="I1151" s="5">
        <v>-0.745207173778602</v>
      </c>
    </row>
    <row r="1152">
      <c r="A1152" s="2" t="s">
        <v>1177</v>
      </c>
      <c r="B1152" s="8" t="str">
        <f>HYPERLINK("https://www.suredividend.com/sure-analysis-research-database/","OptimizeRx Corp")</f>
        <v>OptimizeRx Corp</v>
      </c>
      <c r="C1152" s="5">
        <v>0.022361984626135</v>
      </c>
      <c r="D1152" s="5">
        <v>0.912418300653594</v>
      </c>
      <c r="E1152" s="5">
        <v>0.054034582132564</v>
      </c>
      <c r="F1152" s="5">
        <v>0.022361984626135</v>
      </c>
      <c r="G1152" s="5">
        <v>-0.166856492027334</v>
      </c>
      <c r="H1152" s="5">
        <v>-0.639743905442009</v>
      </c>
      <c r="I1152" s="5">
        <v>0.256872852233676</v>
      </c>
    </row>
    <row r="1153">
      <c r="A1153" s="2" t="s">
        <v>1178</v>
      </c>
      <c r="B1153" s="8" t="str">
        <f>HYPERLINK("https://www.suredividend.com/sure-analysis-research-database/","Oppenheimer Holdings Inc")</f>
        <v>Oppenheimer Holdings Inc</v>
      </c>
      <c r="C1153" s="5">
        <v>-0.066553727008712</v>
      </c>
      <c r="D1153" s="5">
        <v>0.148795358354455</v>
      </c>
      <c r="E1153" s="5">
        <v>-0.039096346971671</v>
      </c>
      <c r="F1153" s="5">
        <v>-0.066553727008712</v>
      </c>
      <c r="G1153" s="5">
        <v>-0.170838985401004</v>
      </c>
      <c r="H1153" s="5">
        <v>-0.034581844031277</v>
      </c>
      <c r="I1153" s="5">
        <v>0.673297093747153</v>
      </c>
    </row>
    <row r="1154">
      <c r="A1154" s="2" t="s">
        <v>1179</v>
      </c>
      <c r="B1154" s="8" t="str">
        <f>HYPERLINK("https://www.suredividend.com/sure-analysis-research-database/","Ormat Technologies Inc")</f>
        <v>Ormat Technologies Inc</v>
      </c>
      <c r="C1154" s="5">
        <v>-0.127589391740335</v>
      </c>
      <c r="D1154" s="5">
        <v>0.078483663712743</v>
      </c>
      <c r="E1154" s="5">
        <v>-0.183367977205443</v>
      </c>
      <c r="F1154" s="5">
        <v>-0.127589391740335</v>
      </c>
      <c r="G1154" s="5">
        <v>-0.272826452752415</v>
      </c>
      <c r="H1154" s="5">
        <v>0.027703862127278</v>
      </c>
      <c r="I1154" s="5">
        <v>0.227533737684283</v>
      </c>
    </row>
    <row r="1155">
      <c r="A1155" s="2" t="s">
        <v>1180</v>
      </c>
      <c r="B1155" s="8" t="str">
        <f>HYPERLINK("https://www.suredividend.com/sure-analysis-ORC/","Orchid Island Capital Inc")</f>
        <v>Orchid Island Capital Inc</v>
      </c>
      <c r="C1155" s="5">
        <v>0.033209444424397</v>
      </c>
      <c r="D1155" s="5">
        <v>0.515873436038611</v>
      </c>
      <c r="E1155" s="5">
        <v>-0.113702022286421</v>
      </c>
      <c r="F1155" s="5">
        <v>0.033209444424397</v>
      </c>
      <c r="G1155" s="5">
        <v>-0.152207812715895</v>
      </c>
      <c r="H1155" s="5">
        <v>-0.333462657613967</v>
      </c>
      <c r="I1155" s="5">
        <v>-0.406808922035771</v>
      </c>
    </row>
    <row r="1156">
      <c r="A1156" s="2" t="s">
        <v>1181</v>
      </c>
      <c r="B1156" s="8" t="str">
        <f>HYPERLINK("https://www.suredividend.com/sure-analysis-research-database/","Origin Materials Inc")</f>
        <v>Origin Materials Inc</v>
      </c>
      <c r="C1156" s="5">
        <v>-0.257474288447739</v>
      </c>
      <c r="D1156" s="5">
        <v>-0.361936080567259</v>
      </c>
      <c r="E1156" s="5">
        <v>-0.85321513002364</v>
      </c>
      <c r="F1156" s="5">
        <v>-0.257474288447739</v>
      </c>
      <c r="G1156" s="5">
        <v>-0.895295109612141</v>
      </c>
      <c r="H1156" s="5">
        <v>-0.871449275362318</v>
      </c>
      <c r="I1156" s="5">
        <v>-0.93791</v>
      </c>
    </row>
    <row r="1157">
      <c r="A1157" s="2" t="s">
        <v>1182</v>
      </c>
      <c r="B1157" s="8" t="str">
        <f>HYPERLINK("https://www.suredividend.com/sure-analysis-research-database/","Organogenesis Holdings Inc")</f>
        <v>Organogenesis Holdings Inc</v>
      </c>
      <c r="C1157" s="5">
        <v>-0.11002444987775</v>
      </c>
      <c r="D1157" s="5">
        <v>0.693023255813953</v>
      </c>
      <c r="E1157" s="5">
        <v>-0.147540983606557</v>
      </c>
      <c r="F1157" s="5">
        <v>-0.11002444987775</v>
      </c>
      <c r="G1157" s="5">
        <v>0.399999999999999</v>
      </c>
      <c r="H1157" s="5">
        <v>-0.488045007032348</v>
      </c>
      <c r="I1157" s="5">
        <v>-0.757333333333333</v>
      </c>
    </row>
    <row r="1158">
      <c r="A1158" s="2" t="s">
        <v>1183</v>
      </c>
      <c r="B1158" s="8" t="str">
        <f>HYPERLINK("https://www.suredividend.com/sure-analysis-research-database/","Orrstown Financial Services, Inc.")</f>
        <v>Orrstown Financial Services, Inc.</v>
      </c>
      <c r="C1158" s="5">
        <v>-0.01593220338983</v>
      </c>
      <c r="D1158" s="5">
        <v>0.451529030580611</v>
      </c>
      <c r="E1158" s="5">
        <v>0.25410944405324</v>
      </c>
      <c r="F1158" s="5">
        <v>-0.01593220338983</v>
      </c>
      <c r="G1158" s="5">
        <v>0.29062374961099</v>
      </c>
      <c r="H1158" s="5">
        <v>0.315747728148299</v>
      </c>
      <c r="I1158" s="5">
        <v>0.911452914916312</v>
      </c>
    </row>
    <row r="1159">
      <c r="A1159" s="2" t="s">
        <v>1184</v>
      </c>
      <c r="B1159" s="8" t="str">
        <f>HYPERLINK("https://www.suredividend.com/sure-analysis-research-database/","Old Second Bancorporation Inc.")</f>
        <v>Old Second Bancorporation Inc.</v>
      </c>
      <c r="C1159" s="5">
        <v>-0.071056062581486</v>
      </c>
      <c r="D1159" s="5">
        <v>0.062441752096924</v>
      </c>
      <c r="E1159" s="5">
        <v>-0.097947117545403</v>
      </c>
      <c r="F1159" s="5">
        <v>-0.071056062581486</v>
      </c>
      <c r="G1159" s="5">
        <v>-0.126426071124243</v>
      </c>
      <c r="H1159" s="5">
        <v>0.118296109114309</v>
      </c>
      <c r="I1159" s="5">
        <v>0.062568507706417</v>
      </c>
    </row>
    <row r="1160">
      <c r="A1160" s="2" t="s">
        <v>1185</v>
      </c>
      <c r="B1160" s="8" t="str">
        <f>HYPERLINK("https://www.suredividend.com/sure-analysis-research-database/","Oscar Health Inc")</f>
        <v>Oscar Health Inc</v>
      </c>
      <c r="C1160" s="5">
        <v>0.434972677595628</v>
      </c>
      <c r="D1160" s="5">
        <v>1.70721649484536</v>
      </c>
      <c r="E1160" s="5">
        <v>0.750666666666666</v>
      </c>
      <c r="F1160" s="5">
        <v>0.434972677595628</v>
      </c>
      <c r="G1160" s="5">
        <v>2.86176470588235</v>
      </c>
      <c r="H1160" s="5">
        <v>1.11774193548387</v>
      </c>
      <c r="I1160" s="5">
        <v>-0.622701149425287</v>
      </c>
    </row>
    <row r="1161">
      <c r="A1161" s="2" t="s">
        <v>1186</v>
      </c>
      <c r="B1161" s="8" t="str">
        <f>HYPERLINK("https://www.suredividend.com/sure-analysis-research-database/","OSI Systems, Inc.")</f>
        <v>OSI Systems, Inc.</v>
      </c>
      <c r="C1161" s="5">
        <v>0.009686168151879</v>
      </c>
      <c r="D1161" s="5">
        <v>0.224796728862151</v>
      </c>
      <c r="E1161" s="5">
        <v>0.107710618039615</v>
      </c>
      <c r="F1161" s="5">
        <v>0.009686168151879</v>
      </c>
      <c r="G1161" s="5">
        <v>0.382640067911715</v>
      </c>
      <c r="H1161" s="5">
        <v>0.590770357709681</v>
      </c>
      <c r="I1161" s="5">
        <v>0.472649186256781</v>
      </c>
    </row>
    <row r="1162">
      <c r="A1162" s="2" t="s">
        <v>1187</v>
      </c>
      <c r="B1162" s="8" t="str">
        <f>HYPERLINK("https://www.suredividend.com/sure-analysis-research-database/","OneSpan Inc")</f>
        <v>OneSpan Inc</v>
      </c>
      <c r="C1162" s="5">
        <v>0.035447761194029</v>
      </c>
      <c r="D1162" s="5">
        <v>0.439688715953307</v>
      </c>
      <c r="E1162" s="5">
        <v>-0.185619955979457</v>
      </c>
      <c r="F1162" s="5">
        <v>0.035447761194029</v>
      </c>
      <c r="G1162" s="5">
        <v>-0.208838203848895</v>
      </c>
      <c r="H1162" s="5">
        <v>-0.285254346426271</v>
      </c>
      <c r="I1162" s="5">
        <v>-0.212207239176721</v>
      </c>
    </row>
    <row r="1163">
      <c r="A1163" s="2" t="s">
        <v>1188</v>
      </c>
      <c r="B1163" s="8" t="str">
        <f>HYPERLINK("https://www.suredividend.com/sure-analysis-research-database/","Beyond Inc")</f>
        <v>Beyond Inc</v>
      </c>
      <c r="C1163" s="5">
        <v>0.0</v>
      </c>
      <c r="D1163" s="5">
        <v>0.0</v>
      </c>
      <c r="E1163" s="5">
        <v>0.0</v>
      </c>
      <c r="F1163" s="5">
        <v>0.0</v>
      </c>
      <c r="G1163" s="5">
        <v>0.0</v>
      </c>
      <c r="H1163" s="5">
        <v>0.0</v>
      </c>
      <c r="I1163" s="5">
        <v>0.0</v>
      </c>
    </row>
    <row r="1164">
      <c r="A1164" s="2" t="s">
        <v>1189</v>
      </c>
      <c r="B1164" s="8" t="str">
        <f>HYPERLINK("https://www.suredividend.com/sure-analysis-research-database/","Orasure Technologies Inc.")</f>
        <v>Orasure Technologies Inc.</v>
      </c>
      <c r="C1164" s="5">
        <v>-0.047560975609756</v>
      </c>
      <c r="D1164" s="5">
        <v>0.513565891472868</v>
      </c>
      <c r="E1164" s="5">
        <v>0.68682505399568</v>
      </c>
      <c r="F1164" s="5">
        <v>-0.047560975609756</v>
      </c>
      <c r="G1164" s="5">
        <v>0.476370510396975</v>
      </c>
      <c r="H1164" s="5">
        <v>-0.09919261822376</v>
      </c>
      <c r="I1164" s="5">
        <v>-0.367611336032388</v>
      </c>
    </row>
    <row r="1165">
      <c r="A1165" s="2" t="s">
        <v>1190</v>
      </c>
      <c r="B1165" s="8" t="str">
        <f>HYPERLINK("https://www.suredividend.com/sure-analysis-research-database/","OneSpaWorld Holdings Limited")</f>
        <v>OneSpaWorld Holdings Limited</v>
      </c>
      <c r="C1165" s="5">
        <v>-0.022695035460992</v>
      </c>
      <c r="D1165" s="5">
        <v>0.331400966183574</v>
      </c>
      <c r="E1165" s="5">
        <v>0.106827309236947</v>
      </c>
      <c r="F1165" s="5">
        <v>-0.022695035460992</v>
      </c>
      <c r="G1165" s="5">
        <v>0.340466926070039</v>
      </c>
      <c r="H1165" s="5">
        <v>0.389112903225806</v>
      </c>
      <c r="I1165" s="5">
        <v>0.126654620673867</v>
      </c>
    </row>
    <row r="1166">
      <c r="A1166" s="2" t="s">
        <v>1191</v>
      </c>
      <c r="B1166" s="8" t="str">
        <f>HYPERLINK("https://www.suredividend.com/sure-analysis-research-database/","Outlook Therapeutics Inc")</f>
        <v>Outlook Therapeutics Inc</v>
      </c>
      <c r="C1166" s="5">
        <v>0.132994923857868</v>
      </c>
      <c r="D1166" s="5">
        <v>-0.107199999999999</v>
      </c>
      <c r="E1166" s="5">
        <v>-0.731084337349397</v>
      </c>
      <c r="F1166" s="5">
        <v>0.132994923857868</v>
      </c>
      <c r="G1166" s="5">
        <v>-0.618461538461538</v>
      </c>
      <c r="H1166" s="5">
        <v>-0.676521739130434</v>
      </c>
      <c r="I1166" s="5">
        <v>-0.923561643835616</v>
      </c>
    </row>
    <row r="1167">
      <c r="A1167" s="2" t="s">
        <v>1192</v>
      </c>
      <c r="B1167" s="8" t="str">
        <f>HYPERLINK("https://www.suredividend.com/sure-analysis-OTTR/","Otter Tail Corporation")</f>
        <v>Otter Tail Corporation</v>
      </c>
      <c r="C1167" s="5">
        <v>0.069671648817229</v>
      </c>
      <c r="D1167" s="5">
        <v>0.306181692762037</v>
      </c>
      <c r="E1167" s="5">
        <v>0.147532911557016</v>
      </c>
      <c r="F1167" s="5">
        <v>0.069671648817229</v>
      </c>
      <c r="G1167" s="5">
        <v>0.49936241217702</v>
      </c>
      <c r="H1167" s="5">
        <v>0.536225270221163</v>
      </c>
      <c r="I1167" s="5">
        <v>1.24174544880538</v>
      </c>
    </row>
    <row r="1168">
      <c r="A1168" s="2" t="s">
        <v>1193</v>
      </c>
      <c r="B1168" s="8" t="str">
        <f>HYPERLINK("https://www.suredividend.com/sure-analysis-research-database/","Ouster Inc")</f>
        <v>Ouster Inc</v>
      </c>
      <c r="C1168" s="5">
        <v>-0.225554106910039</v>
      </c>
      <c r="D1168" s="5">
        <v>0.567282321899736</v>
      </c>
      <c r="E1168" s="5">
        <v>0.010204081632653</v>
      </c>
      <c r="F1168" s="5">
        <v>-0.225554106910039</v>
      </c>
      <c r="G1168" s="5">
        <v>-0.569565217391304</v>
      </c>
      <c r="H1168" s="5">
        <v>-0.803311258278145</v>
      </c>
      <c r="I1168" s="5">
        <v>-0.387628865979381</v>
      </c>
    </row>
    <row r="1169">
      <c r="A1169" s="2" t="s">
        <v>1194</v>
      </c>
      <c r="B1169" s="8" t="str">
        <f>HYPERLINK("https://www.suredividend.com/sure-analysis-research-database/","Outfront Media Inc")</f>
        <v>Outfront Media Inc</v>
      </c>
      <c r="C1169" s="5">
        <v>-0.00214899713467</v>
      </c>
      <c r="D1169" s="5">
        <v>0.483366699322741</v>
      </c>
      <c r="E1169" s="5">
        <v>-0.039495821496538</v>
      </c>
      <c r="F1169" s="5">
        <v>-0.00214899713467</v>
      </c>
      <c r="G1169" s="5">
        <v>-0.20556163883566</v>
      </c>
      <c r="H1169" s="5">
        <v>-0.328865527392211</v>
      </c>
      <c r="I1169" s="5">
        <v>-0.163890639536628</v>
      </c>
    </row>
    <row r="1170">
      <c r="A1170" s="2" t="s">
        <v>1195</v>
      </c>
      <c r="B1170" s="8" t="str">
        <f>HYPERLINK("https://www.suredividend.com/sure-analysis-research-database/","Oxford Industries, Inc.")</f>
        <v>Oxford Industries, Inc.</v>
      </c>
      <c r="C1170" s="5">
        <v>-0.002655959598807</v>
      </c>
      <c r="D1170" s="5">
        <v>0.161051674183536</v>
      </c>
      <c r="E1170" s="5">
        <v>-0.062310090815636</v>
      </c>
      <c r="F1170" s="5">
        <v>-0.002655959598807</v>
      </c>
      <c r="G1170" s="5">
        <v>-0.132262136373072</v>
      </c>
      <c r="H1170" s="5">
        <v>0.286943100901483</v>
      </c>
      <c r="I1170" s="5">
        <v>0.43932140049779</v>
      </c>
    </row>
    <row r="1171">
      <c r="A1171" s="2" t="s">
        <v>1196</v>
      </c>
      <c r="B1171" s="8" t="str">
        <f>HYPERLINK("https://www.suredividend.com/sure-analysis-research-database/","Pacific Biosciences of California Inc")</f>
        <v>Pacific Biosciences of California Inc</v>
      </c>
      <c r="C1171" s="5">
        <v>-0.245667686034658</v>
      </c>
      <c r="D1171" s="5">
        <v>0.040787623066104</v>
      </c>
      <c r="E1171" s="5">
        <v>-0.451851851851851</v>
      </c>
      <c r="F1171" s="5">
        <v>-0.245667686034658</v>
      </c>
      <c r="G1171" s="5">
        <v>-0.371816638370118</v>
      </c>
      <c r="H1171" s="5">
        <v>-0.26441351888668</v>
      </c>
      <c r="I1171" s="5">
        <v>0.064748201438848</v>
      </c>
    </row>
    <row r="1172">
      <c r="A1172" s="2" t="s">
        <v>1197</v>
      </c>
      <c r="B1172" s="8" t="str">
        <f>HYPERLINK("https://www.suredividend.com/sure-analysis-research-database/","Ranpak Holdings Corp")</f>
        <v>Ranpak Holdings Corp</v>
      </c>
      <c r="C1172" s="5">
        <v>-0.20274914089347</v>
      </c>
      <c r="D1172" s="5">
        <v>0.360703812316715</v>
      </c>
      <c r="E1172" s="5">
        <v>-0.239344262295082</v>
      </c>
      <c r="F1172" s="5">
        <v>-0.20274914089347</v>
      </c>
      <c r="G1172" s="5">
        <v>-0.391874180865006</v>
      </c>
      <c r="H1172" s="5">
        <v>-0.815065763252291</v>
      </c>
      <c r="I1172" s="5">
        <v>-0.53922542204568</v>
      </c>
    </row>
    <row r="1173">
      <c r="A1173" s="2" t="s">
        <v>1198</v>
      </c>
      <c r="B1173" s="8" t="str">
        <f>HYPERLINK("https://www.suredividend.com/sure-analysis-research-database/","Phibro Animal Health Corp.")</f>
        <v>Phibro Animal Health Corp.</v>
      </c>
      <c r="C1173" s="5">
        <v>0.006908462867012</v>
      </c>
      <c r="D1173" s="5">
        <v>0.10817540724971</v>
      </c>
      <c r="E1173" s="5">
        <v>-0.155482483142242</v>
      </c>
      <c r="F1173" s="5">
        <v>0.006908462867012</v>
      </c>
      <c r="G1173" s="5">
        <v>-0.190834079348225</v>
      </c>
      <c r="H1173" s="5">
        <v>-0.312670211386331</v>
      </c>
      <c r="I1173" s="5">
        <v>-0.56560613963192</v>
      </c>
    </row>
    <row r="1174">
      <c r="A1174" s="2" t="s">
        <v>1199</v>
      </c>
      <c r="B1174" s="8" t="str">
        <f>HYPERLINK("https://www.suredividend.com/sure-analysis-research-database/","Par Technology Corp.")</f>
        <v>Par Technology Corp.</v>
      </c>
      <c r="C1174" s="5">
        <v>0.11070280202113</v>
      </c>
      <c r="D1174" s="5">
        <v>0.693870402802101</v>
      </c>
      <c r="E1174" s="5">
        <v>0.447470817120622</v>
      </c>
      <c r="F1174" s="5">
        <v>0.11070280202113</v>
      </c>
      <c r="G1174" s="5">
        <v>0.383295194508009</v>
      </c>
      <c r="H1174" s="5">
        <v>0.383295194508009</v>
      </c>
      <c r="I1174" s="5">
        <v>0.969857433808554</v>
      </c>
    </row>
    <row r="1175">
      <c r="A1175" s="2" t="s">
        <v>1200</v>
      </c>
      <c r="B1175" s="8" t="str">
        <f>HYPERLINK("https://www.suredividend.com/sure-analysis-research-database/","Par Pacific Holdings Inc")</f>
        <v>Par Pacific Holdings Inc</v>
      </c>
      <c r="C1175" s="5">
        <v>-0.024195765740995</v>
      </c>
      <c r="D1175" s="5">
        <v>0.106986899563318</v>
      </c>
      <c r="E1175" s="5">
        <v>0.142259414225941</v>
      </c>
      <c r="F1175" s="5">
        <v>-0.024195765740995</v>
      </c>
      <c r="G1175" s="5">
        <v>0.294310722100656</v>
      </c>
      <c r="H1175" s="5">
        <v>1.63083765752409</v>
      </c>
      <c r="I1175" s="5">
        <v>1.20297951582867</v>
      </c>
    </row>
    <row r="1176">
      <c r="A1176" s="2" t="s">
        <v>1201</v>
      </c>
      <c r="B1176" s="8" t="str">
        <f>HYPERLINK("https://www.suredividend.com/sure-analysis-research-database/","Patrick Industries, Inc.")</f>
        <v>Patrick Industries, Inc.</v>
      </c>
      <c r="C1176" s="5">
        <v>0.036870951669157</v>
      </c>
      <c r="D1176" s="5">
        <v>0.469535214470225</v>
      </c>
      <c r="E1176" s="5">
        <v>0.242797626441669</v>
      </c>
      <c r="F1176" s="5">
        <v>0.036870951669157</v>
      </c>
      <c r="G1176" s="5">
        <v>0.572296156827664</v>
      </c>
      <c r="H1176" s="5">
        <v>0.742542487556856</v>
      </c>
      <c r="I1176" s="5">
        <v>1.90294591118464</v>
      </c>
    </row>
    <row r="1177">
      <c r="A1177" s="2" t="s">
        <v>1202</v>
      </c>
      <c r="B1177" s="8" t="str">
        <f>HYPERLINK("https://www.suredividend.com/sure-analysis-research-database/","Payoneer Global Inc")</f>
        <v>Payoneer Global Inc</v>
      </c>
      <c r="C1177" s="5">
        <v>-0.057581573896353</v>
      </c>
      <c r="D1177" s="5">
        <v>-0.126334519572953</v>
      </c>
      <c r="E1177" s="5">
        <v>-0.064761904761904</v>
      </c>
      <c r="F1177" s="5">
        <v>-0.057581573896353</v>
      </c>
      <c r="G1177" s="5">
        <v>-0.170608108108108</v>
      </c>
      <c r="H1177" s="5">
        <v>0.055913978494623</v>
      </c>
      <c r="I1177" s="5">
        <v>-0.536792452830188</v>
      </c>
    </row>
    <row r="1178">
      <c r="A1178" s="2" t="s">
        <v>1203</v>
      </c>
      <c r="B1178" s="8" t="str">
        <f>HYPERLINK("https://www.suredividend.com/sure-analysis-research-database/","PBF Energy Inc")</f>
        <v>PBF Energy Inc</v>
      </c>
      <c r="C1178" s="5">
        <v>0.112602365787079</v>
      </c>
      <c r="D1178" s="5">
        <v>0.066960438913188</v>
      </c>
      <c r="E1178" s="5">
        <v>0.044563188491224</v>
      </c>
      <c r="F1178" s="5">
        <v>0.112602365787079</v>
      </c>
      <c r="G1178" s="5">
        <v>0.155751108254487</v>
      </c>
      <c r="H1178" s="5">
        <v>2.11067015194011</v>
      </c>
      <c r="I1178" s="5">
        <v>0.54831398072759</v>
      </c>
    </row>
    <row r="1179">
      <c r="A1179" s="2" t="s">
        <v>1204</v>
      </c>
      <c r="B1179" s="8" t="str">
        <f>HYPERLINK("https://www.suredividend.com/sure-analysis-research-database/","Pioneer Bancorp Inc")</f>
        <v>Pioneer Bancorp Inc</v>
      </c>
      <c r="C1179" s="5">
        <v>0.035964035964035</v>
      </c>
      <c r="D1179" s="5">
        <v>0.260024301336573</v>
      </c>
      <c r="E1179" s="5">
        <v>0.053861788617886</v>
      </c>
      <c r="F1179" s="5">
        <v>0.035964035964035</v>
      </c>
      <c r="G1179" s="5">
        <v>-0.054694621695533</v>
      </c>
      <c r="H1179" s="5">
        <v>-0.079858030168589</v>
      </c>
      <c r="I1179" s="5">
        <v>-0.296949152542373</v>
      </c>
    </row>
    <row r="1180">
      <c r="A1180" s="2" t="s">
        <v>1205</v>
      </c>
      <c r="B1180" s="8" t="str">
        <f>HYPERLINK("https://www.suredividend.com/sure-analysis-research-database/","Prestige Consumer Healthcare Inc")</f>
        <v>Prestige Consumer Healthcare Inc</v>
      </c>
      <c r="C1180" s="5">
        <v>0.037242731133616</v>
      </c>
      <c r="D1180" s="5">
        <v>0.079014443500424</v>
      </c>
      <c r="E1180" s="5">
        <v>-0.023076923076923</v>
      </c>
      <c r="F1180" s="5">
        <v>0.037242731133616</v>
      </c>
      <c r="G1180" s="5">
        <v>-0.0333384076724</v>
      </c>
      <c r="H1180" s="5">
        <v>0.097097442985487</v>
      </c>
      <c r="I1180" s="5">
        <v>1.3049001814882</v>
      </c>
    </row>
    <row r="1181">
      <c r="A1181" s="2" t="s">
        <v>1206</v>
      </c>
      <c r="B1181" s="8" t="str">
        <f>HYPERLINK("https://www.suredividend.com/sure-analysis-research-database/","Pitney Bowes, Inc.")</f>
        <v>Pitney Bowes, Inc.</v>
      </c>
      <c r="C1181" s="5">
        <v>-0.004545454545454</v>
      </c>
      <c r="D1181" s="5">
        <v>0.449851042701092</v>
      </c>
      <c r="E1181" s="5">
        <v>0.156679958803179</v>
      </c>
      <c r="F1181" s="5">
        <v>-0.004545454545454</v>
      </c>
      <c r="G1181" s="5">
        <v>0.082871835443037</v>
      </c>
      <c r="H1181" s="5">
        <v>-0.170061582188536</v>
      </c>
      <c r="I1181" s="5">
        <v>-0.243667006268239</v>
      </c>
    </row>
    <row r="1182">
      <c r="A1182" s="2" t="s">
        <v>1207</v>
      </c>
      <c r="B1182" s="8" t="str">
        <f>HYPERLINK("https://www.suredividend.com/sure-analysis-research-database/","PCB Bancorp.")</f>
        <v>PCB Bancorp.</v>
      </c>
      <c r="C1182" s="5">
        <v>-0.046120455778621</v>
      </c>
      <c r="D1182" s="5">
        <v>0.168447918328281</v>
      </c>
      <c r="E1182" s="5">
        <v>0.119809415826384</v>
      </c>
      <c r="F1182" s="5">
        <v>-0.046120455778621</v>
      </c>
      <c r="G1182" s="5">
        <v>-0.016228315612758</v>
      </c>
      <c r="H1182" s="5">
        <v>-0.132999289828769</v>
      </c>
      <c r="I1182" s="5">
        <v>0.312194903488736</v>
      </c>
    </row>
    <row r="1183">
      <c r="A1183" s="2" t="s">
        <v>1208</v>
      </c>
      <c r="B1183" s="8" t="str">
        <f>HYPERLINK("https://www.suredividend.com/sure-analysis-research-database/","PotlatchDeltic Corp")</f>
        <v>PotlatchDeltic Corp</v>
      </c>
      <c r="C1183" s="5">
        <v>-0.062525458248472</v>
      </c>
      <c r="D1183" s="5">
        <v>0.103564347415386</v>
      </c>
      <c r="E1183" s="5">
        <v>-0.094309477383315</v>
      </c>
      <c r="F1183" s="5">
        <v>-0.062525458248472</v>
      </c>
      <c r="G1183" s="5">
        <v>9.11105264187E-4</v>
      </c>
      <c r="H1183" s="5">
        <v>-0.029009475753714</v>
      </c>
      <c r="I1183" s="5">
        <v>0.731362371172797</v>
      </c>
    </row>
    <row r="1184">
      <c r="A1184" s="2" t="s">
        <v>1209</v>
      </c>
      <c r="B1184" s="8" t="str">
        <f>HYPERLINK("https://www.suredividend.com/sure-analysis-research-database/","Pacira BioSciences Inc")</f>
        <v>Pacira BioSciences Inc</v>
      </c>
      <c r="C1184" s="5">
        <v>-0.03764078245406</v>
      </c>
      <c r="D1184" s="5">
        <v>0.177729416031918</v>
      </c>
      <c r="E1184" s="5">
        <v>-0.092509782001118</v>
      </c>
      <c r="F1184" s="5">
        <v>-0.03764078245406</v>
      </c>
      <c r="G1184" s="5">
        <v>-0.175888324873096</v>
      </c>
      <c r="H1184" s="5">
        <v>-0.472032520325203</v>
      </c>
      <c r="I1184" s="5">
        <v>-0.187437437437437</v>
      </c>
    </row>
    <row r="1185">
      <c r="A1185" s="2" t="s">
        <v>1210</v>
      </c>
      <c r="B1185" s="8" t="str">
        <f>HYPERLINK("https://www.suredividend.com/sure-analysis-research-database/","PureCycle Technologies Inc")</f>
        <v>PureCycle Technologies Inc</v>
      </c>
      <c r="C1185" s="5">
        <v>0.034567901234568</v>
      </c>
      <c r="D1185" s="5">
        <v>-0.127083333333333</v>
      </c>
      <c r="E1185" s="5">
        <v>-0.62854609929078</v>
      </c>
      <c r="F1185" s="5">
        <v>0.034567901234568</v>
      </c>
      <c r="G1185" s="5">
        <v>-0.49273607748184</v>
      </c>
      <c r="H1185" s="5">
        <v>-0.222634508348793</v>
      </c>
      <c r="I1185" s="5">
        <v>-0.589215686274509</v>
      </c>
    </row>
    <row r="1186">
      <c r="A1186" s="2" t="s">
        <v>1211</v>
      </c>
      <c r="B1186" s="8" t="str">
        <f>HYPERLINK("https://www.suredividend.com/sure-analysis-research-database/","Vaxcyte Inc")</f>
        <v>Vaxcyte Inc</v>
      </c>
      <c r="C1186" s="5">
        <v>0.090764331210191</v>
      </c>
      <c r="D1186" s="5">
        <v>0.457446808510638</v>
      </c>
      <c r="E1186" s="5">
        <v>0.466809421841541</v>
      </c>
      <c r="F1186" s="5">
        <v>0.090764331210191</v>
      </c>
      <c r="G1186" s="5">
        <v>0.483647390080138</v>
      </c>
      <c r="H1186" s="5">
        <v>2.8418395961862</v>
      </c>
      <c r="I1186" s="5">
        <v>1.61950286806883</v>
      </c>
    </row>
    <row r="1187">
      <c r="A1187" s="2" t="s">
        <v>1212</v>
      </c>
      <c r="B1187" s="8" t="str">
        <f>HYPERLINK("https://www.suredividend.com/sure-analysis-research-database/","Pure Cycle Corp.")</f>
        <v>Pure Cycle Corp.</v>
      </c>
      <c r="C1187" s="5">
        <v>-0.018147086914995</v>
      </c>
      <c r="D1187" s="5">
        <v>0.104189044038667</v>
      </c>
      <c r="E1187" s="5">
        <v>-0.1628664495114</v>
      </c>
      <c r="F1187" s="5">
        <v>-0.018147086914995</v>
      </c>
      <c r="G1187" s="5">
        <v>0.113759479956663</v>
      </c>
      <c r="H1187" s="5">
        <v>-0.188634569850039</v>
      </c>
      <c r="I1187" s="5">
        <v>0.033165829145728</v>
      </c>
    </row>
    <row r="1188">
      <c r="A1188" s="2" t="s">
        <v>1213</v>
      </c>
      <c r="B1188" s="8" t="str">
        <f>HYPERLINK("https://www.suredividend.com/sure-analysis-research-database/","Pagerduty Inc")</f>
        <v>Pagerduty Inc</v>
      </c>
      <c r="C1188" s="5">
        <v>0.065226781857451</v>
      </c>
      <c r="D1188" s="5">
        <v>0.255600814663951</v>
      </c>
      <c r="E1188" s="5">
        <v>-0.008443908323281</v>
      </c>
      <c r="F1188" s="5">
        <v>0.065226781857451</v>
      </c>
      <c r="G1188" s="5">
        <v>-0.161224489795918</v>
      </c>
      <c r="H1188" s="5">
        <v>-0.232970451010886</v>
      </c>
      <c r="I1188" s="5">
        <v>-0.355294117647058</v>
      </c>
    </row>
    <row r="1189">
      <c r="A1189" s="2" t="s">
        <v>1214</v>
      </c>
      <c r="B1189" s="8" t="str">
        <f>HYPERLINK("https://www.suredividend.com/sure-analysis-PDCO/","Patterson Companies Inc.")</f>
        <v>Patterson Companies Inc.</v>
      </c>
      <c r="C1189" s="5">
        <v>0.065561272432635</v>
      </c>
      <c r="D1189" s="5">
        <v>0.002485363046488</v>
      </c>
      <c r="E1189" s="5">
        <v>-0.052498817594198</v>
      </c>
      <c r="F1189" s="5">
        <v>0.065561272432635</v>
      </c>
      <c r="G1189" s="5">
        <v>0.039756409812809</v>
      </c>
      <c r="H1189" s="5">
        <v>0.156583287467717</v>
      </c>
      <c r="I1189" s="5">
        <v>0.690082226296667</v>
      </c>
    </row>
    <row r="1190">
      <c r="A1190" s="2" t="s">
        <v>1215</v>
      </c>
      <c r="B1190" s="8" t="str">
        <f>HYPERLINK("https://www.suredividend.com/sure-analysis-research-database/","PDF Solutions Inc.")</f>
        <v>PDF Solutions Inc.</v>
      </c>
      <c r="C1190" s="5">
        <v>0.018668326073428</v>
      </c>
      <c r="D1190" s="5">
        <v>0.199706852326859</v>
      </c>
      <c r="E1190" s="5">
        <v>-0.289188015631784</v>
      </c>
      <c r="F1190" s="5">
        <v>0.018668326073428</v>
      </c>
      <c r="G1190" s="5">
        <v>0.028266331658291</v>
      </c>
      <c r="H1190" s="5">
        <v>0.172216254923021</v>
      </c>
      <c r="I1190" s="5">
        <v>2.22561576354679</v>
      </c>
    </row>
    <row r="1191">
      <c r="A1191" s="2" t="s">
        <v>1216</v>
      </c>
      <c r="B1191" s="8" t="str">
        <f>HYPERLINK("https://www.suredividend.com/sure-analysis-research-database/","PDL Biopharma Inc")</f>
        <v>PDL Biopharma Inc</v>
      </c>
      <c r="C1191" s="5">
        <v>0.0</v>
      </c>
      <c r="D1191" s="5">
        <v>0.0</v>
      </c>
      <c r="E1191" s="5">
        <v>0.0</v>
      </c>
      <c r="F1191" s="5">
        <v>0.0</v>
      </c>
      <c r="G1191" s="5">
        <v>0.0</v>
      </c>
      <c r="H1191" s="5">
        <v>0.0</v>
      </c>
      <c r="I1191" s="5">
        <v>0.0</v>
      </c>
    </row>
    <row r="1192">
      <c r="A1192" s="2" t="s">
        <v>1217</v>
      </c>
      <c r="B1192" s="8" t="str">
        <f>HYPERLINK("https://www.suredividend.com/sure-analysis-PDM/","Piedmont Office Realty Trust Inc")</f>
        <v>Piedmont Office Realty Trust Inc</v>
      </c>
      <c r="C1192" s="5">
        <v>0.042194092827004</v>
      </c>
      <c r="D1192" s="5">
        <v>0.491966335118592</v>
      </c>
      <c r="E1192" s="5">
        <v>0.049084705449294</v>
      </c>
      <c r="F1192" s="5">
        <v>0.042194092827004</v>
      </c>
      <c r="G1192" s="5">
        <v>-0.225000784412161</v>
      </c>
      <c r="H1192" s="5">
        <v>-0.509213018770449</v>
      </c>
      <c r="I1192" s="5">
        <v>-0.478308621636463</v>
      </c>
    </row>
    <row r="1193">
      <c r="A1193" s="2" t="s">
        <v>1218</v>
      </c>
      <c r="B1193" s="8" t="str">
        <f>HYPERLINK("https://www.suredividend.com/sure-analysis-research-database/","Pebblebrook Hotel Trust")</f>
        <v>Pebblebrook Hotel Trust</v>
      </c>
      <c r="C1193" s="5">
        <v>-0.010012515644555</v>
      </c>
      <c r="D1193" s="5">
        <v>0.356437935676375</v>
      </c>
      <c r="E1193" s="5">
        <v>0.042888973855261</v>
      </c>
      <c r="F1193" s="5">
        <v>-0.010012515644555</v>
      </c>
      <c r="G1193" s="5">
        <v>0.004106554619715</v>
      </c>
      <c r="H1193" s="5">
        <v>-0.244868735083532</v>
      </c>
      <c r="I1193" s="5">
        <v>-0.463546965072906</v>
      </c>
    </row>
    <row r="1194">
      <c r="A1194" s="2" t="s">
        <v>1219</v>
      </c>
      <c r="B1194" s="8" t="str">
        <f>HYPERLINK("https://www.suredividend.com/sure-analysis-research-database/","Peoples Bancorp, Inc. (Marietta, OH)")</f>
        <v>Peoples Bancorp, Inc. (Marietta, OH)</v>
      </c>
      <c r="C1194" s="5">
        <v>-0.091528436018957</v>
      </c>
      <c r="D1194" s="5">
        <v>0.161043159612203</v>
      </c>
      <c r="E1194" s="5">
        <v>0.154596173682585</v>
      </c>
      <c r="F1194" s="5">
        <v>-0.091528436018957</v>
      </c>
      <c r="G1194" s="5">
        <v>0.158324489479905</v>
      </c>
      <c r="H1194" s="5">
        <v>0.081079175743219</v>
      </c>
      <c r="I1194" s="5">
        <v>0.274931202766854</v>
      </c>
    </row>
    <row r="1195">
      <c r="A1195" s="2" t="s">
        <v>1220</v>
      </c>
      <c r="B1195" s="8" t="str">
        <f>HYPERLINK("https://www.suredividend.com/sure-analysis-PECO/","Phillips Edison &amp; Company Inc")</f>
        <v>Phillips Edison &amp; Company Inc</v>
      </c>
      <c r="C1195" s="5">
        <v>-0.027759834414058</v>
      </c>
      <c r="D1195" s="5">
        <v>0.068747960404655</v>
      </c>
      <c r="E1195" s="5">
        <v>0.048291968726104</v>
      </c>
      <c r="F1195" s="5">
        <v>-0.027759834414058</v>
      </c>
      <c r="G1195" s="5">
        <v>0.10915642021882</v>
      </c>
      <c r="H1195" s="5">
        <v>0.221343996353578</v>
      </c>
      <c r="I1195" s="5">
        <v>0.393677424947495</v>
      </c>
    </row>
    <row r="1196">
      <c r="A1196" s="2" t="s">
        <v>1221</v>
      </c>
      <c r="B1196" s="8" t="str">
        <f>HYPERLINK("https://www.suredividend.com/sure-analysis-research-database/","PepGen Inc")</f>
        <v>PepGen Inc</v>
      </c>
      <c r="C1196" s="5">
        <v>0.066176470588235</v>
      </c>
      <c r="D1196" s="5">
        <v>0.332720588235293</v>
      </c>
      <c r="E1196" s="5">
        <v>0.175040518638573</v>
      </c>
      <c r="F1196" s="5">
        <v>0.066176470588235</v>
      </c>
      <c r="G1196" s="5">
        <v>-0.550248138957816</v>
      </c>
      <c r="H1196" s="5">
        <v>-0.437548487199379</v>
      </c>
      <c r="I1196" s="5">
        <v>-0.437548487199379</v>
      </c>
    </row>
    <row r="1197">
      <c r="A1197" s="2" t="s">
        <v>1222</v>
      </c>
      <c r="B1197" s="8" t="str">
        <f>HYPERLINK("https://www.suredividend.com/sure-analysis-research-database/","PetIQ Inc")</f>
        <v>PetIQ Inc</v>
      </c>
      <c r="C1197" s="5">
        <v>-0.08253164556962</v>
      </c>
      <c r="D1197" s="5">
        <v>-0.010917030567685</v>
      </c>
      <c r="E1197" s="5">
        <v>0.117139334155363</v>
      </c>
      <c r="F1197" s="5">
        <v>-0.08253164556962</v>
      </c>
      <c r="G1197" s="5">
        <v>0.538200339558573</v>
      </c>
      <c r="H1197" s="5">
        <v>-0.074092999489013</v>
      </c>
      <c r="I1197" s="5">
        <v>-0.376247848537005</v>
      </c>
    </row>
    <row r="1198">
      <c r="A1198" s="2" t="s">
        <v>1223</v>
      </c>
      <c r="B1198" s="8" t="str">
        <f>HYPERLINK("https://www.suredividend.com/sure-analysis-PETS/","Petmed Express, Inc.")</f>
        <v>Petmed Express, Inc.</v>
      </c>
      <c r="C1198" s="5">
        <v>-0.113756613756613</v>
      </c>
      <c r="D1198" s="5">
        <v>-0.284188034188034</v>
      </c>
      <c r="E1198" s="5">
        <v>-0.516584053045881</v>
      </c>
      <c r="F1198" s="5">
        <v>-0.113756613756613</v>
      </c>
      <c r="G1198" s="5">
        <v>-0.676434794367067</v>
      </c>
      <c r="H1198" s="5">
        <v>-0.715098503629304</v>
      </c>
      <c r="I1198" s="5">
        <v>-0.62500069962556</v>
      </c>
    </row>
    <row r="1199">
      <c r="A1199" s="2" t="s">
        <v>1224</v>
      </c>
      <c r="B1199" s="8" t="str">
        <f>HYPERLINK("https://www.suredividend.com/sure-analysis-research-database/","Preferred Bank (Los Angeles, CA)")</f>
        <v>Preferred Bank (Los Angeles, CA)</v>
      </c>
      <c r="C1199" s="5">
        <v>0.046724380722965</v>
      </c>
      <c r="D1199" s="5">
        <v>0.271630433676843</v>
      </c>
      <c r="E1199" s="5">
        <v>0.181619669713669</v>
      </c>
      <c r="F1199" s="5">
        <v>0.046724380722965</v>
      </c>
      <c r="G1199" s="5">
        <v>0.17257671387721</v>
      </c>
      <c r="H1199" s="5">
        <v>0.078035388308346</v>
      </c>
      <c r="I1199" s="5">
        <v>0.876750069439752</v>
      </c>
    </row>
    <row r="1200">
      <c r="A1200" s="2" t="s">
        <v>1225</v>
      </c>
      <c r="B1200" s="8" t="str">
        <f>HYPERLINK("https://www.suredividend.com/sure-analysis-research-database/","Premier Financial Corp")</f>
        <v>Premier Financial Corp</v>
      </c>
      <c r="C1200" s="5">
        <v>-0.079668049792531</v>
      </c>
      <c r="D1200" s="5">
        <v>0.344747723386969</v>
      </c>
      <c r="E1200" s="5">
        <v>0.079817920693264</v>
      </c>
      <c r="F1200" s="5">
        <v>-0.079668049792531</v>
      </c>
      <c r="G1200" s="5">
        <v>0.01075004215256</v>
      </c>
      <c r="H1200" s="5">
        <v>-0.094690182408907</v>
      </c>
      <c r="I1200" s="5">
        <v>-0.168718634869592</v>
      </c>
    </row>
    <row r="1201">
      <c r="A1201" s="2" t="s">
        <v>1226</v>
      </c>
      <c r="B1201" s="8" t="str">
        <f>HYPERLINK("https://www.suredividend.com/sure-analysis-research-database/","Peoples Financial Services Corp")</f>
        <v>Peoples Financial Services Corp</v>
      </c>
      <c r="C1201" s="5">
        <v>-0.03182751540041</v>
      </c>
      <c r="D1201" s="5">
        <v>0.227289291477952</v>
      </c>
      <c r="E1201" s="5">
        <v>0.031922856379975</v>
      </c>
      <c r="F1201" s="5">
        <v>-0.03182751540041</v>
      </c>
      <c r="G1201" s="5">
        <v>-0.00720748416059</v>
      </c>
      <c r="H1201" s="5">
        <v>0.056971077325896</v>
      </c>
      <c r="I1201" s="5">
        <v>0.425664377742098</v>
      </c>
    </row>
    <row r="1202">
      <c r="A1202" s="2" t="s">
        <v>1227</v>
      </c>
      <c r="B1202" s="8" t="str">
        <f>HYPERLINK("https://www.suredividend.com/sure-analysis-research-database/","Provident Financial Services Inc")</f>
        <v>Provident Financial Services Inc</v>
      </c>
      <c r="C1202" s="5">
        <v>-0.003882418191902</v>
      </c>
      <c r="D1202" s="5">
        <v>0.296395212865784</v>
      </c>
      <c r="E1202" s="5">
        <v>-0.03503634732244</v>
      </c>
      <c r="F1202" s="5">
        <v>-0.003882418191902</v>
      </c>
      <c r="G1202" s="5">
        <v>-0.179012712503599</v>
      </c>
      <c r="H1202" s="5">
        <v>-0.174214906432479</v>
      </c>
      <c r="I1202" s="5">
        <v>-0.078473426580602</v>
      </c>
    </row>
    <row r="1203">
      <c r="A1203" s="2" t="s">
        <v>1228</v>
      </c>
      <c r="B1203" s="8" t="str">
        <f>HYPERLINK("https://www.suredividend.com/sure-analysis-research-database/","PennyMac Financial Services Inc.")</f>
        <v>PennyMac Financial Services Inc.</v>
      </c>
      <c r="C1203" s="5">
        <v>0.010071291162159</v>
      </c>
      <c r="D1203" s="5">
        <v>0.286450759317256</v>
      </c>
      <c r="E1203" s="5">
        <v>0.179422603529811</v>
      </c>
      <c r="F1203" s="5">
        <v>0.010071291162159</v>
      </c>
      <c r="G1203" s="5">
        <v>0.369289322580694</v>
      </c>
      <c r="H1203" s="5">
        <v>0.491235690753202</v>
      </c>
      <c r="I1203" s="5">
        <v>3.52868862855722</v>
      </c>
    </row>
    <row r="1204">
      <c r="A1204" s="2" t="s">
        <v>1229</v>
      </c>
      <c r="B1204" s="8" t="str">
        <f>HYPERLINK("https://www.suredividend.com/sure-analysis-research-database/","PFSWEB Inc")</f>
        <v>PFSWEB Inc</v>
      </c>
      <c r="C1204" s="5">
        <v>0.0</v>
      </c>
      <c r="D1204" s="5">
        <v>0.0</v>
      </c>
      <c r="E1204" s="5">
        <v>0.0</v>
      </c>
      <c r="F1204" s="5">
        <v>0.0</v>
      </c>
      <c r="G1204" s="5">
        <v>0.0</v>
      </c>
      <c r="H1204" s="5">
        <v>0.0</v>
      </c>
      <c r="I1204" s="5">
        <v>0.0</v>
      </c>
    </row>
    <row r="1205">
      <c r="A1205" s="2" t="s">
        <v>1230</v>
      </c>
      <c r="B1205" s="8" t="str">
        <f>HYPERLINK("https://www.suredividend.com/sure-analysis-research-database/","Peapack-Gladstone Financial Corp.")</f>
        <v>Peapack-Gladstone Financial Corp.</v>
      </c>
      <c r="C1205" s="5">
        <v>0.013413816230717</v>
      </c>
      <c r="D1205" s="5">
        <v>0.363355424322946</v>
      </c>
      <c r="E1205" s="5">
        <v>0.018194070080862</v>
      </c>
      <c r="F1205" s="5">
        <v>0.013413816230717</v>
      </c>
      <c r="G1205" s="5">
        <v>-0.145274971433743</v>
      </c>
      <c r="H1205" s="5">
        <v>-0.133590981547953</v>
      </c>
      <c r="I1205" s="5">
        <v>0.163157692159654</v>
      </c>
    </row>
    <row r="1206">
      <c r="A1206" s="2" t="s">
        <v>1231</v>
      </c>
      <c r="B1206" s="8" t="str">
        <f>HYPERLINK("https://www.suredividend.com/sure-analysis-research-database/","Precigen Inc")</f>
        <v>Precigen Inc</v>
      </c>
      <c r="C1206" s="5">
        <v>0.104477611940298</v>
      </c>
      <c r="D1206" s="5">
        <v>0.465346534653465</v>
      </c>
      <c r="E1206" s="5">
        <v>0.072463768115942</v>
      </c>
      <c r="F1206" s="5">
        <v>0.104477611940298</v>
      </c>
      <c r="G1206" s="5">
        <v>-0.097560975609756</v>
      </c>
      <c r="H1206" s="5">
        <v>-0.398373983739837</v>
      </c>
      <c r="I1206" s="5">
        <v>-0.801075268817204</v>
      </c>
    </row>
    <row r="1207">
      <c r="A1207" s="2" t="s">
        <v>1232</v>
      </c>
      <c r="B1207" s="8" t="str">
        <f>HYPERLINK("https://www.suredividend.com/sure-analysis-research-database/","Progyny Inc")</f>
        <v>Progyny Inc</v>
      </c>
      <c r="C1207" s="5">
        <v>0.034965034965034</v>
      </c>
      <c r="D1207" s="5">
        <v>0.262053132174483</v>
      </c>
      <c r="E1207" s="5">
        <v>-0.052450135434622</v>
      </c>
      <c r="F1207" s="5">
        <v>0.034965034965034</v>
      </c>
      <c r="G1207" s="5">
        <v>0.137115839243498</v>
      </c>
      <c r="H1207" s="5">
        <v>0.009973753280839</v>
      </c>
      <c r="I1207" s="5">
        <v>1.41405269761606</v>
      </c>
    </row>
    <row r="1208">
      <c r="A1208" s="2" t="s">
        <v>1233</v>
      </c>
      <c r="B1208" s="8" t="str">
        <f>HYPERLINK("https://www.suredividend.com/sure-analysis-PGRE/","Paramount Group Inc")</f>
        <v>Paramount Group Inc</v>
      </c>
      <c r="C1208" s="5">
        <v>-0.032882011605415</v>
      </c>
      <c r="D1208" s="5">
        <v>0.178800452659373</v>
      </c>
      <c r="E1208" s="5">
        <v>-0.026366008490088</v>
      </c>
      <c r="F1208" s="5">
        <v>-0.032882011605415</v>
      </c>
      <c r="G1208" s="5">
        <v>-0.18717690281887</v>
      </c>
      <c r="H1208" s="5">
        <v>-0.372828418398705</v>
      </c>
      <c r="I1208" s="5">
        <v>-0.572864965530202</v>
      </c>
    </row>
    <row r="1209">
      <c r="A1209" s="2" t="s">
        <v>1234</v>
      </c>
      <c r="B1209" s="8" t="str">
        <f>HYPERLINK("https://www.suredividend.com/sure-analysis-research-database/","PGT Innovations Inc")</f>
        <v>PGT Innovations Inc</v>
      </c>
      <c r="C1209" s="5">
        <v>0.014742014742014</v>
      </c>
      <c r="D1209" s="5">
        <v>0.385441127138544</v>
      </c>
      <c r="E1209" s="5">
        <v>0.472895863052781</v>
      </c>
      <c r="F1209" s="5">
        <v>0.014742014742014</v>
      </c>
      <c r="G1209" s="5">
        <v>0.984622777510812</v>
      </c>
      <c r="H1209" s="5">
        <v>1.17597471022128</v>
      </c>
      <c r="I1209" s="5">
        <v>1.59911894273127</v>
      </c>
    </row>
    <row r="1210">
      <c r="A1210" s="2" t="s">
        <v>1235</v>
      </c>
      <c r="B1210" s="8" t="str">
        <f>HYPERLINK("https://www.suredividend.com/sure-analysis-research-database/","Phathom Pharmaceuticals Inc")</f>
        <v>Phathom Pharmaceuticals Inc</v>
      </c>
      <c r="C1210" s="5">
        <v>-0.189485213581599</v>
      </c>
      <c r="D1210" s="5">
        <v>-0.145496535796766</v>
      </c>
      <c r="E1210" s="5">
        <v>-0.50033760972316</v>
      </c>
      <c r="F1210" s="5">
        <v>-0.189485213581599</v>
      </c>
      <c r="G1210" s="5">
        <v>-0.401294498381876</v>
      </c>
      <c r="H1210" s="5">
        <v>-0.547953573610262</v>
      </c>
      <c r="I1210" s="5">
        <v>-0.699186991869918</v>
      </c>
    </row>
    <row r="1211">
      <c r="A1211" s="2" t="s">
        <v>1236</v>
      </c>
      <c r="B1211" s="8" t="str">
        <f>HYPERLINK("https://www.suredividend.com/sure-analysis-research-database/","Phreesia Inc")</f>
        <v>Phreesia Inc</v>
      </c>
      <c r="C1211" s="5">
        <v>0.139956803455723</v>
      </c>
      <c r="D1211" s="5">
        <v>1.11967871485943</v>
      </c>
      <c r="E1211" s="5">
        <v>-0.141230068337129</v>
      </c>
      <c r="F1211" s="5">
        <v>0.139956803455723</v>
      </c>
      <c r="G1211" s="5">
        <v>-0.272802424910443</v>
      </c>
      <c r="H1211" s="5">
        <v>-0.072081575246132</v>
      </c>
      <c r="I1211" s="5">
        <v>0.052232854864433</v>
      </c>
    </row>
    <row r="1212">
      <c r="A1212" s="2" t="s">
        <v>1237</v>
      </c>
      <c r="B1212" s="8" t="str">
        <f>HYPERLINK("https://www.suredividend.com/sure-analysis-research-database/","Impinj Inc")</f>
        <v>Impinj Inc</v>
      </c>
      <c r="C1212" s="5">
        <v>0.142063756525602</v>
      </c>
      <c r="D1212" s="5">
        <v>0.667531625040545</v>
      </c>
      <c r="E1212" s="5">
        <v>0.530059523809523</v>
      </c>
      <c r="F1212" s="5">
        <v>0.142063756525602</v>
      </c>
      <c r="G1212" s="5">
        <v>-0.200155581485803</v>
      </c>
      <c r="H1212" s="5">
        <v>0.367832912065983</v>
      </c>
      <c r="I1212" s="5">
        <v>6.26643109540636</v>
      </c>
    </row>
    <row r="1213">
      <c r="A1213" s="2" t="s">
        <v>1238</v>
      </c>
      <c r="B1213" s="8" t="str">
        <f>HYPERLINK("https://www.suredividend.com/sure-analysis-research-database/","P3 Health Partners Inc")</f>
        <v>P3 Health Partners Inc</v>
      </c>
      <c r="C1213" s="5">
        <v>-0.141843971631205</v>
      </c>
      <c r="D1213" s="5">
        <v>-0.159722222222222</v>
      </c>
      <c r="E1213" s="5">
        <v>-0.441108545034642</v>
      </c>
      <c r="F1213" s="5">
        <v>-0.141843971631205</v>
      </c>
      <c r="G1213" s="5">
        <v>-0.076335877862595</v>
      </c>
      <c r="H1213" s="5">
        <v>-0.742553191489361</v>
      </c>
      <c r="I1213" s="5">
        <v>-0.87500903860258</v>
      </c>
    </row>
    <row r="1214">
      <c r="A1214" s="2" t="s">
        <v>1239</v>
      </c>
      <c r="B1214" s="8" t="str">
        <f>HYPERLINK("https://www.suredividend.com/sure-analysis-research-database/","Piper Sandler Co`s")</f>
        <v>Piper Sandler Co`s</v>
      </c>
      <c r="C1214" s="5">
        <v>0.023960656487676</v>
      </c>
      <c r="D1214" s="5">
        <v>0.334788436107421</v>
      </c>
      <c r="E1214" s="5">
        <v>0.203439473836314</v>
      </c>
      <c r="F1214" s="5">
        <v>0.023960656487676</v>
      </c>
      <c r="G1214" s="5">
        <v>0.317562222917164</v>
      </c>
      <c r="H1214" s="5">
        <v>0.25322825607682</v>
      </c>
      <c r="I1214" s="5">
        <v>1.69664207370058</v>
      </c>
    </row>
    <row r="1215">
      <c r="A1215" s="2" t="s">
        <v>1240</v>
      </c>
      <c r="B1215" s="8" t="str">
        <f>HYPERLINK("https://www.suredividend.com/sure-analysis-research-database/","PJT Partners Inc")</f>
        <v>PJT Partners Inc</v>
      </c>
      <c r="C1215" s="5">
        <v>-0.031314420339648</v>
      </c>
      <c r="D1215" s="5">
        <v>0.367063846647244</v>
      </c>
      <c r="E1215" s="5">
        <v>0.274834929030141</v>
      </c>
      <c r="F1215" s="5">
        <v>-0.031314420339648</v>
      </c>
      <c r="G1215" s="5">
        <v>0.250628926433667</v>
      </c>
      <c r="H1215" s="5">
        <v>0.507163148730793</v>
      </c>
      <c r="I1215" s="5">
        <v>1.48140455343267</v>
      </c>
    </row>
    <row r="1216">
      <c r="A1216" s="2" t="s">
        <v>1241</v>
      </c>
      <c r="B1216" s="8" t="str">
        <f>HYPERLINK("https://www.suredividend.com/sure-analysis-research-database/","Parke Bancorp Inc")</f>
        <v>Parke Bancorp Inc</v>
      </c>
      <c r="C1216" s="5">
        <v>-0.004529891755194</v>
      </c>
      <c r="D1216" s="5">
        <v>0.288894675172503</v>
      </c>
      <c r="E1216" s="5">
        <v>0.076268284330512</v>
      </c>
      <c r="F1216" s="5">
        <v>-0.004529891755194</v>
      </c>
      <c r="G1216" s="5">
        <v>0.043456264426573</v>
      </c>
      <c r="H1216" s="5">
        <v>-0.068130047628908</v>
      </c>
      <c r="I1216" s="5">
        <v>0.395968611857272</v>
      </c>
    </row>
    <row r="1217">
      <c r="A1217" s="2" t="s">
        <v>1242</v>
      </c>
      <c r="B1217" s="8" t="str">
        <f>HYPERLINK("https://www.suredividend.com/sure-analysis-research-database/","Park Aerospace Corp")</f>
        <v>Park Aerospace Corp</v>
      </c>
      <c r="C1217" s="5">
        <v>0.028473413379073</v>
      </c>
      <c r="D1217" s="5">
        <v>0.04626895882628</v>
      </c>
      <c r="E1217" s="5">
        <v>0.053904508798942</v>
      </c>
      <c r="F1217" s="5">
        <v>0.028473413379073</v>
      </c>
      <c r="G1217" s="5">
        <v>0.234934051720586</v>
      </c>
      <c r="H1217" s="5">
        <v>0.275788111935725</v>
      </c>
      <c r="I1217" s="5">
        <v>0.087043227916488</v>
      </c>
    </row>
    <row r="1218">
      <c r="A1218" s="2" t="s">
        <v>1243</v>
      </c>
      <c r="B1218" s="8" t="str">
        <f>HYPERLINK("https://www.suredividend.com/sure-analysis-research-database/","Planet Labs PBC")</f>
        <v>Planet Labs PBC</v>
      </c>
      <c r="C1218" s="5">
        <v>-0.008097165991902</v>
      </c>
      <c r="D1218" s="5">
        <v>0.183574879227053</v>
      </c>
      <c r="E1218" s="5">
        <v>-0.289855072463768</v>
      </c>
      <c r="F1218" s="5">
        <v>-0.008097165991902</v>
      </c>
      <c r="G1218" s="5">
        <v>-0.492753623188405</v>
      </c>
      <c r="H1218" s="5">
        <v>-0.558558558558558</v>
      </c>
      <c r="I1218" s="5">
        <v>-0.752525252525252</v>
      </c>
    </row>
    <row r="1219">
      <c r="A1219" s="2" t="s">
        <v>1244</v>
      </c>
      <c r="B1219" s="8" t="str">
        <f>HYPERLINK("https://www.suredividend.com/sure-analysis-research-database/","Photronics, Inc.")</f>
        <v>Photronics, Inc.</v>
      </c>
      <c r="C1219" s="5">
        <v>-0.029646158750398</v>
      </c>
      <c r="D1219" s="5">
        <v>0.634801288936627</v>
      </c>
      <c r="E1219" s="5">
        <v>0.160503240564239</v>
      </c>
      <c r="F1219" s="5">
        <v>-0.029646158750398</v>
      </c>
      <c r="G1219" s="5">
        <v>0.617428267800212</v>
      </c>
      <c r="H1219" s="5">
        <v>0.755478662053056</v>
      </c>
      <c r="I1219" s="5">
        <v>1.87440982058545</v>
      </c>
    </row>
    <row r="1220">
      <c r="A1220" s="2" t="s">
        <v>1245</v>
      </c>
      <c r="B1220" s="8" t="str">
        <f>HYPERLINK("https://www.suredividend.com/sure-analysis-research-database/","Dave &amp; Buster`s Entertainment Inc")</f>
        <v>Dave &amp; Buster`s Entertainment Inc</v>
      </c>
      <c r="C1220" s="5">
        <v>-0.019127205199628</v>
      </c>
      <c r="D1220" s="5">
        <v>0.524826789838337</v>
      </c>
      <c r="E1220" s="5">
        <v>0.163436123348017</v>
      </c>
      <c r="F1220" s="5">
        <v>-0.019127205199628</v>
      </c>
      <c r="G1220" s="5">
        <v>0.269711538461538</v>
      </c>
      <c r="H1220" s="5">
        <v>0.495893514585103</v>
      </c>
      <c r="I1220" s="5">
        <v>0.057302936707948</v>
      </c>
    </row>
    <row r="1221">
      <c r="A1221" s="2" t="s">
        <v>1246</v>
      </c>
      <c r="B1221" s="8" t="str">
        <f>HYPERLINK("https://www.suredividend.com/sure-analysis-research-database/","PLBY Group Inc")</f>
        <v>PLBY Group Inc</v>
      </c>
      <c r="C1221" s="5">
        <v>0.189999999999999</v>
      </c>
      <c r="D1221" s="5">
        <v>0.983994664888296</v>
      </c>
      <c r="E1221" s="5">
        <v>-0.356756756756756</v>
      </c>
      <c r="F1221" s="5">
        <v>0.189999999999999</v>
      </c>
      <c r="G1221" s="5">
        <v>-0.634969325153374</v>
      </c>
      <c r="H1221" s="5">
        <v>-0.915302491103202</v>
      </c>
      <c r="I1221" s="5">
        <v>-0.879554655870445</v>
      </c>
    </row>
    <row r="1222">
      <c r="A1222" s="2" t="s">
        <v>1247</v>
      </c>
      <c r="B1222" s="8" t="str">
        <f>HYPERLINK("https://www.suredividend.com/sure-analysis-research-database/","Childrens Place Inc")</f>
        <v>Childrens Place Inc</v>
      </c>
      <c r="C1222" s="5">
        <v>-0.006459948320413</v>
      </c>
      <c r="D1222" s="5">
        <v>-0.139500186497575</v>
      </c>
      <c r="E1222" s="5">
        <v>-0.25</v>
      </c>
      <c r="F1222" s="5">
        <v>-0.006459948320413</v>
      </c>
      <c r="G1222" s="5">
        <v>-0.470871559633027</v>
      </c>
      <c r="H1222" s="5">
        <v>-0.672487223168654</v>
      </c>
      <c r="I1222" s="5">
        <v>-0.752007481698861</v>
      </c>
    </row>
    <row r="1223">
      <c r="A1223" s="2" t="s">
        <v>1248</v>
      </c>
      <c r="B1223" s="8" t="str">
        <f>HYPERLINK("https://www.suredividend.com/sure-analysis-research-database/","Piedmont Lithium Inc")</f>
        <v>Piedmont Lithium Inc</v>
      </c>
      <c r="C1223" s="5">
        <v>-0.386822529224229</v>
      </c>
      <c r="D1223" s="5">
        <v>-0.387473460721868</v>
      </c>
      <c r="E1223" s="5">
        <v>-0.679859441464767</v>
      </c>
      <c r="F1223" s="5">
        <v>-0.386822529224229</v>
      </c>
      <c r="G1223" s="5">
        <v>-0.741023339317773</v>
      </c>
      <c r="H1223" s="5">
        <v>-0.609078590785908</v>
      </c>
      <c r="I1223" s="5">
        <v>-0.735563703024747</v>
      </c>
    </row>
    <row r="1224">
      <c r="A1224" s="2" t="s">
        <v>1249</v>
      </c>
      <c r="B1224" s="8" t="str">
        <f>HYPERLINK("https://www.suredividend.com/sure-analysis-research-database/","Polymet Mining Corp")</f>
        <v>Polymet Mining Corp</v>
      </c>
      <c r="C1224" s="5">
        <v>0.0</v>
      </c>
      <c r="D1224" s="5">
        <v>0.009615384615384</v>
      </c>
      <c r="E1224" s="5">
        <v>0.272727272727272</v>
      </c>
      <c r="F1224" s="5">
        <v>-0.20754716981132</v>
      </c>
      <c r="G1224" s="5">
        <v>-0.299999999999999</v>
      </c>
      <c r="H1224" s="5">
        <v>-0.357798165137614</v>
      </c>
      <c r="I1224" s="5">
        <v>-0.763782184677337</v>
      </c>
    </row>
    <row r="1225">
      <c r="A1225" s="2" t="s">
        <v>1250</v>
      </c>
      <c r="B1225" s="8" t="str">
        <f>HYPERLINK("https://www.suredividend.com/sure-analysis-research-database/","Palomar Holdings Inc")</f>
        <v>Palomar Holdings Inc</v>
      </c>
      <c r="C1225" s="5">
        <v>0.11027027027027</v>
      </c>
      <c r="D1225" s="5">
        <v>0.24837925445705</v>
      </c>
      <c r="E1225" s="5">
        <v>0.023928215353938</v>
      </c>
      <c r="F1225" s="5">
        <v>0.11027027027027</v>
      </c>
      <c r="G1225" s="5">
        <v>0.240587880008052</v>
      </c>
      <c r="H1225" s="5">
        <v>0.255757081719991</v>
      </c>
      <c r="I1225" s="5">
        <v>2.24486571879936</v>
      </c>
    </row>
    <row r="1226">
      <c r="A1226" s="2" t="s">
        <v>1251</v>
      </c>
      <c r="B1226" s="8" t="str">
        <f>HYPERLINK("https://www.suredividend.com/sure-analysis-research-database/","Douglas Dynamics Inc")</f>
        <v>Douglas Dynamics Inc</v>
      </c>
      <c r="C1226" s="5">
        <v>-0.01010781671159</v>
      </c>
      <c r="D1226" s="5">
        <v>0.060523475542624</v>
      </c>
      <c r="E1226" s="5">
        <v>-0.020264975306542</v>
      </c>
      <c r="F1226" s="5">
        <v>-0.01010781671159</v>
      </c>
      <c r="G1226" s="5">
        <v>-0.23440337925697</v>
      </c>
      <c r="H1226" s="5">
        <v>-0.108486672816429</v>
      </c>
      <c r="I1226" s="5">
        <v>-0.002278662414974</v>
      </c>
    </row>
    <row r="1227">
      <c r="A1227" s="2" t="s">
        <v>1252</v>
      </c>
      <c r="B1227" s="8" t="str">
        <f>HYPERLINK("https://www.suredividend.com/sure-analysis-research-database/","Preformed Line Products Co.")</f>
        <v>Preformed Line Products Co.</v>
      </c>
      <c r="C1227" s="5">
        <v>-0.044355198304539</v>
      </c>
      <c r="D1227" s="5">
        <v>-0.033671457388942</v>
      </c>
      <c r="E1227" s="5">
        <v>-0.266842022048783</v>
      </c>
      <c r="F1227" s="5">
        <v>-0.044355198304539</v>
      </c>
      <c r="G1227" s="5">
        <v>0.52119013564502</v>
      </c>
      <c r="H1227" s="5">
        <v>1.16860421612576</v>
      </c>
      <c r="I1227" s="5">
        <v>1.49930912290948</v>
      </c>
    </row>
    <row r="1228">
      <c r="A1228" s="2" t="s">
        <v>1253</v>
      </c>
      <c r="B1228" s="8" t="str">
        <f>HYPERLINK("https://www.suredividend.com/sure-analysis-research-database/","ePlus Inc")</f>
        <v>ePlus Inc</v>
      </c>
      <c r="C1228" s="5">
        <v>-0.041332665330661</v>
      </c>
      <c r="D1228" s="5">
        <v>0.256608110326711</v>
      </c>
      <c r="E1228" s="5">
        <v>0.361921708185053</v>
      </c>
      <c r="F1228" s="5">
        <v>-0.041332665330661</v>
      </c>
      <c r="G1228" s="5">
        <v>0.548139158576052</v>
      </c>
      <c r="H1228" s="5">
        <v>0.71345421983434</v>
      </c>
      <c r="I1228" s="5">
        <v>0.990119604784191</v>
      </c>
    </row>
    <row r="1229">
      <c r="A1229" s="2" t="s">
        <v>1254</v>
      </c>
      <c r="B1229" s="8" t="str">
        <f>HYPERLINK("https://www.suredividend.com/sure-analysis-research-database/","Plexus Corp.")</f>
        <v>Plexus Corp.</v>
      </c>
      <c r="C1229" s="5">
        <v>-0.141403865717192</v>
      </c>
      <c r="D1229" s="5">
        <v>-0.019433882551753</v>
      </c>
      <c r="E1229" s="5">
        <v>-0.044069192751235</v>
      </c>
      <c r="F1229" s="5">
        <v>-0.141403865717192</v>
      </c>
      <c r="G1229" s="5">
        <v>-0.007695596408721</v>
      </c>
      <c r="H1229" s="5">
        <v>0.230810022537451</v>
      </c>
      <c r="I1229" s="5">
        <v>0.691999271004191</v>
      </c>
    </row>
    <row r="1230">
      <c r="A1230" s="2" t="s">
        <v>1255</v>
      </c>
      <c r="B1230" s="8" t="str">
        <f>HYPERLINK("https://www.suredividend.com/sure-analysis-PLYM/","Plymouth Industrial Reit Inc")</f>
        <v>Plymouth Industrial Reit Inc</v>
      </c>
      <c r="C1230" s="5">
        <v>-0.055255504777731</v>
      </c>
      <c r="D1230" s="5">
        <v>0.183709163595477</v>
      </c>
      <c r="E1230" s="5">
        <v>0.019858995748345</v>
      </c>
      <c r="F1230" s="5">
        <v>-0.055255504777731</v>
      </c>
      <c r="G1230" s="5">
        <v>0.09949086900393</v>
      </c>
      <c r="H1230" s="5">
        <v>-0.115285256310498</v>
      </c>
      <c r="I1230" s="5">
        <v>0.92476977248104</v>
      </c>
    </row>
    <row r="1231">
      <c r="A1231" s="2" t="s">
        <v>1256</v>
      </c>
      <c r="B1231" s="8" t="str">
        <f>HYPERLINK("https://www.suredividend.com/sure-analysis-PMT/","Pennymac Mortgage Investment Trust")</f>
        <v>Pennymac Mortgage Investment Trust</v>
      </c>
      <c r="C1231" s="5">
        <v>0.012709030100334</v>
      </c>
      <c r="D1231" s="5">
        <v>0.264902709431629</v>
      </c>
      <c r="E1231" s="5">
        <v>0.241492414924149</v>
      </c>
      <c r="F1231" s="5">
        <v>0.012709030100334</v>
      </c>
      <c r="G1231" s="5">
        <v>0.129496724907118</v>
      </c>
      <c r="H1231" s="5">
        <v>0.127965192514006</v>
      </c>
      <c r="I1231" s="5">
        <v>0.299738163712066</v>
      </c>
    </row>
    <row r="1232">
      <c r="A1232" s="2" t="s">
        <v>1257</v>
      </c>
      <c r="B1232" s="8" t="str">
        <f>HYPERLINK("https://www.suredividend.com/sure-analysis-research-database/","PMV Pharmaceuticals Inc")</f>
        <v>PMV Pharmaceuticals Inc</v>
      </c>
      <c r="C1232" s="5">
        <v>-0.4</v>
      </c>
      <c r="D1232" s="5">
        <v>0.512195121951219</v>
      </c>
      <c r="E1232" s="5">
        <v>-0.724444444444444</v>
      </c>
      <c r="F1232" s="5">
        <v>-0.4</v>
      </c>
      <c r="G1232" s="5">
        <v>-0.77509068923821</v>
      </c>
      <c r="H1232" s="5">
        <v>-0.878192534381139</v>
      </c>
      <c r="I1232" s="5">
        <v>-0.950413223140495</v>
      </c>
    </row>
    <row r="1233">
      <c r="A1233" s="2" t="s">
        <v>1258</v>
      </c>
      <c r="B1233" s="8" t="str">
        <f>HYPERLINK("https://www.suredividend.com/sure-analysis-PNM/","PNM Resources Inc")</f>
        <v>PNM Resources Inc</v>
      </c>
      <c r="C1233" s="5">
        <v>-0.10576923076923</v>
      </c>
      <c r="D1233" s="5">
        <v>-0.133674895202608</v>
      </c>
      <c r="E1233" s="5">
        <v>-0.157585803962064</v>
      </c>
      <c r="F1233" s="5">
        <v>-0.10576923076923</v>
      </c>
      <c r="G1233" s="5">
        <v>-0.220960354839993</v>
      </c>
      <c r="H1233" s="5">
        <v>-0.110894411541163</v>
      </c>
      <c r="I1233" s="5">
        <v>0.019175289930712</v>
      </c>
    </row>
    <row r="1234">
      <c r="A1234" s="2" t="s">
        <v>1259</v>
      </c>
      <c r="B1234" s="8" t="str">
        <f>HYPERLINK("https://www.suredividend.com/sure-analysis-research-database/","POINT Biopharma Global Inc")</f>
        <v>POINT Biopharma Global Inc</v>
      </c>
      <c r="C1234" s="5">
        <v>0.0</v>
      </c>
      <c r="D1234" s="5">
        <v>0.0</v>
      </c>
      <c r="E1234" s="5">
        <v>0.0</v>
      </c>
      <c r="F1234" s="5">
        <v>0.0</v>
      </c>
      <c r="G1234" s="5">
        <v>0.0</v>
      </c>
      <c r="H1234" s="5">
        <v>0.0</v>
      </c>
      <c r="I1234" s="5">
        <v>0.0</v>
      </c>
    </row>
    <row r="1235">
      <c r="A1235" s="2" t="s">
        <v>1260</v>
      </c>
      <c r="B1235" s="8" t="str">
        <f>HYPERLINK("https://www.suredividend.com/sure-analysis-research-database/","Pennant Group Inc")</f>
        <v>Pennant Group Inc</v>
      </c>
      <c r="C1235" s="5">
        <v>0.146551724137931</v>
      </c>
      <c r="D1235" s="5">
        <v>0.479147358665431</v>
      </c>
      <c r="E1235" s="5">
        <v>0.41364038972542</v>
      </c>
      <c r="F1235" s="5">
        <v>0.146551724137931</v>
      </c>
      <c r="G1235" s="5">
        <v>0.299674267100977</v>
      </c>
      <c r="H1235" s="5">
        <v>-0.002499999999999</v>
      </c>
      <c r="I1235" s="5">
        <v>0.057654075546719</v>
      </c>
    </row>
    <row r="1236">
      <c r="A1236" s="2" t="s">
        <v>1261</v>
      </c>
      <c r="B1236" s="8" t="str">
        <f>HYPERLINK("https://www.suredividend.com/sure-analysis-POR/","Portland General Electric Co")</f>
        <v>Portland General Electric Co</v>
      </c>
      <c r="C1236" s="5">
        <v>-0.052376557452699</v>
      </c>
      <c r="D1236" s="5">
        <v>0.0459670292448</v>
      </c>
      <c r="E1236" s="5">
        <v>-0.116779891742633</v>
      </c>
      <c r="F1236" s="5">
        <v>-0.052376557452699</v>
      </c>
      <c r="G1236" s="5">
        <v>-0.092738595169666</v>
      </c>
      <c r="H1236" s="5">
        <v>-0.153164447340313</v>
      </c>
      <c r="I1236" s="5">
        <v>0.052108443765866</v>
      </c>
    </row>
    <row r="1237">
      <c r="A1237" s="2" t="s">
        <v>1262</v>
      </c>
      <c r="B1237" s="8" t="str">
        <f>HYPERLINK("https://www.suredividend.com/sure-analysis-research-database/","Power Integrations Inc.")</f>
        <v>Power Integrations Inc.</v>
      </c>
      <c r="C1237" s="5">
        <v>-0.053586652052125</v>
      </c>
      <c r="D1237" s="5">
        <v>0.116045141591674</v>
      </c>
      <c r="E1237" s="5">
        <v>-0.175902546313725</v>
      </c>
      <c r="F1237" s="5">
        <v>-0.053586652052125</v>
      </c>
      <c r="G1237" s="5">
        <v>-0.09586548395804</v>
      </c>
      <c r="H1237" s="5">
        <v>0.056719640897538</v>
      </c>
      <c r="I1237" s="5">
        <v>1.4883125200128</v>
      </c>
    </row>
    <row r="1238">
      <c r="A1238" s="2" t="s">
        <v>1263</v>
      </c>
      <c r="B1238" s="8" t="str">
        <f>HYPERLINK("https://www.suredividend.com/sure-analysis-research-database/","Powell Industries, Inc.")</f>
        <v>Powell Industries, Inc.</v>
      </c>
      <c r="C1238" s="5">
        <v>-0.096945701357466</v>
      </c>
      <c r="D1238" s="5">
        <v>0.083900085131573</v>
      </c>
      <c r="E1238" s="5">
        <v>0.328032073729652</v>
      </c>
      <c r="F1238" s="5">
        <v>-0.096945701357466</v>
      </c>
      <c r="G1238" s="5">
        <v>1.14998451407872</v>
      </c>
      <c r="H1238" s="5">
        <v>1.85546680783634</v>
      </c>
      <c r="I1238" s="5">
        <v>2.46924053053348</v>
      </c>
    </row>
    <row r="1239">
      <c r="A1239" s="2" t="s">
        <v>1264</v>
      </c>
      <c r="B1239" s="8" t="str">
        <f>HYPERLINK("https://www.suredividend.com/sure-analysis-research-database/","AMMO Inc")</f>
        <v>AMMO Inc</v>
      </c>
      <c r="C1239" s="5">
        <v>0.095238095238095</v>
      </c>
      <c r="D1239" s="5">
        <v>-0.148148148148148</v>
      </c>
      <c r="E1239" s="5">
        <v>0.095238095238095</v>
      </c>
      <c r="F1239" s="5">
        <v>0.095238095238095</v>
      </c>
      <c r="G1239" s="5">
        <v>-0.049586776859504</v>
      </c>
      <c r="H1239" s="5">
        <v>-0.462616822429906</v>
      </c>
      <c r="I1239" s="5">
        <v>103.545454545454</v>
      </c>
    </row>
    <row r="1240">
      <c r="A1240" s="2" t="s">
        <v>1265</v>
      </c>
      <c r="B1240" s="8" t="str">
        <f>HYPERLINK("https://www.suredividend.com/sure-analysis-research-database/","Pacific Premier Bancorp, Inc.")</f>
        <v>Pacific Premier Bancorp, Inc.</v>
      </c>
      <c r="C1240" s="5">
        <v>-0.036070079010649</v>
      </c>
      <c r="D1240" s="5">
        <v>0.530130928166733</v>
      </c>
      <c r="E1240" s="5">
        <v>0.178140167609962</v>
      </c>
      <c r="F1240" s="5">
        <v>-0.036070079010649</v>
      </c>
      <c r="G1240" s="5">
        <v>0.005824894703826</v>
      </c>
      <c r="H1240" s="5">
        <v>-0.141940633055773</v>
      </c>
      <c r="I1240" s="5">
        <v>0.169858833142942</v>
      </c>
    </row>
    <row r="1241">
      <c r="A1241" s="2" t="s">
        <v>1266</v>
      </c>
      <c r="B1241" s="8" t="str">
        <f>HYPERLINK("https://www.suredividend.com/sure-analysis-research-database/","Permian Resources Corp")</f>
        <v>Permian Resources Corp</v>
      </c>
      <c r="C1241" s="5">
        <v>0.0</v>
      </c>
      <c r="D1241" s="5">
        <v>-0.065972556075985</v>
      </c>
      <c r="E1241" s="5">
        <v>0.209641554745174</v>
      </c>
      <c r="F1241" s="5">
        <v>0.0</v>
      </c>
      <c r="G1241" s="5">
        <v>0.28219632688464</v>
      </c>
      <c r="H1241" s="5">
        <v>0.706398996235884</v>
      </c>
      <c r="I1241" s="5">
        <v>0.046153846153846</v>
      </c>
    </row>
    <row r="1242">
      <c r="A1242" s="2" t="s">
        <v>1267</v>
      </c>
      <c r="B1242" s="8" t="str">
        <f>HYPERLINK("https://www.suredividend.com/sure-analysis-research-database/","Proassurance Corporation")</f>
        <v>Proassurance Corporation</v>
      </c>
      <c r="C1242" s="5">
        <v>0.014503263234227</v>
      </c>
      <c r="D1242" s="5">
        <v>-0.180433509080257</v>
      </c>
      <c r="E1242" s="5">
        <v>-0.179472140762463</v>
      </c>
      <c r="F1242" s="5">
        <v>0.014503263234227</v>
      </c>
      <c r="G1242" s="5">
        <v>-0.256515454274903</v>
      </c>
      <c r="H1242" s="5">
        <v>-0.397203610746062</v>
      </c>
      <c r="I1242" s="5">
        <v>-0.644848140212634</v>
      </c>
    </row>
    <row r="1243">
      <c r="A1243" s="2" t="s">
        <v>1268</v>
      </c>
      <c r="B1243" s="8" t="str">
        <f>HYPERLINK("https://www.suredividend.com/sure-analysis-research-database/","PRA Group Inc")</f>
        <v>PRA Group Inc</v>
      </c>
      <c r="C1243" s="5">
        <v>-0.076717557251908</v>
      </c>
      <c r="D1243" s="5">
        <v>0.922893481717011</v>
      </c>
      <c r="E1243" s="5">
        <v>0.030238500851788</v>
      </c>
      <c r="F1243" s="5">
        <v>-0.076717557251908</v>
      </c>
      <c r="G1243" s="5">
        <v>-0.371525071447129</v>
      </c>
      <c r="H1243" s="5">
        <v>-0.472294938917975</v>
      </c>
      <c r="I1243" s="5">
        <v>-0.157729805013927</v>
      </c>
    </row>
    <row r="1244">
      <c r="A1244" s="2" t="s">
        <v>1269</v>
      </c>
      <c r="B1244" s="8" t="str">
        <f>HYPERLINK("https://www.suredividend.com/sure-analysis-research-database/","Praxis Precision Medicines Inc")</f>
        <v>Praxis Precision Medicines Inc</v>
      </c>
      <c r="C1244" s="5">
        <v>0.828545780969479</v>
      </c>
      <c r="D1244" s="5">
        <v>1.716</v>
      </c>
      <c r="E1244" s="5">
        <v>1.77142857142857</v>
      </c>
      <c r="F1244" s="5">
        <v>0.828545780969479</v>
      </c>
      <c r="G1244" s="5">
        <v>-0.429411764705882</v>
      </c>
      <c r="H1244" s="5">
        <v>-0.795173453996983</v>
      </c>
      <c r="I1244" s="5">
        <v>-0.902302158273381</v>
      </c>
    </row>
    <row r="1245">
      <c r="A1245" s="2" t="s">
        <v>1270</v>
      </c>
      <c r="B1245" s="8" t="str">
        <f>HYPERLINK("https://www.suredividend.com/sure-analysis-research-database/","Porch Group Inc")</f>
        <v>Porch Group Inc</v>
      </c>
      <c r="C1245" s="5">
        <v>-0.214285714285714</v>
      </c>
      <c r="D1245" s="5">
        <v>3.28773919206236</v>
      </c>
      <c r="E1245" s="5">
        <v>0.875968992248062</v>
      </c>
      <c r="F1245" s="5">
        <v>-0.214285714285714</v>
      </c>
      <c r="G1245" s="5">
        <v>-0.16551724137931</v>
      </c>
      <c r="H1245" s="5">
        <v>-0.740899357601713</v>
      </c>
      <c r="I1245" s="5">
        <v>-0.755555555555555</v>
      </c>
    </row>
    <row r="1246">
      <c r="A1246" s="2" t="s">
        <v>1271</v>
      </c>
      <c r="B1246" s="8" t="str">
        <f>HYPERLINK("https://www.suredividend.com/sure-analysis-research-database/","Procept BioRobotics Corp")</f>
        <v>Procept BioRobotics Corp</v>
      </c>
      <c r="C1246" s="5">
        <v>0.155571462658076</v>
      </c>
      <c r="D1246" s="5">
        <v>0.856266768876964</v>
      </c>
      <c r="E1246" s="5">
        <v>0.372343440068007</v>
      </c>
      <c r="F1246" s="5">
        <v>0.155571462658076</v>
      </c>
      <c r="G1246" s="5">
        <v>0.290434319211297</v>
      </c>
      <c r="H1246" s="5">
        <v>1.7626925270964</v>
      </c>
      <c r="I1246" s="5">
        <v>0.154744873628993</v>
      </c>
    </row>
    <row r="1247">
      <c r="A1247" s="2" t="s">
        <v>1272</v>
      </c>
      <c r="B1247" s="8" t="str">
        <f>HYPERLINK("https://www.suredividend.com/sure-analysis-research-database/","Perdoceo Education Corporation")</f>
        <v>Perdoceo Education Corporation</v>
      </c>
      <c r="C1247" s="5">
        <v>0.034738041002278</v>
      </c>
      <c r="D1247" s="5">
        <v>0.027447609784784</v>
      </c>
      <c r="E1247" s="5">
        <v>0.422710117919727</v>
      </c>
      <c r="F1247" s="5">
        <v>0.034738041002278</v>
      </c>
      <c r="G1247" s="5">
        <v>0.288104352757691</v>
      </c>
      <c r="H1247" s="5">
        <v>0.727005731339879</v>
      </c>
      <c r="I1247" s="5">
        <v>0.420641125879593</v>
      </c>
    </row>
    <row r="1248">
      <c r="A1248" s="2" t="s">
        <v>1273</v>
      </c>
      <c r="B1248" s="8" t="str">
        <f>HYPERLINK("https://www.suredividend.com/sure-analysis-research-database/","Pardes Biosciences Inc")</f>
        <v>Pardes Biosciences Inc</v>
      </c>
      <c r="C1248" s="5">
        <v>0.0</v>
      </c>
      <c r="D1248" s="5">
        <v>0.0</v>
      </c>
      <c r="E1248" s="5">
        <v>0.0</v>
      </c>
      <c r="F1248" s="5">
        <v>0.0</v>
      </c>
      <c r="G1248" s="5">
        <v>0.0</v>
      </c>
      <c r="H1248" s="5">
        <v>0.0</v>
      </c>
      <c r="I1248" s="5">
        <v>0.0</v>
      </c>
    </row>
    <row r="1249">
      <c r="A1249" s="2" t="s">
        <v>1274</v>
      </c>
      <c r="B1249" s="8" t="str">
        <f>HYPERLINK("https://www.suredividend.com/sure-analysis-research-database/","Perficient Inc.")</f>
        <v>Perficient Inc.</v>
      </c>
      <c r="C1249" s="5">
        <v>0.085384381646915</v>
      </c>
      <c r="D1249" s="5">
        <v>0.383423702556158</v>
      </c>
      <c r="E1249" s="5">
        <v>0.125216569538509</v>
      </c>
      <c r="F1249" s="5">
        <v>0.085384381646915</v>
      </c>
      <c r="G1249" s="5">
        <v>-0.040687525177924</v>
      </c>
      <c r="H1249" s="5">
        <v>-0.280781234269606</v>
      </c>
      <c r="I1249" s="5">
        <v>1.88413403310456</v>
      </c>
    </row>
    <row r="1250">
      <c r="A1250" s="2" t="s">
        <v>1275</v>
      </c>
      <c r="B1250" s="8" t="str">
        <f>HYPERLINK("https://www.suredividend.com/sure-analysis-research-database/","PROG Holdings Inc")</f>
        <v>PROG Holdings Inc</v>
      </c>
      <c r="C1250" s="5">
        <v>0.053057263021675</v>
      </c>
      <c r="D1250" s="5">
        <v>0.20110701107011</v>
      </c>
      <c r="E1250" s="5">
        <v>-0.196494692668476</v>
      </c>
      <c r="F1250" s="5">
        <v>0.053057263021675</v>
      </c>
      <c r="G1250" s="5">
        <v>0.521028037383177</v>
      </c>
      <c r="H1250" s="5">
        <v>-0.151902032308494</v>
      </c>
      <c r="I1250" s="5">
        <v>-0.446096040650254</v>
      </c>
    </row>
    <row r="1251">
      <c r="A1251" s="2" t="s">
        <v>1276</v>
      </c>
      <c r="B1251" s="8" t="str">
        <f>HYPERLINK("https://www.suredividend.com/sure-analysis-research-database/","Progress Software Corp.")</f>
        <v>Progress Software Corp.</v>
      </c>
      <c r="C1251" s="5">
        <v>0.060773480662983</v>
      </c>
      <c r="D1251" s="5">
        <v>0.147074462259059</v>
      </c>
      <c r="E1251" s="5">
        <v>-0.0022674165828</v>
      </c>
      <c r="F1251" s="5">
        <v>0.060773480662983</v>
      </c>
      <c r="G1251" s="5">
        <v>0.113534078782536</v>
      </c>
      <c r="H1251" s="5">
        <v>0.306703205960018</v>
      </c>
      <c r="I1251" s="5">
        <v>0.769389560601592</v>
      </c>
    </row>
    <row r="1252">
      <c r="A1252" s="2" t="s">
        <v>1277</v>
      </c>
      <c r="B1252" s="8" t="str">
        <f>HYPERLINK("https://www.suredividend.com/sure-analysis-research-database/","Primoris Services Corp")</f>
        <v>Primoris Services Corp</v>
      </c>
      <c r="C1252" s="5">
        <v>0.00391448358928</v>
      </c>
      <c r="D1252" s="5">
        <v>0.1454092587821</v>
      </c>
      <c r="E1252" s="5">
        <v>0.076268505426536</v>
      </c>
      <c r="F1252" s="5">
        <v>0.00391448358928</v>
      </c>
      <c r="G1252" s="5">
        <v>0.300778750565725</v>
      </c>
      <c r="H1252" s="5">
        <v>0.341061667115832</v>
      </c>
      <c r="I1252" s="5">
        <v>0.763489318036359</v>
      </c>
    </row>
    <row r="1253">
      <c r="A1253" s="2" t="s">
        <v>1278</v>
      </c>
      <c r="B1253" s="8" t="str">
        <f>HYPERLINK("https://www.suredividend.com/sure-analysis-research-database/","Park National Corp.")</f>
        <v>Park National Corp.</v>
      </c>
      <c r="C1253" s="5">
        <v>0.023558633147674</v>
      </c>
      <c r="D1253" s="5">
        <v>0.383582786557504</v>
      </c>
      <c r="E1253" s="5">
        <v>0.272055652785586</v>
      </c>
      <c r="F1253" s="5">
        <v>0.023558633147674</v>
      </c>
      <c r="G1253" s="5">
        <v>0.172781533541862</v>
      </c>
      <c r="H1253" s="5">
        <v>0.096077446789989</v>
      </c>
      <c r="I1253" s="5">
        <v>0.760012424530683</v>
      </c>
    </row>
    <row r="1254">
      <c r="A1254" s="2" t="s">
        <v>1279</v>
      </c>
      <c r="B1254" s="8" t="str">
        <f>HYPERLINK("https://www.suredividend.com/sure-analysis-research-database/","Proto Labs Inc")</f>
        <v>Proto Labs Inc</v>
      </c>
      <c r="C1254" s="5">
        <v>-0.027720739219712</v>
      </c>
      <c r="D1254" s="5">
        <v>0.627147766323024</v>
      </c>
      <c r="E1254" s="5">
        <v>0.156288156288156</v>
      </c>
      <c r="F1254" s="5">
        <v>-0.027720739219712</v>
      </c>
      <c r="G1254" s="5">
        <v>0.286684782608695</v>
      </c>
      <c r="H1254" s="5">
        <v>-0.208359456635318</v>
      </c>
      <c r="I1254" s="5">
        <v>-0.6852513502285</v>
      </c>
    </row>
    <row r="1255">
      <c r="A1255" s="2" t="s">
        <v>1280</v>
      </c>
      <c r="B1255" s="8" t="str">
        <f>HYPERLINK("https://www.suredividend.com/sure-analysis-research-database/","Perimeter Solutions SA")</f>
        <v>Perimeter Solutions SA</v>
      </c>
      <c r="C1255" s="5">
        <v>0.030434782608695</v>
      </c>
      <c r="D1255" s="5">
        <v>0.524115755627009</v>
      </c>
      <c r="E1255" s="5">
        <v>-0.138181818181818</v>
      </c>
      <c r="F1255" s="5">
        <v>0.030434782608695</v>
      </c>
      <c r="G1255" s="5">
        <v>-0.485342019543973</v>
      </c>
      <c r="H1255" s="5">
        <v>-0.607940446650124</v>
      </c>
      <c r="I1255" s="5">
        <v>-0.605</v>
      </c>
    </row>
    <row r="1256">
      <c r="A1256" s="2" t="s">
        <v>1281</v>
      </c>
      <c r="B1256" s="8" t="str">
        <f>HYPERLINK("https://www.suredividend.com/sure-analysis-research-database/","Prime Medicine Inc")</f>
        <v>Prime Medicine Inc</v>
      </c>
      <c r="C1256" s="5">
        <v>-0.154627539503385</v>
      </c>
      <c r="D1256" s="5">
        <v>0.33989266547406</v>
      </c>
      <c r="E1256" s="5">
        <v>-0.495283018867924</v>
      </c>
      <c r="F1256" s="5">
        <v>-0.154627539503385</v>
      </c>
      <c r="G1256" s="5">
        <v>-0.570773638968481</v>
      </c>
      <c r="H1256" s="5">
        <v>-0.512687052700065</v>
      </c>
      <c r="I1256" s="5">
        <v>-0.512687052700065</v>
      </c>
    </row>
    <row r="1257">
      <c r="A1257" s="2" t="s">
        <v>1282</v>
      </c>
      <c r="B1257" s="8" t="str">
        <f>HYPERLINK("https://www.suredividend.com/sure-analysis-research-database/","Primo Water Corporation")</f>
        <v>Primo Water Corporation</v>
      </c>
      <c r="C1257" s="5">
        <v>-0.005980066445182</v>
      </c>
      <c r="D1257" s="5">
        <v>0.159043014751456</v>
      </c>
      <c r="E1257" s="5">
        <v>0.056243557337927</v>
      </c>
      <c r="F1257" s="5">
        <v>-0.005980066445182</v>
      </c>
      <c r="G1257" s="5">
        <v>-0.014784813461095</v>
      </c>
      <c r="H1257" s="5">
        <v>-0.08342880949901</v>
      </c>
      <c r="I1257" s="5">
        <v>0.021516022642694</v>
      </c>
    </row>
    <row r="1258">
      <c r="A1258" s="2" t="s">
        <v>1283</v>
      </c>
      <c r="B1258" s="8" t="str">
        <f>HYPERLINK("https://www.suredividend.com/sure-analysis-research-database/","Pros Holdings Inc")</f>
        <v>Pros Holdings Inc</v>
      </c>
      <c r="C1258" s="5">
        <v>-0.063934003609177</v>
      </c>
      <c r="D1258" s="5">
        <v>0.119987661937075</v>
      </c>
      <c r="E1258" s="5">
        <v>-0.014386536373507</v>
      </c>
      <c r="F1258" s="5">
        <v>-0.063934003609177</v>
      </c>
      <c r="G1258" s="5">
        <v>0.45065920894926</v>
      </c>
      <c r="H1258" s="5">
        <v>0.332477064220183</v>
      </c>
      <c r="I1258" s="5">
        <v>0.069829110194461</v>
      </c>
    </row>
    <row r="1259">
      <c r="A1259" s="2" t="s">
        <v>1284</v>
      </c>
      <c r="B1259" s="8" t="str">
        <f>HYPERLINK("https://www.suredividend.com/sure-analysis-research-database/","Purple Innovation Inc")</f>
        <v>Purple Innovation Inc</v>
      </c>
      <c r="C1259" s="5">
        <v>0.0</v>
      </c>
      <c r="D1259" s="5">
        <v>0.072916666666666</v>
      </c>
      <c r="E1259" s="5">
        <v>-0.669871794871794</v>
      </c>
      <c r="F1259" s="5">
        <v>0.0</v>
      </c>
      <c r="G1259" s="5">
        <v>-0.825127334465195</v>
      </c>
      <c r="H1259" s="5">
        <v>-0.866059817945383</v>
      </c>
      <c r="I1259" s="5">
        <v>-0.817051509769094</v>
      </c>
    </row>
    <row r="1260">
      <c r="A1260" s="2" t="s">
        <v>1285</v>
      </c>
      <c r="B1260" s="8" t="str">
        <f>HYPERLINK("https://www.suredividend.com/sure-analysis-research-database/","Prothena Corporation plc")</f>
        <v>Prothena Corporation plc</v>
      </c>
      <c r="C1260" s="5">
        <v>-0.070996147495872</v>
      </c>
      <c r="D1260" s="5">
        <v>-0.055664335664335</v>
      </c>
      <c r="E1260" s="5">
        <v>-0.493853073463268</v>
      </c>
      <c r="F1260" s="5">
        <v>-0.070996147495872</v>
      </c>
      <c r="G1260" s="5">
        <v>-0.408963585434173</v>
      </c>
      <c r="H1260" s="5">
        <v>0.032731722239216</v>
      </c>
      <c r="I1260" s="5">
        <v>1.94847161572052</v>
      </c>
    </row>
    <row r="1261">
      <c r="A1261" s="2" t="s">
        <v>1286</v>
      </c>
      <c r="B1261" s="8" t="str">
        <f>HYPERLINK("https://www.suredividend.com/sure-analysis-research-database/","Priority Technology Holdings Inc")</f>
        <v>Priority Technology Holdings Inc</v>
      </c>
      <c r="C1261" s="5">
        <v>0.036516853932584</v>
      </c>
      <c r="D1261" s="5">
        <v>0.182692307692307</v>
      </c>
      <c r="E1261" s="5">
        <v>-0.125592417061611</v>
      </c>
      <c r="F1261" s="5">
        <v>0.036516853932584</v>
      </c>
      <c r="G1261" s="5">
        <v>-0.174496644295301</v>
      </c>
      <c r="H1261" s="5">
        <v>-0.352631578947368</v>
      </c>
      <c r="I1261" s="5">
        <v>-0.394088669950738</v>
      </c>
    </row>
    <row r="1262">
      <c r="A1262" s="2" t="s">
        <v>1287</v>
      </c>
      <c r="B1262" s="8" t="str">
        <f>HYPERLINK("https://www.suredividend.com/sure-analysis-research-database/","CarParts.com Inc")</f>
        <v>CarParts.com Inc</v>
      </c>
      <c r="C1262" s="5">
        <v>-0.082278481012658</v>
      </c>
      <c r="D1262" s="5">
        <v>-0.156976744186046</v>
      </c>
      <c r="E1262" s="5">
        <v>-0.414141414141414</v>
      </c>
      <c r="F1262" s="5">
        <v>-0.082278481012658</v>
      </c>
      <c r="G1262" s="5">
        <v>-0.589235127478753</v>
      </c>
      <c r="H1262" s="5">
        <v>-0.655172413793103</v>
      </c>
      <c r="I1262" s="5">
        <v>1.58928571428571</v>
      </c>
    </row>
    <row r="1263">
      <c r="A1263" s="2" t="s">
        <v>1288</v>
      </c>
      <c r="B1263" s="8" t="str">
        <f>HYPERLINK("https://www.suredividend.com/sure-analysis-research-database/","Privia Health Group Inc")</f>
        <v>Privia Health Group Inc</v>
      </c>
      <c r="C1263" s="5">
        <v>-0.064264003473729</v>
      </c>
      <c r="D1263" s="5">
        <v>-0.012826385707741</v>
      </c>
      <c r="E1263" s="5">
        <v>-0.201260192735359</v>
      </c>
      <c r="F1263" s="5">
        <v>-0.064264003473729</v>
      </c>
      <c r="G1263" s="5">
        <v>-0.156885758998434</v>
      </c>
      <c r="H1263" s="5">
        <v>0.05689063266307</v>
      </c>
      <c r="I1263" s="5">
        <v>-0.379856115107913</v>
      </c>
    </row>
    <row r="1264">
      <c r="A1264" s="2" t="s">
        <v>1289</v>
      </c>
      <c r="B1264" s="8" t="str">
        <f>HYPERLINK("https://www.suredividend.com/sure-analysis-research-database/","Paysafe Limited")</f>
        <v>Paysafe Limited</v>
      </c>
      <c r="C1264" s="5">
        <v>0.250977326035965</v>
      </c>
      <c r="D1264" s="5">
        <v>0.670146137787056</v>
      </c>
      <c r="E1264" s="5">
        <v>0.381692573402417</v>
      </c>
      <c r="F1264" s="5">
        <v>0.250977326035965</v>
      </c>
      <c r="G1264" s="5">
        <v>-0.240265906932573</v>
      </c>
      <c r="H1264" s="5">
        <v>-0.610136452241715</v>
      </c>
      <c r="I1264" s="5">
        <v>0.608040201005025</v>
      </c>
    </row>
    <row r="1265">
      <c r="A1265" s="2" t="s">
        <v>1290</v>
      </c>
      <c r="B1265" s="8" t="str">
        <f>HYPERLINK("https://www.suredividend.com/sure-analysis-research-database/","Pricesmart Inc.")</f>
        <v>Pricesmart Inc.</v>
      </c>
      <c r="C1265" s="5">
        <v>0.027711797307996</v>
      </c>
      <c r="D1265" s="5">
        <v>0.079118747401967</v>
      </c>
      <c r="E1265" s="5">
        <v>-0.001328484450576</v>
      </c>
      <c r="F1265" s="5">
        <v>0.027711797307996</v>
      </c>
      <c r="G1265" s="5">
        <v>0.096731492304009</v>
      </c>
      <c r="H1265" s="5">
        <v>0.138969487083489</v>
      </c>
      <c r="I1265" s="5">
        <v>0.305300983501049</v>
      </c>
    </row>
    <row r="1266">
      <c r="A1266" s="2" t="s">
        <v>1291</v>
      </c>
      <c r="B1266" s="8" t="str">
        <f>HYPERLINK("https://www.suredividend.com/sure-analysis-research-database/","Parsons Corp")</f>
        <v>Parsons Corp</v>
      </c>
      <c r="C1266" s="5">
        <v>0.057885504704193</v>
      </c>
      <c r="D1266" s="5">
        <v>0.195315315315315</v>
      </c>
      <c r="E1266" s="5">
        <v>0.342914979757085</v>
      </c>
      <c r="F1266" s="5">
        <v>0.057885504704193</v>
      </c>
      <c r="G1266" s="5">
        <v>0.549637935061901</v>
      </c>
      <c r="H1266" s="5">
        <v>1.22319034852546</v>
      </c>
      <c r="I1266" s="5">
        <v>1.2061855670103</v>
      </c>
    </row>
    <row r="1267">
      <c r="A1267" s="2" t="s">
        <v>1292</v>
      </c>
      <c r="B1267" s="8" t="str">
        <f>HYPERLINK("https://www.suredividend.com/sure-analysis-PSTL/","Postal Realty Trust Inc")</f>
        <v>Postal Realty Trust Inc</v>
      </c>
      <c r="C1267" s="5">
        <v>-0.001373626373626</v>
      </c>
      <c r="D1267" s="5">
        <v>0.109517123496734</v>
      </c>
      <c r="E1267" s="5">
        <v>0.002703299128324</v>
      </c>
      <c r="F1267" s="5">
        <v>-0.001373626373626</v>
      </c>
      <c r="G1267" s="5">
        <v>0.014435118711234</v>
      </c>
      <c r="H1267" s="5">
        <v>-0.052608259379438</v>
      </c>
      <c r="I1267" s="5">
        <v>0.077013103412516</v>
      </c>
    </row>
    <row r="1268">
      <c r="A1268" s="2" t="s">
        <v>1293</v>
      </c>
      <c r="B1268" s="8" t="str">
        <f>HYPERLINK("https://www.suredividend.com/sure-analysis-research-database/","PTC Therapeutics Inc")</f>
        <v>PTC Therapeutics Inc</v>
      </c>
      <c r="C1268" s="5">
        <v>0.02177068214804</v>
      </c>
      <c r="D1268" s="5">
        <v>0.521339816315505</v>
      </c>
      <c r="E1268" s="5">
        <v>-0.31199609088688</v>
      </c>
      <c r="F1268" s="5">
        <v>0.02177068214804</v>
      </c>
      <c r="G1268" s="5">
        <v>-0.391135135135135</v>
      </c>
      <c r="H1268" s="5">
        <v>-0.278503715090955</v>
      </c>
      <c r="I1268" s="5">
        <v>3.55239786856E-4</v>
      </c>
    </row>
    <row r="1269">
      <c r="A1269" s="2" t="s">
        <v>1294</v>
      </c>
      <c r="B1269" s="8" t="str">
        <f>HYPERLINK("https://www.suredividend.com/sure-analysis-research-database/","Patterson-UTI Energy Inc")</f>
        <v>Patterson-UTI Energy Inc</v>
      </c>
      <c r="C1269" s="5">
        <v>0.003703703703703</v>
      </c>
      <c r="D1269" s="5">
        <v>-0.155394876270024</v>
      </c>
      <c r="E1269" s="5">
        <v>-0.275546347657555</v>
      </c>
      <c r="F1269" s="5">
        <v>0.003703703703703</v>
      </c>
      <c r="G1269" s="5">
        <v>-0.326427768077398</v>
      </c>
      <c r="H1269" s="5">
        <v>0.133725186688141</v>
      </c>
      <c r="I1269" s="5">
        <v>0.016084886205991</v>
      </c>
    </row>
    <row r="1270">
      <c r="A1270" s="2" t="s">
        <v>1295</v>
      </c>
      <c r="B1270" s="8" t="str">
        <f>HYPERLINK("https://www.suredividend.com/sure-analysis-research-database/","Protagonist Therapeutics Inc")</f>
        <v>Protagonist Therapeutics Inc</v>
      </c>
      <c r="C1270" s="5">
        <v>0.160924552987352</v>
      </c>
      <c r="D1270" s="5">
        <v>0.890625</v>
      </c>
      <c r="E1270" s="5">
        <v>0.394447354635935</v>
      </c>
      <c r="F1270" s="5">
        <v>0.160924552987352</v>
      </c>
      <c r="G1270" s="5">
        <v>0.973313565604151</v>
      </c>
      <c r="H1270" s="5">
        <v>-0.054351687388987</v>
      </c>
      <c r="I1270" s="5">
        <v>2.29863692688971</v>
      </c>
    </row>
    <row r="1271">
      <c r="A1271" s="2" t="s">
        <v>1296</v>
      </c>
      <c r="B1271" s="8" t="str">
        <f>HYPERLINK("https://www.suredividend.com/sure-analysis-research-database/","Portillos Inc")</f>
        <v>Portillos Inc</v>
      </c>
      <c r="C1271" s="5">
        <v>-0.10420590081607</v>
      </c>
      <c r="D1271" s="5">
        <v>-0.04228187919463</v>
      </c>
      <c r="E1271" s="5">
        <v>-0.374945247481384</v>
      </c>
      <c r="F1271" s="5">
        <v>-0.10420590081607</v>
      </c>
      <c r="G1271" s="5">
        <v>-0.35400633770937</v>
      </c>
      <c r="H1271" s="5">
        <v>-0.425523349436392</v>
      </c>
      <c r="I1271" s="5">
        <v>-0.509621993127147</v>
      </c>
    </row>
    <row r="1272">
      <c r="A1272" s="2" t="s">
        <v>1297</v>
      </c>
      <c r="B1272" s="8" t="str">
        <f>HYPERLINK("https://www.suredividend.com/sure-analysis-research-database/","Proterra Inc")</f>
        <v>Proterra Inc</v>
      </c>
      <c r="C1272" s="5">
        <v>0.0</v>
      </c>
      <c r="D1272" s="5">
        <v>0.0</v>
      </c>
      <c r="E1272" s="5">
        <v>0.0</v>
      </c>
      <c r="F1272" s="5">
        <v>0.0</v>
      </c>
      <c r="G1272" s="5">
        <v>0.0</v>
      </c>
      <c r="H1272" s="5">
        <v>0.0</v>
      </c>
      <c r="I1272" s="5">
        <v>0.0</v>
      </c>
    </row>
    <row r="1273">
      <c r="A1273" s="2" t="s">
        <v>1298</v>
      </c>
      <c r="B1273" s="8" t="str">
        <f>HYPERLINK("https://www.suredividend.com/sure-analysis-research-database/","P.A.M. Transportation Services, Inc.")</f>
        <v>P.A.M. Transportation Services, Inc.</v>
      </c>
      <c r="C1273" s="5">
        <v>0.03079884504331</v>
      </c>
      <c r="D1273" s="5">
        <v>0.343789209535759</v>
      </c>
      <c r="E1273" s="5">
        <v>-0.151683168316831</v>
      </c>
      <c r="F1273" s="5">
        <v>0.03079884504331</v>
      </c>
      <c r="G1273" s="5">
        <v>-0.265180102915951</v>
      </c>
      <c r="H1273" s="5">
        <v>-0.359832635983263</v>
      </c>
      <c r="I1273" s="5">
        <v>0.688608592826172</v>
      </c>
    </row>
    <row r="1274">
      <c r="A1274" s="2" t="s">
        <v>1299</v>
      </c>
      <c r="B1274" s="8" t="str">
        <f>HYPERLINK("https://www.suredividend.com/sure-analysis-research-database/","Pactiv Evergreen Inc")</f>
        <v>Pactiv Evergreen Inc</v>
      </c>
      <c r="C1274" s="5">
        <v>0.088986141502552</v>
      </c>
      <c r="D1274" s="5">
        <v>0.864176104084206</v>
      </c>
      <c r="E1274" s="5">
        <v>0.811211801385401</v>
      </c>
      <c r="F1274" s="5">
        <v>0.088986141502552</v>
      </c>
      <c r="G1274" s="5">
        <v>0.422894012027409</v>
      </c>
      <c r="H1274" s="5">
        <v>0.540382155090586</v>
      </c>
      <c r="I1274" s="5">
        <v>0.560165107894874</v>
      </c>
    </row>
    <row r="1275">
      <c r="A1275" s="2" t="s">
        <v>1300</v>
      </c>
      <c r="B1275" s="8" t="str">
        <f>HYPERLINK("https://www.suredividend.com/sure-analysis-research-database/","PubMatic Inc")</f>
        <v>PubMatic Inc</v>
      </c>
      <c r="C1275" s="5">
        <v>-0.01471489883507</v>
      </c>
      <c r="D1275" s="5">
        <v>0.427175843694493</v>
      </c>
      <c r="E1275" s="5">
        <v>-0.175474602360184</v>
      </c>
      <c r="F1275" s="5">
        <v>-0.01471489883507</v>
      </c>
      <c r="G1275" s="5">
        <v>0.05862977602108</v>
      </c>
      <c r="H1275" s="5">
        <v>-0.270540172492056</v>
      </c>
      <c r="I1275" s="5">
        <v>-0.454329371816638</v>
      </c>
    </row>
    <row r="1276">
      <c r="A1276" s="2" t="s">
        <v>1301</v>
      </c>
      <c r="B1276" s="8" t="str">
        <f>HYPERLINK("https://www.suredividend.com/sure-analysis-research-database/","ProPetro Holding Corp")</f>
        <v>ProPetro Holding Corp</v>
      </c>
      <c r="C1276" s="5">
        <v>0.0</v>
      </c>
      <c r="D1276" s="5">
        <v>-0.20266412940057</v>
      </c>
      <c r="E1276" s="5">
        <v>-0.165338645418326</v>
      </c>
      <c r="F1276" s="5">
        <v>0.0</v>
      </c>
      <c r="G1276" s="5">
        <v>-0.117894736842105</v>
      </c>
      <c r="H1276" s="5">
        <v>-0.193455245428296</v>
      </c>
      <c r="I1276" s="5">
        <v>-0.476903870162297</v>
      </c>
    </row>
    <row r="1277">
      <c r="A1277" s="2" t="s">
        <v>1302</v>
      </c>
      <c r="B1277" s="8" t="str">
        <f>HYPERLINK("https://www.suredividend.com/sure-analysis-research-database/","Provident Bancorp Inc")</f>
        <v>Provident Bancorp Inc</v>
      </c>
      <c r="C1277" s="5">
        <v>0.127110228401191</v>
      </c>
      <c r="D1277" s="5">
        <v>0.149949341438703</v>
      </c>
      <c r="E1277" s="5">
        <v>0.159346271705822</v>
      </c>
      <c r="F1277" s="5">
        <v>0.127110228401191</v>
      </c>
      <c r="G1277" s="5">
        <v>0.231019522776572</v>
      </c>
      <c r="H1277" s="5">
        <v>-0.358579493758159</v>
      </c>
      <c r="I1277" s="5">
        <v>0.078016070512698</v>
      </c>
    </row>
    <row r="1278">
      <c r="A1278" s="2" t="s">
        <v>1303</v>
      </c>
      <c r="B1278" s="8" t="str">
        <f>HYPERLINK("https://www.suredividend.com/sure-analysis-research-database/","Perella Weinberg Partners")</f>
        <v>Perella Weinberg Partners</v>
      </c>
      <c r="C1278" s="5">
        <v>0.021259198691741</v>
      </c>
      <c r="D1278" s="5">
        <v>0.324201397355838</v>
      </c>
      <c r="E1278" s="5">
        <v>0.275518019628067</v>
      </c>
      <c r="F1278" s="5">
        <v>0.021259198691741</v>
      </c>
      <c r="G1278" s="5">
        <v>0.313409607133843</v>
      </c>
      <c r="H1278" s="5">
        <v>0.315623156652902</v>
      </c>
      <c r="I1278" s="5">
        <v>0.262253663466397</v>
      </c>
    </row>
    <row r="1279">
      <c r="A1279" s="2" t="s">
        <v>1304</v>
      </c>
      <c r="B1279" s="8" t="str">
        <f>HYPERLINK("https://www.suredividend.com/sure-analysis-research-database/","PowerSchool Holdings Inc")</f>
        <v>PowerSchool Holdings Inc</v>
      </c>
      <c r="C1279" s="5">
        <v>0.026315789473684</v>
      </c>
      <c r="D1279" s="5">
        <v>0.250905328504914</v>
      </c>
      <c r="E1279" s="5">
        <v>0.02068383284086</v>
      </c>
      <c r="F1279" s="5">
        <v>0.026315789473684</v>
      </c>
      <c r="G1279" s="5">
        <v>0.048568950563746</v>
      </c>
      <c r="H1279" s="5">
        <v>0.55198973042362</v>
      </c>
      <c r="I1279" s="5">
        <v>0.343333333333333</v>
      </c>
    </row>
    <row r="1280">
      <c r="A1280" s="2" t="s">
        <v>1305</v>
      </c>
      <c r="B1280" s="8" t="str">
        <f>HYPERLINK("https://www.suredividend.com/sure-analysis-research-database/","Papa John`s International, Inc.")</f>
        <v>Papa John`s International, Inc.</v>
      </c>
      <c r="C1280" s="5">
        <v>0.00629673356946</v>
      </c>
      <c r="D1280" s="5">
        <v>0.193428442522208</v>
      </c>
      <c r="E1280" s="5">
        <v>-0.055715377769242</v>
      </c>
      <c r="F1280" s="5">
        <v>0.00629673356946</v>
      </c>
      <c r="G1280" s="5">
        <v>-0.114931932485148</v>
      </c>
      <c r="H1280" s="5">
        <v>-0.338306457873644</v>
      </c>
      <c r="I1280" s="5">
        <v>0.996335757077349</v>
      </c>
    </row>
    <row r="1281">
      <c r="A1281" s="2" t="s">
        <v>1306</v>
      </c>
      <c r="B1281" s="8" t="str">
        <f>HYPERLINK("https://www.suredividend.com/sure-analysis-research-database/","QCR Holding, Inc.")</f>
        <v>QCR Holding, Inc.</v>
      </c>
      <c r="C1281" s="5">
        <v>0.068076725466689</v>
      </c>
      <c r="D1281" s="5">
        <v>0.312701409630616</v>
      </c>
      <c r="E1281" s="5">
        <v>0.194695181756881</v>
      </c>
      <c r="F1281" s="5">
        <v>0.068076725466689</v>
      </c>
      <c r="G1281" s="5">
        <v>0.249867227284843</v>
      </c>
      <c r="H1281" s="5">
        <v>0.126065532626378</v>
      </c>
      <c r="I1281" s="5">
        <v>0.886121965087161</v>
      </c>
    </row>
    <row r="1282">
      <c r="A1282" s="2" t="s">
        <v>1307</v>
      </c>
      <c r="B1282" s="8" t="str">
        <f>HYPERLINK("https://www.suredividend.com/sure-analysis-research-database/","Qualys Inc")</f>
        <v>Qualys Inc</v>
      </c>
      <c r="C1282" s="5">
        <v>-0.023435907886692</v>
      </c>
      <c r="D1282" s="5">
        <v>0.259312791538006</v>
      </c>
      <c r="E1282" s="5">
        <v>0.410760285567086</v>
      </c>
      <c r="F1282" s="5">
        <v>-0.023435907886692</v>
      </c>
      <c r="G1282" s="5">
        <v>0.679046951646811</v>
      </c>
      <c r="H1282" s="5">
        <v>0.550809061488673</v>
      </c>
      <c r="I1282" s="5">
        <v>1.33017262338925</v>
      </c>
    </row>
    <row r="1283">
      <c r="A1283" s="2" t="s">
        <v>1308</v>
      </c>
      <c r="B1283" s="8" t="str">
        <f>HYPERLINK("https://www.suredividend.com/sure-analysis-research-database/","QuinStreet Inc")</f>
        <v>QuinStreet Inc</v>
      </c>
      <c r="C1283" s="5">
        <v>0.013260530421216</v>
      </c>
      <c r="D1283" s="5">
        <v>0.296407185628742</v>
      </c>
      <c r="E1283" s="5">
        <v>0.484571428571428</v>
      </c>
      <c r="F1283" s="5">
        <v>0.013260530421216</v>
      </c>
      <c r="G1283" s="5">
        <v>-0.145394736842105</v>
      </c>
      <c r="H1283" s="5">
        <v>-0.170498084291187</v>
      </c>
      <c r="I1283" s="5">
        <v>-0.288998357963875</v>
      </c>
    </row>
    <row r="1284">
      <c r="A1284" s="2" t="s">
        <v>1309</v>
      </c>
      <c r="B1284" s="8" t="str">
        <f>HYPERLINK("https://www.suredividend.com/sure-analysis-research-database/","Qurate Retail Inc")</f>
        <v>Qurate Retail Inc</v>
      </c>
      <c r="C1284" s="5">
        <v>0.005254140491147</v>
      </c>
      <c r="D1284" s="5">
        <v>1.09547619047619</v>
      </c>
      <c r="E1284" s="5">
        <v>-0.1199</v>
      </c>
      <c r="F1284" s="5">
        <v>0.005254140491147</v>
      </c>
      <c r="G1284" s="5">
        <v>-0.669135338345864</v>
      </c>
      <c r="H1284" s="5">
        <v>-0.866246200607902</v>
      </c>
      <c r="I1284" s="5">
        <v>-0.946294104006736</v>
      </c>
    </row>
    <row r="1285">
      <c r="A1285" s="2" t="s">
        <v>1310</v>
      </c>
      <c r="B1285" s="8" t="str">
        <f>HYPERLINK("https://www.suredividend.com/sure-analysis-research-database/","Quantum-Si Incorporated")</f>
        <v>Quantum-Si Incorporated</v>
      </c>
      <c r="C1285" s="5">
        <v>-0.129353233830845</v>
      </c>
      <c r="D1285" s="5">
        <v>0.528384279475982</v>
      </c>
      <c r="E1285" s="5">
        <v>-0.492753623188405</v>
      </c>
      <c r="F1285" s="5">
        <v>-0.129353233830845</v>
      </c>
      <c r="G1285" s="5">
        <v>-0.200913242009132</v>
      </c>
      <c r="H1285" s="5">
        <v>-0.612831858407079</v>
      </c>
      <c r="I1285" s="5">
        <v>-0.822874493927125</v>
      </c>
    </row>
    <row r="1286">
      <c r="A1286" s="2" t="s">
        <v>1311</v>
      </c>
      <c r="B1286" s="8" t="str">
        <f>HYPERLINK("https://www.suredividend.com/sure-analysis-research-database/","Quanterix Corp")</f>
        <v>Quanterix Corp</v>
      </c>
      <c r="C1286" s="5">
        <v>-0.136064374542794</v>
      </c>
      <c r="D1286" s="5">
        <v>0.152195121951219</v>
      </c>
      <c r="E1286" s="5">
        <v>0.011996572407883</v>
      </c>
      <c r="F1286" s="5">
        <v>-0.136064374542794</v>
      </c>
      <c r="G1286" s="5">
        <v>0.65406162464986</v>
      </c>
      <c r="H1286" s="5">
        <v>-0.161816891412349</v>
      </c>
      <c r="I1286" s="5">
        <v>0.199593702386998</v>
      </c>
    </row>
    <row r="1287">
      <c r="A1287" s="2" t="s">
        <v>1312</v>
      </c>
      <c r="B1287" s="8" t="str">
        <f>HYPERLINK("https://www.suredividend.com/sure-analysis-research-database/","Q2 Holdings Inc")</f>
        <v>Q2 Holdings Inc</v>
      </c>
      <c r="C1287" s="5">
        <v>0.023266528449666</v>
      </c>
      <c r="D1287" s="5">
        <v>0.511912865895166</v>
      </c>
      <c r="E1287" s="5">
        <v>0.270958512160228</v>
      </c>
      <c r="F1287" s="5">
        <v>0.023266528449666</v>
      </c>
      <c r="G1287" s="5">
        <v>0.353443022547227</v>
      </c>
      <c r="H1287" s="5">
        <v>-0.257563095437071</v>
      </c>
      <c r="I1287" s="5">
        <v>-0.219606465214335</v>
      </c>
    </row>
    <row r="1288">
      <c r="A1288" s="2" t="s">
        <v>1313</v>
      </c>
      <c r="B1288" s="8" t="str">
        <f>HYPERLINK("https://www.suredividend.com/sure-analysis-research-database/","Quad/Graphics Inc")</f>
        <v>Quad/Graphics Inc</v>
      </c>
      <c r="C1288" s="5">
        <v>0.049815498154981</v>
      </c>
      <c r="D1288" s="5">
        <v>0.202959830866807</v>
      </c>
      <c r="E1288" s="5">
        <v>-0.01727115716753</v>
      </c>
      <c r="F1288" s="5">
        <v>0.049815498154981</v>
      </c>
      <c r="G1288" s="5">
        <v>0.281531531531531</v>
      </c>
      <c r="H1288" s="5">
        <v>0.302059496567505</v>
      </c>
      <c r="I1288" s="5">
        <v>-0.509939022289592</v>
      </c>
    </row>
    <row r="1289">
      <c r="A1289" s="2" t="s">
        <v>1314</v>
      </c>
      <c r="B1289" s="8" t="str">
        <f>HYPERLINK("https://www.suredividend.com/sure-analysis-research-database/","Quotient Technology Inc")</f>
        <v>Quotient Technology Inc</v>
      </c>
      <c r="C1289" s="5">
        <v>0.007575757575757</v>
      </c>
      <c r="D1289" s="5">
        <v>0.321192052980132</v>
      </c>
      <c r="E1289" s="5">
        <v>0.209090909090909</v>
      </c>
      <c r="F1289" s="5">
        <v>0.163265306122448</v>
      </c>
      <c r="G1289" s="5">
        <v>1.29310344827586</v>
      </c>
      <c r="H1289" s="5">
        <v>-0.424242424242424</v>
      </c>
      <c r="I1289" s="5">
        <v>-0.736633663366336</v>
      </c>
    </row>
    <row r="1290">
      <c r="A1290" s="2" t="s">
        <v>1315</v>
      </c>
      <c r="B1290" s="8" t="str">
        <f>HYPERLINK("https://www.suredividend.com/sure-analysis-research-database/","Rite Aid Corp.")</f>
        <v>Rite Aid Corp.</v>
      </c>
      <c r="C1290" s="5">
        <v>-0.029200359389038</v>
      </c>
      <c r="D1290" s="5">
        <v>-0.579025974025974</v>
      </c>
      <c r="E1290" s="5">
        <v>-0.73538775510204</v>
      </c>
      <c r="F1290" s="5">
        <v>-0.805898203592814</v>
      </c>
      <c r="G1290" s="5">
        <v>-0.832046632124352</v>
      </c>
      <c r="H1290" s="5">
        <v>-0.953191335740072</v>
      </c>
      <c r="I1290" s="5">
        <v>-0.969986111111111</v>
      </c>
    </row>
    <row r="1291">
      <c r="A1291" s="2" t="s">
        <v>1316</v>
      </c>
      <c r="B1291" s="8" t="str">
        <f>HYPERLINK("https://www.suredividend.com/sure-analysis-research-database/","Radius Global Infrastructure Inc")</f>
        <v>Radius Global Infrastructure Inc</v>
      </c>
      <c r="C1291" s="5">
        <v>0.0</v>
      </c>
      <c r="D1291" s="5">
        <v>0.0</v>
      </c>
      <c r="E1291" s="5">
        <v>0.0</v>
      </c>
      <c r="F1291" s="5">
        <v>0.0</v>
      </c>
      <c r="G1291" s="5">
        <v>0.0</v>
      </c>
      <c r="H1291" s="5">
        <v>0.0</v>
      </c>
      <c r="I1291" s="5">
        <v>0.0</v>
      </c>
    </row>
    <row r="1292">
      <c r="A1292" s="2" t="s">
        <v>1317</v>
      </c>
      <c r="B1292" s="8" t="str">
        <f>HYPERLINK("https://www.suredividend.com/sure-analysis-research-database/","LiveRamp Holdings Inc")</f>
        <v>LiveRamp Holdings Inc</v>
      </c>
      <c r="C1292" s="5">
        <v>0.093980992608236</v>
      </c>
      <c r="D1292" s="5">
        <v>0.514619883040935</v>
      </c>
      <c r="E1292" s="5">
        <v>0.461728395061728</v>
      </c>
      <c r="F1292" s="5">
        <v>0.093980992608236</v>
      </c>
      <c r="G1292" s="5">
        <v>0.579268292682926</v>
      </c>
      <c r="H1292" s="5">
        <v>-0.032905484247374</v>
      </c>
      <c r="I1292" s="5">
        <v>-0.011686143572621</v>
      </c>
    </row>
    <row r="1293">
      <c r="A1293" s="2" t="s">
        <v>1318</v>
      </c>
      <c r="B1293" s="8" t="str">
        <f>HYPERLINK("https://www.suredividend.com/sure-analysis-research-database/","RAPT Therapeutics Inc")</f>
        <v>RAPT Therapeutics Inc</v>
      </c>
      <c r="C1293" s="5">
        <v>0.054728370221327</v>
      </c>
      <c r="D1293" s="5">
        <v>1.32358156028368</v>
      </c>
      <c r="E1293" s="5">
        <v>0.108245243128964</v>
      </c>
      <c r="F1293" s="5">
        <v>0.054728370221327</v>
      </c>
      <c r="G1293" s="5">
        <v>-0.062589413447782</v>
      </c>
      <c r="H1293" s="5">
        <v>0.319738167170191</v>
      </c>
      <c r="I1293" s="5">
        <v>1.01615384615384</v>
      </c>
    </row>
    <row r="1294">
      <c r="A1294" s="2" t="s">
        <v>1319</v>
      </c>
      <c r="B1294" s="8" t="str">
        <f>HYPERLINK("https://www.suredividend.com/sure-analysis-research-database/","RBB Bancorp")</f>
        <v>RBB Bancorp</v>
      </c>
      <c r="C1294" s="5">
        <v>-0.003152029319215</v>
      </c>
      <c r="D1294" s="5">
        <v>0.670764684813753</v>
      </c>
      <c r="E1294" s="5">
        <v>0.335033806747039</v>
      </c>
      <c r="F1294" s="5">
        <v>-0.003152029319215</v>
      </c>
      <c r="G1294" s="5">
        <v>0.033212804483008</v>
      </c>
      <c r="H1294" s="5">
        <v>-0.215964670487587</v>
      </c>
      <c r="I1294" s="5">
        <v>0.197816094905505</v>
      </c>
    </row>
    <row r="1295">
      <c r="A1295" s="2" t="s">
        <v>1320</v>
      </c>
      <c r="B1295" s="8" t="str">
        <f>HYPERLINK("https://www.suredividend.com/sure-analysis-research-database/","Ribbon Communications Inc")</f>
        <v>Ribbon Communications Inc</v>
      </c>
      <c r="C1295" s="5">
        <v>0.110344827586206</v>
      </c>
      <c r="D1295" s="5">
        <v>0.548076923076923</v>
      </c>
      <c r="E1295" s="5">
        <v>-0.012269938650306</v>
      </c>
      <c r="F1295" s="5">
        <v>0.110344827586206</v>
      </c>
      <c r="G1295" s="5">
        <v>-0.063953488372092</v>
      </c>
      <c r="H1295" s="5">
        <v>-0.229665071770334</v>
      </c>
      <c r="I1295" s="5">
        <v>-0.419819819819819</v>
      </c>
    </row>
    <row r="1296">
      <c r="A1296" s="2" t="s">
        <v>1321</v>
      </c>
      <c r="B1296" s="8" t="str">
        <f>HYPERLINK("https://www.suredividend.com/sure-analysis-research-database/","RBC Bearings Inc.")</f>
        <v>RBC Bearings Inc.</v>
      </c>
      <c r="C1296" s="5">
        <v>-0.034644950682719</v>
      </c>
      <c r="D1296" s="5">
        <v>0.272651550208236</v>
      </c>
      <c r="E1296" s="5">
        <v>0.22465155630761</v>
      </c>
      <c r="F1296" s="5">
        <v>-0.034644950682719</v>
      </c>
      <c r="G1296" s="5">
        <v>0.111686001859412</v>
      </c>
      <c r="H1296" s="5">
        <v>0.595151093324053</v>
      </c>
      <c r="I1296" s="5">
        <v>1.02667649226234</v>
      </c>
    </row>
    <row r="1297">
      <c r="A1297" s="2" t="s">
        <v>1322</v>
      </c>
      <c r="B1297" s="8" t="str">
        <f>HYPERLINK("https://www.suredividend.com/sure-analysis-RBCAA/","Republic Bancorp, Inc. (KY)")</f>
        <v>Republic Bancorp, Inc. (KY)</v>
      </c>
      <c r="C1297" s="5">
        <v>-0.015409717186366</v>
      </c>
      <c r="D1297" s="5">
        <v>0.272454212969145</v>
      </c>
      <c r="E1297" s="5">
        <v>0.21217667290871</v>
      </c>
      <c r="F1297" s="5">
        <v>-0.015409717186366</v>
      </c>
      <c r="G1297" s="5">
        <v>0.322389309854491</v>
      </c>
      <c r="H1297" s="5">
        <v>0.204343709183481</v>
      </c>
      <c r="I1297" s="5">
        <v>0.57938051990729</v>
      </c>
    </row>
    <row r="1298">
      <c r="A1298" s="2" t="s">
        <v>1323</v>
      </c>
      <c r="B1298" s="8" t="str">
        <f>HYPERLINK("https://www.suredividend.com/sure-analysis-research-database/","Vicarious Surgical Inc")</f>
        <v>Vicarious Surgical Inc</v>
      </c>
      <c r="C1298" s="5">
        <v>0.211344423234251</v>
      </c>
      <c r="D1298" s="5">
        <v>0.331934032983508</v>
      </c>
      <c r="E1298" s="5">
        <v>-0.729146341463414</v>
      </c>
      <c r="F1298" s="5">
        <v>0.211344423234251</v>
      </c>
      <c r="G1298" s="5">
        <v>-0.841921708185053</v>
      </c>
      <c r="H1298" s="5">
        <v>-0.926212624584717</v>
      </c>
      <c r="I1298" s="5">
        <v>-0.954441025641025</v>
      </c>
    </row>
    <row r="1299">
      <c r="A1299" s="2" t="s">
        <v>1324</v>
      </c>
      <c r="B1299" s="8" t="str">
        <f>HYPERLINK("https://www.suredividend.com/sure-analysis-research-database/","Ready Capital Corp")</f>
        <v>Ready Capital Corp</v>
      </c>
      <c r="C1299" s="5">
        <v>-0.029268292682926</v>
      </c>
      <c r="D1299" s="5">
        <v>0.105862739649902</v>
      </c>
      <c r="E1299" s="5">
        <v>-0.098886966916925</v>
      </c>
      <c r="F1299" s="5">
        <v>-0.029268292682926</v>
      </c>
      <c r="G1299" s="5">
        <v>-0.118806181641057</v>
      </c>
      <c r="H1299" s="5">
        <v>-0.054443166807629</v>
      </c>
      <c r="I1299" s="5">
        <v>0.222538949230844</v>
      </c>
    </row>
    <row r="1300">
      <c r="A1300" s="2" t="s">
        <v>1325</v>
      </c>
      <c r="B1300" s="8" t="str">
        <f>HYPERLINK("https://www.suredividend.com/sure-analysis-research-database/","Rocket Pharmaceuticals Inc")</f>
        <v>Rocket Pharmaceuticals Inc</v>
      </c>
      <c r="C1300" s="5">
        <v>-0.028028028028028</v>
      </c>
      <c r="D1300" s="5">
        <v>0.64112676056338</v>
      </c>
      <c r="E1300" s="5">
        <v>0.615640599001663</v>
      </c>
      <c r="F1300" s="5">
        <v>-0.028028028028028</v>
      </c>
      <c r="G1300" s="5">
        <v>0.310391363022941</v>
      </c>
      <c r="H1300" s="5">
        <v>0.84717818642993</v>
      </c>
      <c r="I1300" s="5">
        <v>1.16579925650557</v>
      </c>
    </row>
    <row r="1301">
      <c r="A1301" s="2" t="s">
        <v>1326</v>
      </c>
      <c r="B1301" s="8" t="str">
        <f>HYPERLINK("https://www.suredividend.com/sure-analysis-research-database/","Rocky Brands, Inc")</f>
        <v>Rocky Brands, Inc</v>
      </c>
      <c r="C1301" s="5">
        <v>-0.071901921802518</v>
      </c>
      <c r="D1301" s="5">
        <v>1.17739427860696</v>
      </c>
      <c r="E1301" s="5">
        <v>0.283708225632</v>
      </c>
      <c r="F1301" s="5">
        <v>-0.071901921802518</v>
      </c>
      <c r="G1301" s="5">
        <v>-0.029906315479591</v>
      </c>
      <c r="H1301" s="5">
        <v>-0.256319031435853</v>
      </c>
      <c r="I1301" s="5">
        <v>0.192533996372584</v>
      </c>
    </row>
    <row r="1302">
      <c r="A1302" s="2" t="s">
        <v>1327</v>
      </c>
      <c r="B1302" s="8" t="str">
        <f>HYPERLINK("https://www.suredividend.com/sure-analysis-research-database/","R1 RCM Inc.")</f>
        <v>R1 RCM Inc.</v>
      </c>
      <c r="C1302" s="5">
        <v>-0.010406811731314</v>
      </c>
      <c r="D1302" s="5">
        <v>-0.065236818588024</v>
      </c>
      <c r="E1302" s="5">
        <v>-0.378121284185493</v>
      </c>
      <c r="F1302" s="5">
        <v>-0.010406811731314</v>
      </c>
      <c r="G1302" s="5">
        <v>-0.259731068648266</v>
      </c>
      <c r="H1302" s="5">
        <v>-0.488508557457212</v>
      </c>
      <c r="I1302" s="5">
        <v>-0.488508557457212</v>
      </c>
    </row>
    <row r="1303">
      <c r="A1303" s="2" t="s">
        <v>1328</v>
      </c>
      <c r="B1303" s="8" t="str">
        <f>HYPERLINK("https://www.suredividend.com/sure-analysis-research-database/","Arcus Biosciences Inc")</f>
        <v>Arcus Biosciences Inc</v>
      </c>
      <c r="C1303" s="5">
        <v>-0.198952879581151</v>
      </c>
      <c r="D1303" s="5">
        <v>0.067690160502442</v>
      </c>
      <c r="E1303" s="5">
        <v>-0.231155778894472</v>
      </c>
      <c r="F1303" s="5">
        <v>-0.198952879581151</v>
      </c>
      <c r="G1303" s="5">
        <v>-0.33852140077821</v>
      </c>
      <c r="H1303" s="5">
        <v>-0.485714285714285</v>
      </c>
      <c r="I1303" s="5">
        <v>0.694352159468438</v>
      </c>
    </row>
    <row r="1304">
      <c r="A1304" s="2" t="s">
        <v>1329</v>
      </c>
      <c r="B1304" s="8" t="str">
        <f>HYPERLINK("https://www.suredividend.com/sure-analysis-research-database/","Redfin Corp")</f>
        <v>Redfin Corp</v>
      </c>
      <c r="C1304" s="5">
        <v>-0.130813953488372</v>
      </c>
      <c r="D1304" s="5">
        <v>0.786852589641434</v>
      </c>
      <c r="E1304" s="5">
        <v>-0.36697247706422</v>
      </c>
      <c r="F1304" s="5">
        <v>-0.130813953488372</v>
      </c>
      <c r="G1304" s="5">
        <v>0.232142857142857</v>
      </c>
      <c r="H1304" s="5">
        <v>-0.666914222057185</v>
      </c>
      <c r="I1304" s="5">
        <v>-0.490340909090909</v>
      </c>
    </row>
    <row r="1305">
      <c r="A1305" s="2" t="s">
        <v>1330</v>
      </c>
      <c r="B1305" s="8" t="str">
        <f>HYPERLINK("https://www.suredividend.com/sure-analysis-research-database/","Radian Group, Inc.")</f>
        <v>Radian Group, Inc.</v>
      </c>
      <c r="C1305" s="5">
        <v>0.029071803852889</v>
      </c>
      <c r="D1305" s="5">
        <v>0.189492947254206</v>
      </c>
      <c r="E1305" s="5">
        <v>0.106028949498371</v>
      </c>
      <c r="F1305" s="5">
        <v>0.029071803852889</v>
      </c>
      <c r="G1305" s="5">
        <v>0.401958351625279</v>
      </c>
      <c r="H1305" s="5">
        <v>0.422126703841387</v>
      </c>
      <c r="I1305" s="5">
        <v>0.773223004822345</v>
      </c>
    </row>
    <row r="1306">
      <c r="A1306" s="2" t="s">
        <v>1331</v>
      </c>
      <c r="B1306" s="8" t="str">
        <f>HYPERLINK("https://www.suredividend.com/sure-analysis-research-database/","Radnet Inc")</f>
        <v>Radnet Inc</v>
      </c>
      <c r="C1306" s="5">
        <v>0.09605982168536</v>
      </c>
      <c r="D1306" s="5">
        <v>0.49921321793863</v>
      </c>
      <c r="E1306" s="5">
        <v>0.173698798891284</v>
      </c>
      <c r="F1306" s="5">
        <v>0.09605982168536</v>
      </c>
      <c r="G1306" s="5">
        <v>0.87180746561886</v>
      </c>
      <c r="H1306" s="5">
        <v>0.54416531604538</v>
      </c>
      <c r="I1306" s="5">
        <v>1.96575875486381</v>
      </c>
    </row>
    <row r="1307">
      <c r="A1307" s="2" t="s">
        <v>1332</v>
      </c>
      <c r="B1307" s="8" t="str">
        <f>HYPERLINK("https://www.suredividend.com/sure-analysis-research-database/","Red Violet Inc")</f>
        <v>Red Violet Inc</v>
      </c>
      <c r="C1307" s="5">
        <v>-0.053580370555833</v>
      </c>
      <c r="D1307" s="5">
        <v>-0.022750775594622</v>
      </c>
      <c r="E1307" s="5">
        <v>-0.103840682788051</v>
      </c>
      <c r="F1307" s="5">
        <v>-0.053580370555833</v>
      </c>
      <c r="G1307" s="5">
        <v>-0.195059625212947</v>
      </c>
      <c r="H1307" s="5">
        <v>-0.27447216890595</v>
      </c>
      <c r="I1307" s="5">
        <v>1.49340369393139</v>
      </c>
    </row>
    <row r="1308">
      <c r="A1308" s="2" t="s">
        <v>1333</v>
      </c>
      <c r="B1308" s="8" t="str">
        <f>HYPERLINK("https://www.suredividend.com/sure-analysis-research-database/","Redwire Corporation")</f>
        <v>Redwire Corporation</v>
      </c>
      <c r="C1308" s="5">
        <v>0.003508771929824</v>
      </c>
      <c r="D1308" s="5">
        <v>0.091603053435114</v>
      </c>
      <c r="E1308" s="5">
        <v>-0.16860465116279</v>
      </c>
      <c r="F1308" s="5">
        <v>0.003508771929824</v>
      </c>
      <c r="G1308" s="5">
        <v>0.087452471482889</v>
      </c>
      <c r="H1308" s="5">
        <v>-0.411522633744856</v>
      </c>
      <c r="I1308" s="5">
        <v>-0.766339869281045</v>
      </c>
    </row>
    <row r="1309">
      <c r="A1309" s="2" t="s">
        <v>1334</v>
      </c>
      <c r="B1309" s="8" t="str">
        <f>HYPERLINK("https://www.suredividend.com/sure-analysis-research-database/","Therealreal Inc")</f>
        <v>Therealreal Inc</v>
      </c>
      <c r="C1309" s="5">
        <v>0.034825870646766</v>
      </c>
      <c r="D1309" s="5">
        <v>0.581749049429658</v>
      </c>
      <c r="E1309" s="5">
        <v>-0.218045112781954</v>
      </c>
      <c r="F1309" s="5">
        <v>0.034825870646766</v>
      </c>
      <c r="G1309" s="5">
        <v>0.188571428571428</v>
      </c>
      <c r="H1309" s="5">
        <v>-0.748488512696493</v>
      </c>
      <c r="I1309" s="5">
        <v>-0.928027681660899</v>
      </c>
    </row>
    <row r="1310">
      <c r="A1310" s="2" t="s">
        <v>1335</v>
      </c>
      <c r="B1310" s="8" t="str">
        <f>HYPERLINK("https://www.suredividend.com/sure-analysis-research-database/","Chicago Atlantic Real Estate Finance Inc")</f>
        <v>Chicago Atlantic Real Estate Finance Inc</v>
      </c>
      <c r="C1310" s="5">
        <v>0.012978986402966</v>
      </c>
      <c r="D1310" s="5">
        <v>0.233620099201421</v>
      </c>
      <c r="E1310" s="5">
        <v>0.215172229718708</v>
      </c>
      <c r="F1310" s="5">
        <v>0.012978986402966</v>
      </c>
      <c r="G1310" s="5">
        <v>0.317397035655724</v>
      </c>
      <c r="H1310" s="5">
        <v>0.186614925718919</v>
      </c>
      <c r="I1310" s="5">
        <v>0.36220079787234</v>
      </c>
    </row>
    <row r="1311">
      <c r="A1311" s="2" t="s">
        <v>1336</v>
      </c>
      <c r="B1311" s="8" t="str">
        <f>HYPERLINK("https://www.suredividend.com/sure-analysis-research-database/","Ring Energy Inc")</f>
        <v>Ring Energy Inc</v>
      </c>
      <c r="C1311" s="5">
        <v>-0.061643835616438</v>
      </c>
      <c r="D1311" s="5">
        <v>-0.238888888888888</v>
      </c>
      <c r="E1311" s="5">
        <v>-0.426778242677824</v>
      </c>
      <c r="F1311" s="5">
        <v>-0.061643835616438</v>
      </c>
      <c r="G1311" s="5">
        <v>-0.440816326530612</v>
      </c>
      <c r="H1311" s="5">
        <v>-0.462745098039215</v>
      </c>
      <c r="I1311" s="5">
        <v>-0.753153153153153</v>
      </c>
    </row>
    <row r="1312">
      <c r="A1312" s="2" t="s">
        <v>1337</v>
      </c>
      <c r="B1312" s="8" t="str">
        <f>HYPERLINK("https://www.suredividend.com/sure-analysis-research-database/","Remitly Global Inc")</f>
        <v>Remitly Global Inc</v>
      </c>
      <c r="C1312" s="5">
        <v>-0.101441812564366</v>
      </c>
      <c r="D1312" s="5">
        <v>-0.324167312161115</v>
      </c>
      <c r="E1312" s="5">
        <v>-0.069829424307036</v>
      </c>
      <c r="F1312" s="5">
        <v>-0.101441812564366</v>
      </c>
      <c r="G1312" s="5">
        <v>0.478813559322033</v>
      </c>
      <c r="H1312" s="5">
        <v>0.552491103202846</v>
      </c>
      <c r="I1312" s="5">
        <v>-0.639834881320949</v>
      </c>
    </row>
    <row r="1313">
      <c r="A1313" s="2" t="s">
        <v>1338</v>
      </c>
      <c r="B1313" s="8" t="str">
        <f>HYPERLINK("https://www.suredividend.com/sure-analysis-research-database/","Rent the Runway Inc")</f>
        <v>Rent the Runway Inc</v>
      </c>
      <c r="C1313" s="5">
        <v>0.150710900473933</v>
      </c>
      <c r="D1313" s="5">
        <v>0.12678670874327</v>
      </c>
      <c r="E1313" s="5">
        <v>-0.6646408839779</v>
      </c>
      <c r="F1313" s="5">
        <v>0.150710900473933</v>
      </c>
      <c r="G1313" s="5">
        <v>-0.853734939759036</v>
      </c>
      <c r="H1313" s="5">
        <v>-0.882818532818532</v>
      </c>
      <c r="I1313" s="5">
        <v>-0.968532918610679</v>
      </c>
    </row>
    <row r="1314">
      <c r="A1314" s="2" t="s">
        <v>1339</v>
      </c>
      <c r="B1314" s="8" t="str">
        <f>HYPERLINK("https://www.suredividend.com/sure-analysis-research-database/","Replimune Group Inc")</f>
        <v>Replimune Group Inc</v>
      </c>
      <c r="C1314" s="5">
        <v>-0.037959667852906</v>
      </c>
      <c r="D1314" s="5">
        <v>-0.402798232695139</v>
      </c>
      <c r="E1314" s="5">
        <v>-0.600098619329388</v>
      </c>
      <c r="F1314" s="5">
        <v>-0.037959667852906</v>
      </c>
      <c r="G1314" s="5">
        <v>-0.686751641560448</v>
      </c>
      <c r="H1314" s="5">
        <v>-0.564212788823213</v>
      </c>
      <c r="I1314" s="5">
        <v>-0.262056414922657</v>
      </c>
    </row>
    <row r="1315">
      <c r="A1315" s="2" t="s">
        <v>1340</v>
      </c>
      <c r="B1315" s="8" t="str">
        <f>HYPERLINK("https://www.suredividend.com/sure-analysis-research-database/","Riley Exploration Permian Inc.")</f>
        <v>Riley Exploration Permian Inc.</v>
      </c>
      <c r="C1315" s="5">
        <v>-0.163693849775759</v>
      </c>
      <c r="D1315" s="5">
        <v>-0.270543653299913</v>
      </c>
      <c r="E1315" s="5">
        <v>-0.364228485791688</v>
      </c>
      <c r="F1315" s="5">
        <v>-0.163693849775759</v>
      </c>
      <c r="G1315" s="5">
        <v>-0.258893446615803</v>
      </c>
      <c r="H1315" s="5">
        <v>0.095131480313944</v>
      </c>
      <c r="I1315" s="5">
        <v>1.00026295387879</v>
      </c>
    </row>
    <row r="1316">
      <c r="A1316" s="2" t="s">
        <v>1341</v>
      </c>
      <c r="B1316" s="8" t="str">
        <f>HYPERLINK("https://www.suredividend.com/sure-analysis-research-database/","RPC, Inc.")</f>
        <v>RPC, Inc.</v>
      </c>
      <c r="C1316" s="5">
        <v>0.019230769230769</v>
      </c>
      <c r="D1316" s="5">
        <v>-0.116045794069644</v>
      </c>
      <c r="E1316" s="5">
        <v>-0.07900453050332</v>
      </c>
      <c r="F1316" s="5">
        <v>0.019230769230769</v>
      </c>
      <c r="G1316" s="5">
        <v>-0.198652180486856</v>
      </c>
      <c r="H1316" s="5">
        <v>0.282982328733962</v>
      </c>
      <c r="I1316" s="5">
        <v>-0.296368998511185</v>
      </c>
    </row>
    <row r="1317">
      <c r="A1317" s="2" t="s">
        <v>1342</v>
      </c>
      <c r="B1317" s="8" t="str">
        <f>HYPERLINK("https://www.suredividend.com/sure-analysis-research-database/","Reata Pharmaceuticals Inc")</f>
        <v>Reata Pharmaceuticals Inc</v>
      </c>
      <c r="C1317" s="5">
        <v>0.0</v>
      </c>
      <c r="D1317" s="5">
        <v>0.0</v>
      </c>
      <c r="E1317" s="5">
        <v>0.0</v>
      </c>
      <c r="F1317" s="5">
        <v>0.0</v>
      </c>
      <c r="G1317" s="5">
        <v>0.0</v>
      </c>
      <c r="H1317" s="5">
        <v>0.0</v>
      </c>
      <c r="I1317" s="5">
        <v>0.0</v>
      </c>
    </row>
    <row r="1318">
      <c r="A1318" s="2" t="s">
        <v>1343</v>
      </c>
      <c r="B1318" s="8" t="str">
        <f>HYPERLINK("https://www.suredividend.com/sure-analysis-research-database/","REV Group Inc")</f>
        <v>REV Group Inc</v>
      </c>
      <c r="C1318" s="5">
        <v>0.106769400110071</v>
      </c>
      <c r="D1318" s="5">
        <v>0.401325370887831</v>
      </c>
      <c r="E1318" s="5">
        <v>0.602939652629984</v>
      </c>
      <c r="F1318" s="5">
        <v>0.106769400110071</v>
      </c>
      <c r="G1318" s="5">
        <v>0.557936489491094</v>
      </c>
      <c r="H1318" s="5">
        <v>0.585949637621154</v>
      </c>
      <c r="I1318" s="5">
        <v>1.62796806188988</v>
      </c>
    </row>
    <row r="1319">
      <c r="A1319" s="2" t="s">
        <v>1344</v>
      </c>
      <c r="B1319" s="8" t="str">
        <f>HYPERLINK("https://www.suredividend.com/sure-analysis-research-database/","REX American Resources Corp")</f>
        <v>REX American Resources Corp</v>
      </c>
      <c r="C1319" s="5">
        <v>-0.106976744186046</v>
      </c>
      <c r="D1319" s="5">
        <v>0.145646867371847</v>
      </c>
      <c r="E1319" s="5">
        <v>0.158847736625514</v>
      </c>
      <c r="F1319" s="5">
        <v>-0.106976744186046</v>
      </c>
      <c r="G1319" s="5">
        <v>0.332071901608325</v>
      </c>
      <c r="H1319" s="5">
        <v>0.353269279441776</v>
      </c>
      <c r="I1319" s="5">
        <v>0.794644108987241</v>
      </c>
    </row>
    <row r="1320">
      <c r="A1320" s="2" t="s">
        <v>1345</v>
      </c>
      <c r="B1320" s="8" t="str">
        <f>HYPERLINK("https://www.suredividend.com/sure-analysis-research-database/","Resideo Technologies Inc")</f>
        <v>Resideo Technologies Inc</v>
      </c>
      <c r="C1320" s="5">
        <v>-0.074920297555791</v>
      </c>
      <c r="D1320" s="5">
        <v>0.216631726065688</v>
      </c>
      <c r="E1320" s="5">
        <v>-0.059427336574824</v>
      </c>
      <c r="F1320" s="5">
        <v>-0.074920297555791</v>
      </c>
      <c r="G1320" s="5">
        <v>-0.061961206896551</v>
      </c>
      <c r="H1320" s="5">
        <v>-0.26072186836518</v>
      </c>
      <c r="I1320" s="5">
        <v>-0.148655256723716</v>
      </c>
    </row>
    <row r="1321">
      <c r="A1321" s="2" t="s">
        <v>1346</v>
      </c>
      <c r="B1321" s="8" t="str">
        <f>HYPERLINK("https://www.suredividend.com/sure-analysis-research-database/","Regenxbio Inc")</f>
        <v>Regenxbio Inc</v>
      </c>
      <c r="C1321" s="5">
        <v>-0.277437325905292</v>
      </c>
      <c r="D1321" s="5">
        <v>-0.098052851182197</v>
      </c>
      <c r="E1321" s="5">
        <v>-0.310473152578415</v>
      </c>
      <c r="F1321" s="5">
        <v>-0.277437325905292</v>
      </c>
      <c r="G1321" s="5">
        <v>-0.439256376999567</v>
      </c>
      <c r="H1321" s="5">
        <v>-0.495723172628304</v>
      </c>
      <c r="I1321" s="5">
        <v>-0.689787132265008</v>
      </c>
    </row>
    <row r="1322">
      <c r="A1322" s="2" t="s">
        <v>1347</v>
      </c>
      <c r="B1322" s="8" t="str">
        <f>HYPERLINK("https://www.suredividend.com/sure-analysis-research-database/","Resources Connection Inc")</f>
        <v>Resources Connection Inc</v>
      </c>
      <c r="C1322" s="5">
        <v>-0.038108680310515</v>
      </c>
      <c r="D1322" s="5">
        <v>0.04576667817547</v>
      </c>
      <c r="E1322" s="5">
        <v>-0.105466955437422</v>
      </c>
      <c r="F1322" s="5">
        <v>-0.038108680310515</v>
      </c>
      <c r="G1322" s="5">
        <v>-0.145615244781545</v>
      </c>
      <c r="H1322" s="5">
        <v>-0.128672616155675</v>
      </c>
      <c r="I1322" s="5">
        <v>-0.136614998701438</v>
      </c>
    </row>
    <row r="1323">
      <c r="A1323" s="2" t="s">
        <v>1348</v>
      </c>
      <c r="B1323" s="8" t="str">
        <f>HYPERLINK("https://www.suredividend.com/sure-analysis-research-database/","Sturm, Ruger &amp; Co., Inc.")</f>
        <v>Sturm, Ruger &amp; Co., Inc.</v>
      </c>
      <c r="C1323" s="5">
        <v>-0.024862486248624</v>
      </c>
      <c r="D1323" s="5">
        <v>-0.174887692012682</v>
      </c>
      <c r="E1323" s="5">
        <v>-0.15341974870014</v>
      </c>
      <c r="F1323" s="5">
        <v>-0.024862486248624</v>
      </c>
      <c r="G1323" s="5">
        <v>-0.186985904331427</v>
      </c>
      <c r="H1323" s="5">
        <v>-0.227629666549323</v>
      </c>
      <c r="I1323" s="5">
        <v>0.051784735357006</v>
      </c>
    </row>
    <row r="1324">
      <c r="A1324" s="2" t="s">
        <v>1349</v>
      </c>
      <c r="B1324" s="8" t="str">
        <f>HYPERLINK("https://www.suredividend.com/sure-analysis-research-database/","Rigetti Computing Inc")</f>
        <v>Rigetti Computing Inc</v>
      </c>
      <c r="C1324" s="5">
        <v>0.127017971367651</v>
      </c>
      <c r="D1324" s="5">
        <v>-0.008928571428571</v>
      </c>
      <c r="E1324" s="5">
        <v>-0.495454545454545</v>
      </c>
      <c r="F1324" s="5">
        <v>0.127017971367651</v>
      </c>
      <c r="G1324" s="5">
        <v>0.380940532470764</v>
      </c>
      <c r="H1324" s="5">
        <v>-0.882290562036055</v>
      </c>
      <c r="I1324" s="5">
        <v>-0.882290562036055</v>
      </c>
    </row>
    <row r="1325">
      <c r="A1325" s="2" t="s">
        <v>1350</v>
      </c>
      <c r="B1325" s="8" t="str">
        <f>HYPERLINK("https://www.suredividend.com/sure-analysis-research-database/","Ryman Hospitality Properties Inc")</f>
        <v>Ryman Hospitality Properties Inc</v>
      </c>
      <c r="C1325" s="5">
        <v>0.013265491550063</v>
      </c>
      <c r="D1325" s="5">
        <v>0.365186042098949</v>
      </c>
      <c r="E1325" s="5">
        <v>0.201207670408951</v>
      </c>
      <c r="F1325" s="5">
        <v>0.013265491550063</v>
      </c>
      <c r="G1325" s="5">
        <v>0.279941236557288</v>
      </c>
      <c r="H1325" s="5">
        <v>0.396144827491233</v>
      </c>
      <c r="I1325" s="5">
        <v>0.608520311319067</v>
      </c>
    </row>
    <row r="1326">
      <c r="A1326" s="2" t="s">
        <v>1351</v>
      </c>
      <c r="B1326" s="8" t="str">
        <f>HYPERLINK("https://www.suredividend.com/sure-analysis-research-database/","RCI Hospitality Holdings Inc")</f>
        <v>RCI Hospitality Holdings Inc</v>
      </c>
      <c r="C1326" s="5">
        <v>-0.051313009357078</v>
      </c>
      <c r="D1326" s="5">
        <v>0.186843893965712</v>
      </c>
      <c r="E1326" s="5">
        <v>-0.081202359114528</v>
      </c>
      <c r="F1326" s="5">
        <v>-0.051313009357078</v>
      </c>
      <c r="G1326" s="5">
        <v>-0.328379338529507</v>
      </c>
      <c r="H1326" s="5">
        <v>-0.051703720018766</v>
      </c>
      <c r="I1326" s="5">
        <v>1.94383485301899</v>
      </c>
    </row>
    <row r="1327">
      <c r="A1327" s="2" t="s">
        <v>1352</v>
      </c>
      <c r="B1327" s="8" t="str">
        <f>HYPERLINK("https://www.suredividend.com/sure-analysis-research-database/","Lordstown Motors Corp.")</f>
        <v>Lordstown Motors Corp.</v>
      </c>
      <c r="C1327" s="5">
        <v>0.0</v>
      </c>
      <c r="D1327" s="5">
        <v>0.0</v>
      </c>
      <c r="E1327" s="5">
        <v>0.0</v>
      </c>
      <c r="F1327" s="5">
        <v>0.0</v>
      </c>
      <c r="G1327" s="5">
        <v>0.0</v>
      </c>
      <c r="H1327" s="5">
        <v>0.0</v>
      </c>
      <c r="I1327" s="5">
        <v>0.0</v>
      </c>
    </row>
    <row r="1328">
      <c r="A1328" s="2" t="s">
        <v>1353</v>
      </c>
      <c r="B1328" s="8" t="str">
        <f>HYPERLINK("https://www.suredividend.com/sure-analysis-research-database/","Rigel Pharmaceuticals")</f>
        <v>Rigel Pharmaceuticals</v>
      </c>
      <c r="C1328" s="5">
        <v>-0.103448275862068</v>
      </c>
      <c r="D1328" s="5">
        <v>0.78033415502602</v>
      </c>
      <c r="E1328" s="5">
        <v>-0.022556390977443</v>
      </c>
      <c r="F1328" s="5">
        <v>-0.103448275862068</v>
      </c>
      <c r="G1328" s="5">
        <v>-0.277777777777777</v>
      </c>
      <c r="H1328" s="5">
        <v>-0.458333333333333</v>
      </c>
      <c r="I1328" s="5">
        <v>-0.362745098039215</v>
      </c>
    </row>
    <row r="1329">
      <c r="A1329" s="2" t="s">
        <v>1354</v>
      </c>
      <c r="B1329" s="8" t="str">
        <f>HYPERLINK("https://www.suredividend.com/sure-analysis-research-database/","B. Riley Financial Inc")</f>
        <v>B. Riley Financial Inc</v>
      </c>
      <c r="C1329" s="5">
        <v>0.154835636017151</v>
      </c>
      <c r="D1329" s="5">
        <v>-0.260919277383946</v>
      </c>
      <c r="E1329" s="5">
        <v>-0.505338426878244</v>
      </c>
      <c r="F1329" s="5">
        <v>0.154835636017151</v>
      </c>
      <c r="G1329" s="5">
        <v>-0.328366273125507</v>
      </c>
      <c r="H1329" s="5">
        <v>-0.42640795078088</v>
      </c>
      <c r="I1329" s="5">
        <v>1.4648675032031</v>
      </c>
    </row>
    <row r="1330">
      <c r="A1330" s="2" t="s">
        <v>1355</v>
      </c>
      <c r="B1330" s="8" t="str">
        <f>HYPERLINK("https://www.suredividend.com/sure-analysis-research-database/","Riot Platforms Inc")</f>
        <v>Riot Platforms Inc</v>
      </c>
      <c r="C1330" s="5">
        <v>-0.253393665158371</v>
      </c>
      <c r="D1330" s="5">
        <v>0.210691823899371</v>
      </c>
      <c r="E1330" s="5">
        <v>-0.371599564744287</v>
      </c>
      <c r="F1330" s="5">
        <v>-0.253393665158371</v>
      </c>
      <c r="G1330" s="5">
        <v>0.824644549763033</v>
      </c>
      <c r="H1330" s="5">
        <v>-0.214285714285714</v>
      </c>
      <c r="I1330" s="5">
        <v>5.45251396648044</v>
      </c>
    </row>
    <row r="1331">
      <c r="A1331" s="2" t="s">
        <v>1356</v>
      </c>
      <c r="B1331" s="8" t="str">
        <f>HYPERLINK("https://www.suredividend.com/sure-analysis-research-database/","Rocket Lab USA Inc")</f>
        <v>Rocket Lab USA Inc</v>
      </c>
      <c r="C1331" s="5">
        <v>-0.070524412296564</v>
      </c>
      <c r="D1331" s="5">
        <v>0.235576923076922</v>
      </c>
      <c r="E1331" s="5">
        <v>-0.276056338028169</v>
      </c>
      <c r="F1331" s="5">
        <v>-0.070524412296564</v>
      </c>
      <c r="G1331" s="5">
        <v>0.040485829959514</v>
      </c>
      <c r="H1331" s="5">
        <v>-0.376213592233009</v>
      </c>
      <c r="I1331" s="5">
        <v>-0.507190795781399</v>
      </c>
    </row>
    <row r="1332">
      <c r="A1332" s="2" t="s">
        <v>1357</v>
      </c>
      <c r="B1332" s="8" t="str">
        <f>HYPERLINK("https://www.suredividend.com/sure-analysis-research-database/","Relay Therapeutics Inc")</f>
        <v>Relay Therapeutics Inc</v>
      </c>
      <c r="C1332" s="5">
        <v>-0.097184377838328</v>
      </c>
      <c r="D1332" s="5">
        <v>0.64026402640264</v>
      </c>
      <c r="E1332" s="5">
        <v>-0.186912065439672</v>
      </c>
      <c r="F1332" s="5">
        <v>-0.097184377838328</v>
      </c>
      <c r="G1332" s="5">
        <v>-0.545703839122486</v>
      </c>
      <c r="H1332" s="5">
        <v>-0.509378084896347</v>
      </c>
      <c r="I1332" s="5">
        <v>-0.716405135520684</v>
      </c>
    </row>
    <row r="1333">
      <c r="A1333" s="2" t="s">
        <v>1358</v>
      </c>
      <c r="B1333" s="8" t="str">
        <f>HYPERLINK("https://www.suredividend.com/sure-analysis-research-database/","Radiant Logistics, Inc.")</f>
        <v>Radiant Logistics, Inc.</v>
      </c>
      <c r="C1333" s="5">
        <v>-0.031626506024096</v>
      </c>
      <c r="D1333" s="5">
        <v>0.140070921985815</v>
      </c>
      <c r="E1333" s="5">
        <v>-0.167098445595854</v>
      </c>
      <c r="F1333" s="5">
        <v>-0.031626506024096</v>
      </c>
      <c r="G1333" s="5">
        <v>0.148214285714285</v>
      </c>
      <c r="H1333" s="5">
        <v>0.033762057877813</v>
      </c>
      <c r="I1333" s="5">
        <v>0.325773195876288</v>
      </c>
    </row>
    <row r="1334">
      <c r="A1334" s="2" t="s">
        <v>1359</v>
      </c>
      <c r="B1334" s="8" t="str">
        <f>HYPERLINK("https://www.suredividend.com/sure-analysis-RLI/","RLI Corp.")</f>
        <v>RLI Corp.</v>
      </c>
      <c r="C1334" s="5">
        <v>0.041541466346153</v>
      </c>
      <c r="D1334" s="5">
        <v>0.066447403337099</v>
      </c>
      <c r="E1334" s="5">
        <v>0.021695461800453</v>
      </c>
      <c r="F1334" s="5">
        <v>0.041541466346153</v>
      </c>
      <c r="G1334" s="5">
        <v>0.0721797766711</v>
      </c>
      <c r="H1334" s="5">
        <v>0.380427499430007</v>
      </c>
      <c r="I1334" s="5">
        <v>1.25792267856561</v>
      </c>
    </row>
    <row r="1335">
      <c r="A1335" s="2" t="s">
        <v>1360</v>
      </c>
      <c r="B1335" s="8" t="str">
        <f>HYPERLINK("https://www.suredividend.com/sure-analysis-research-database/","RLJ Lodging Trust")</f>
        <v>RLJ Lodging Trust</v>
      </c>
      <c r="C1335" s="5">
        <v>0.017064846416382</v>
      </c>
      <c r="D1335" s="5">
        <v>0.316559714598128</v>
      </c>
      <c r="E1335" s="5">
        <v>0.186034247733898</v>
      </c>
      <c r="F1335" s="5">
        <v>0.017064846416382</v>
      </c>
      <c r="G1335" s="5">
        <v>-0.002251630129991</v>
      </c>
      <c r="H1335" s="5">
        <v>-0.070006943740101</v>
      </c>
      <c r="I1335" s="5">
        <v>-0.268586014775544</v>
      </c>
    </row>
    <row r="1336">
      <c r="A1336" s="2" t="s">
        <v>1361</v>
      </c>
      <c r="B1336" s="8" t="str">
        <f>HYPERLINK("https://www.suredividend.com/sure-analysis-research-database/","Relmada Therapeutics Inc")</f>
        <v>Relmada Therapeutics Inc</v>
      </c>
      <c r="C1336" s="5">
        <v>-0.101449275362318</v>
      </c>
      <c r="D1336" s="5">
        <v>0.244147157190635</v>
      </c>
      <c r="E1336" s="5">
        <v>0.447470817120622</v>
      </c>
      <c r="F1336" s="5">
        <v>-0.101449275362318</v>
      </c>
      <c r="G1336" s="5">
        <v>-0.097087378640776</v>
      </c>
      <c r="H1336" s="5">
        <v>-0.787549971444888</v>
      </c>
      <c r="I1336" s="5">
        <v>0.957894736842105</v>
      </c>
    </row>
    <row r="1337">
      <c r="A1337" s="2" t="s">
        <v>1362</v>
      </c>
      <c r="B1337" s="8" t="str">
        <f>HYPERLINK("https://www.suredividend.com/sure-analysis-research-database/","Rallybio Corp")</f>
        <v>Rallybio Corp</v>
      </c>
      <c r="C1337" s="5">
        <v>-0.414225941422594</v>
      </c>
      <c r="D1337" s="5">
        <v>-0.651741293532338</v>
      </c>
      <c r="E1337" s="5">
        <v>-0.763513513513513</v>
      </c>
      <c r="F1337" s="5">
        <v>-0.414225941422594</v>
      </c>
      <c r="G1337" s="5">
        <v>-0.801136363636363</v>
      </c>
      <c r="H1337" s="5">
        <v>-0.883527454242928</v>
      </c>
      <c r="I1337" s="5">
        <v>-0.900709219858156</v>
      </c>
    </row>
    <row r="1338">
      <c r="A1338" s="2" t="s">
        <v>1363</v>
      </c>
      <c r="B1338" s="8" t="str">
        <f>HYPERLINK("https://www.suredividend.com/sure-analysis-research-database/","Regional Management Corp")</f>
        <v>Regional Management Corp</v>
      </c>
      <c r="C1338" s="5">
        <v>0.032296650717703</v>
      </c>
      <c r="D1338" s="5">
        <v>0.098877777966418</v>
      </c>
      <c r="E1338" s="5">
        <v>-0.191463049018138</v>
      </c>
      <c r="F1338" s="5">
        <v>0.032296650717703</v>
      </c>
      <c r="G1338" s="5">
        <v>-0.198531414844349</v>
      </c>
      <c r="H1338" s="5">
        <v>-0.427626473767871</v>
      </c>
      <c r="I1338" s="5">
        <v>0.063510776827049</v>
      </c>
    </row>
    <row r="1339">
      <c r="A1339" s="2" t="s">
        <v>1364</v>
      </c>
      <c r="B1339" s="8" t="str">
        <f>HYPERLINK("https://www.suredividend.com/sure-analysis-research-database/","RE/MAX Holdings Inc")</f>
        <v>RE/MAX Holdings Inc</v>
      </c>
      <c r="C1339" s="5">
        <v>-0.133533383345836</v>
      </c>
      <c r="D1339" s="5">
        <v>0.037735849056603</v>
      </c>
      <c r="E1339" s="5">
        <v>-0.405001081816214</v>
      </c>
      <c r="F1339" s="5">
        <v>-0.133533383345836</v>
      </c>
      <c r="G1339" s="5">
        <v>-0.465705707928372</v>
      </c>
      <c r="H1339" s="5">
        <v>-0.565464388772051</v>
      </c>
      <c r="I1339" s="5">
        <v>-0.652162914242347</v>
      </c>
    </row>
    <row r="1340">
      <c r="A1340" s="2" t="s">
        <v>1365</v>
      </c>
      <c r="B1340" s="8" t="str">
        <f>HYPERLINK("https://www.suredividend.com/sure-analysis-research-database/","RumbleON Inc")</f>
        <v>RumbleON Inc</v>
      </c>
      <c r="C1340" s="5">
        <v>-0.103194103194103</v>
      </c>
      <c r="D1340" s="5">
        <v>0.216666666666666</v>
      </c>
      <c r="E1340" s="5">
        <v>-0.302103250478011</v>
      </c>
      <c r="F1340" s="5">
        <v>-0.103194103194103</v>
      </c>
      <c r="G1340" s="5">
        <v>-0.21505376344086</v>
      </c>
      <c r="H1340" s="5">
        <v>-0.779855247285886</v>
      </c>
      <c r="I1340" s="5">
        <v>-0.943322981366459</v>
      </c>
    </row>
    <row r="1341">
      <c r="A1341" s="2" t="s">
        <v>1366</v>
      </c>
      <c r="B1341" s="8" t="str">
        <f>HYPERLINK("https://www.suredividend.com/sure-analysis-research-database/","Rambus Inc.")</f>
        <v>Rambus Inc.</v>
      </c>
      <c r="C1341" s="5">
        <v>0.070036630036629</v>
      </c>
      <c r="D1341" s="5">
        <v>0.415035845766324</v>
      </c>
      <c r="E1341" s="5">
        <v>0.167359335038363</v>
      </c>
      <c r="F1341" s="5">
        <v>0.070036630036629</v>
      </c>
      <c r="G1341" s="5">
        <v>0.727294228949858</v>
      </c>
      <c r="H1341" s="5">
        <v>2.02526926263463</v>
      </c>
      <c r="I1341" s="5">
        <v>7.60188457008245</v>
      </c>
    </row>
    <row r="1342">
      <c r="A1342" s="2" t="s">
        <v>1367</v>
      </c>
      <c r="B1342" s="8" t="str">
        <f>HYPERLINK("https://www.suredividend.com/sure-analysis-research-database/","Rimini Street Inc.")</f>
        <v>Rimini Street Inc.</v>
      </c>
      <c r="C1342" s="5">
        <v>0.045871559633027</v>
      </c>
      <c r="D1342" s="5">
        <v>0.668292682926829</v>
      </c>
      <c r="E1342" s="5">
        <v>0.430962343096234</v>
      </c>
      <c r="F1342" s="5">
        <v>0.045871559633027</v>
      </c>
      <c r="G1342" s="5">
        <v>-0.30346232179226</v>
      </c>
      <c r="H1342" s="5">
        <v>-0.293388429752066</v>
      </c>
      <c r="I1342" s="5">
        <v>-0.353497164461247</v>
      </c>
    </row>
    <row r="1343">
      <c r="A1343" s="2" t="s">
        <v>1368</v>
      </c>
      <c r="B1343" s="8" t="str">
        <f>HYPERLINK("https://www.suredividend.com/sure-analysis-research-database/","RMR Group Inc (The)")</f>
        <v>RMR Group Inc (The)</v>
      </c>
      <c r="C1343" s="5">
        <v>-0.055775774623569</v>
      </c>
      <c r="D1343" s="5">
        <v>0.221606377483351</v>
      </c>
      <c r="E1343" s="5">
        <v>0.170171981847846</v>
      </c>
      <c r="F1343" s="5">
        <v>-0.055775774623569</v>
      </c>
      <c r="G1343" s="5">
        <v>-0.031968993505894</v>
      </c>
      <c r="H1343" s="5">
        <v>0.029226100389733</v>
      </c>
      <c r="I1343" s="5">
        <v>-0.376816135832716</v>
      </c>
    </row>
    <row r="1344">
      <c r="A1344" s="2" t="s">
        <v>1369</v>
      </c>
      <c r="B1344" s="8" t="str">
        <f>HYPERLINK("https://www.suredividend.com/sure-analysis-research-database/","Avidity Biosciences Inc")</f>
        <v>Avidity Biosciences Inc</v>
      </c>
      <c r="C1344" s="5">
        <v>0.393370165745856</v>
      </c>
      <c r="D1344" s="5">
        <v>1.58932238193018</v>
      </c>
      <c r="E1344" s="5">
        <v>0.355913978494623</v>
      </c>
      <c r="F1344" s="5">
        <v>0.393370165745856</v>
      </c>
      <c r="G1344" s="5">
        <v>-0.462718363868768</v>
      </c>
      <c r="H1344" s="5">
        <v>-0.17257217847769</v>
      </c>
      <c r="I1344" s="5">
        <v>-0.557543859649122</v>
      </c>
    </row>
    <row r="1345">
      <c r="A1345" s="2" t="s">
        <v>1370</v>
      </c>
      <c r="B1345" s="8" t="str">
        <f>HYPERLINK("https://www.suredividend.com/sure-analysis-research-database/","Renasant Corp.")</f>
        <v>Renasant Corp.</v>
      </c>
      <c r="C1345" s="5">
        <v>0.006235154394299</v>
      </c>
      <c r="D1345" s="5">
        <v>0.436089970676475</v>
      </c>
      <c r="E1345" s="5">
        <v>0.129154783164965</v>
      </c>
      <c r="F1345" s="5">
        <v>0.006235154394299</v>
      </c>
      <c r="G1345" s="5">
        <v>0.01806012833145</v>
      </c>
      <c r="H1345" s="5">
        <v>0.009066412588765</v>
      </c>
      <c r="I1345" s="5">
        <v>0.112223297943912</v>
      </c>
    </row>
    <row r="1346">
      <c r="A1346" s="2" t="s">
        <v>1371</v>
      </c>
      <c r="B1346" s="8" t="str">
        <f>HYPERLINK("https://www.suredividend.com/sure-analysis-research-database/","Construction Partners Inc")</f>
        <v>Construction Partners Inc</v>
      </c>
      <c r="C1346" s="5">
        <v>0.025045955882352</v>
      </c>
      <c r="D1346" s="5">
        <v>0.19597855227882</v>
      </c>
      <c r="E1346" s="5">
        <v>0.553814002089864</v>
      </c>
      <c r="F1346" s="5">
        <v>0.025045955882352</v>
      </c>
      <c r="G1346" s="5">
        <v>0.597779369627507</v>
      </c>
      <c r="H1346" s="5">
        <v>0.693621867881548</v>
      </c>
      <c r="I1346" s="5">
        <v>2.75189234650967</v>
      </c>
    </row>
    <row r="1347">
      <c r="A1347" s="2" t="s">
        <v>1372</v>
      </c>
      <c r="B1347" s="8" t="str">
        <f>HYPERLINK("https://www.suredividend.com/sure-analysis-research-database/","Ranger Oil Corp")</f>
        <v>Ranger Oil Corp</v>
      </c>
      <c r="C1347" s="5">
        <v>0.0</v>
      </c>
      <c r="D1347" s="5">
        <v>0.0</v>
      </c>
      <c r="E1347" s="5">
        <v>0.0</v>
      </c>
      <c r="F1347" s="5">
        <v>0.0</v>
      </c>
      <c r="G1347" s="5">
        <v>0.0</v>
      </c>
      <c r="H1347" s="5">
        <v>0.0</v>
      </c>
      <c r="I1347" s="5">
        <v>0.0</v>
      </c>
    </row>
    <row r="1348">
      <c r="A1348" s="2" t="s">
        <v>1373</v>
      </c>
      <c r="B1348" s="8" t="str">
        <f>HYPERLINK("https://www.suredividend.com/sure-analysis-research-database/","Gibraltar Industries Inc.")</f>
        <v>Gibraltar Industries Inc.</v>
      </c>
      <c r="C1348" s="5">
        <v>0.039883514813876</v>
      </c>
      <c r="D1348" s="5">
        <v>0.364059126390964</v>
      </c>
      <c r="E1348" s="5">
        <v>0.294405043341213</v>
      </c>
      <c r="F1348" s="5">
        <v>0.039883514813876</v>
      </c>
      <c r="G1348" s="5">
        <v>0.581856702619414</v>
      </c>
      <c r="H1348" s="5">
        <v>0.529137963135356</v>
      </c>
      <c r="I1348" s="5">
        <v>1.33059023836549</v>
      </c>
    </row>
    <row r="1349">
      <c r="A1349" s="2" t="s">
        <v>1374</v>
      </c>
      <c r="B1349" s="8" t="str">
        <f>HYPERLINK("https://www.suredividend.com/sure-analysis-research-database/","Rogers Corp.")</f>
        <v>Rogers Corp.</v>
      </c>
      <c r="C1349" s="5">
        <v>-0.100779889452563</v>
      </c>
      <c r="D1349" s="5">
        <v>-0.007438361888842</v>
      </c>
      <c r="E1349" s="5">
        <v>-0.289627945926546</v>
      </c>
      <c r="F1349" s="5">
        <v>-0.100779889452563</v>
      </c>
      <c r="G1349" s="5">
        <v>-0.130409313904957</v>
      </c>
      <c r="H1349" s="5">
        <v>-0.564933875517456</v>
      </c>
      <c r="I1349" s="5">
        <v>-0.020536082474226</v>
      </c>
    </row>
    <row r="1350">
      <c r="A1350" s="2" t="s">
        <v>1375</v>
      </c>
      <c r="B1350" s="8" t="str">
        <f>HYPERLINK("https://www.suredividend.com/sure-analysis-research-database/","Retail Opportunity Investments Corp")</f>
        <v>Retail Opportunity Investments Corp</v>
      </c>
      <c r="C1350" s="5">
        <v>-0.014967925873128</v>
      </c>
      <c r="D1350" s="5">
        <v>0.274167227533813</v>
      </c>
      <c r="E1350" s="5">
        <v>-0.016447110902349</v>
      </c>
      <c r="F1350" s="5">
        <v>-0.014967925873128</v>
      </c>
      <c r="G1350" s="5">
        <v>-0.052301699959541</v>
      </c>
      <c r="H1350" s="5">
        <v>-0.165090891516187</v>
      </c>
      <c r="I1350" s="5">
        <v>-0.0367995539448</v>
      </c>
    </row>
    <row r="1351">
      <c r="A1351" s="2" t="s">
        <v>1376</v>
      </c>
      <c r="B1351" s="8" t="str">
        <f>HYPERLINK("https://www.suredividend.com/sure-analysis-research-database/","Root Inc")</f>
        <v>Root Inc</v>
      </c>
      <c r="C1351" s="5">
        <v>-0.175572519083969</v>
      </c>
      <c r="D1351" s="5">
        <v>0.0</v>
      </c>
      <c r="E1351" s="5">
        <v>-0.14540059347181</v>
      </c>
      <c r="F1351" s="5">
        <v>-0.175572519083969</v>
      </c>
      <c r="G1351" s="5">
        <v>0.540106951871657</v>
      </c>
      <c r="H1351" s="5">
        <v>-0.730337078651685</v>
      </c>
      <c r="I1351" s="5">
        <v>-0.982222222222222</v>
      </c>
    </row>
    <row r="1352">
      <c r="A1352" s="2" t="s">
        <v>1377</v>
      </c>
      <c r="B1352" s="8" t="str">
        <f>HYPERLINK("https://www.suredividend.com/sure-analysis-research-database/","Rover Group Inc")</f>
        <v>Rover Group Inc</v>
      </c>
      <c r="C1352" s="5">
        <v>0.006433823529411</v>
      </c>
      <c r="D1352" s="5">
        <v>0.684615384615384</v>
      </c>
      <c r="E1352" s="5">
        <v>1.02777777777777</v>
      </c>
      <c r="F1352" s="5">
        <v>0.006433823529411</v>
      </c>
      <c r="G1352" s="5">
        <v>1.84415584415584</v>
      </c>
      <c r="H1352" s="5">
        <v>0.746411483253588</v>
      </c>
      <c r="I1352" s="5">
        <v>-0.004545454545454</v>
      </c>
    </row>
    <row r="1353">
      <c r="A1353" s="2" t="s">
        <v>1378</v>
      </c>
      <c r="B1353" s="8" t="str">
        <f>HYPERLINK("https://www.suredividend.com/sure-analysis-research-database/","Repay Holdings Corporation")</f>
        <v>Repay Holdings Corporation</v>
      </c>
      <c r="C1353" s="5">
        <v>-0.063231850117095</v>
      </c>
      <c r="D1353" s="5">
        <v>0.358234295415959</v>
      </c>
      <c r="E1353" s="5">
        <v>-0.019607843137254</v>
      </c>
      <c r="F1353" s="5">
        <v>-0.063231850117095</v>
      </c>
      <c r="G1353" s="5">
        <v>-0.169262720664589</v>
      </c>
      <c r="H1353" s="5">
        <v>-0.533527696793002</v>
      </c>
      <c r="I1353" s="5">
        <v>-0.203980099502487</v>
      </c>
    </row>
    <row r="1354">
      <c r="A1354" s="2" t="s">
        <v>1379</v>
      </c>
      <c r="B1354" s="8" t="str">
        <f>HYPERLINK("https://www.suredividend.com/sure-analysis-research-database/","Rapid7 Inc")</f>
        <v>Rapid7 Inc</v>
      </c>
      <c r="C1354" s="5">
        <v>0.008581436077057</v>
      </c>
      <c r="D1354" s="5">
        <v>0.235571765715511</v>
      </c>
      <c r="E1354" s="5">
        <v>0.270461063313478</v>
      </c>
      <c r="F1354" s="5">
        <v>0.008581436077057</v>
      </c>
      <c r="G1354" s="5">
        <v>0.462417470797358</v>
      </c>
      <c r="H1354" s="5">
        <v>-0.374225795936107</v>
      </c>
      <c r="I1354" s="5">
        <v>0.53901656867985</v>
      </c>
    </row>
    <row r="1355">
      <c r="A1355" s="2" t="s">
        <v>1380</v>
      </c>
      <c r="B1355" s="8" t="str">
        <f>HYPERLINK("https://www.suredividend.com/sure-analysis-RPT/","RPT Realty")</f>
        <v>RPT Realty</v>
      </c>
      <c r="C1355" s="5">
        <v>0.073334783408904</v>
      </c>
      <c r="D1355" s="5">
        <v>0.228844809256084</v>
      </c>
      <c r="E1355" s="5">
        <v>0.257362381050382</v>
      </c>
      <c r="F1355" s="5">
        <v>0.0</v>
      </c>
      <c r="G1355" s="5">
        <v>0.346585780557946</v>
      </c>
      <c r="H1355" s="5">
        <v>0.062077300684596</v>
      </c>
      <c r="I1355" s="5">
        <v>0.363732993197279</v>
      </c>
    </row>
    <row r="1356">
      <c r="A1356" s="2" t="s">
        <v>1381</v>
      </c>
      <c r="B1356" s="8" t="str">
        <f>HYPERLINK("https://www.suredividend.com/sure-analysis-research-database/","Red River Bancshares Inc")</f>
        <v>Red River Bancshares Inc</v>
      </c>
      <c r="C1356" s="5">
        <v>-0.057565496346462</v>
      </c>
      <c r="D1356" s="5">
        <v>0.155700479502052</v>
      </c>
      <c r="E1356" s="5">
        <v>0.064328685952592</v>
      </c>
      <c r="F1356" s="5">
        <v>-0.057565496346462</v>
      </c>
      <c r="G1356" s="5">
        <v>0.049191777098333</v>
      </c>
      <c r="H1356" s="5">
        <v>0.02769210437838</v>
      </c>
      <c r="I1356" s="5">
        <v>0.081549839649191</v>
      </c>
    </row>
    <row r="1357">
      <c r="A1357" s="2" t="s">
        <v>1382</v>
      </c>
      <c r="B1357" s="8" t="str">
        <f>HYPERLINK("https://www.suredividend.com/sure-analysis-research-database/","Red Rock Resorts Inc")</f>
        <v>Red Rock Resorts Inc</v>
      </c>
      <c r="C1357" s="5">
        <v>0.045752859553722</v>
      </c>
      <c r="D1357" s="5">
        <v>0.433477100865175</v>
      </c>
      <c r="E1357" s="5">
        <v>0.174622096880522</v>
      </c>
      <c r="F1357" s="5">
        <v>0.045752859553722</v>
      </c>
      <c r="G1357" s="5">
        <v>0.285280689907884</v>
      </c>
      <c r="H1357" s="5">
        <v>0.373672387633253</v>
      </c>
      <c r="I1357" s="5">
        <v>1.6670683768041</v>
      </c>
    </row>
    <row r="1358">
      <c r="A1358" s="2" t="s">
        <v>1383</v>
      </c>
      <c r="B1358" s="8" t="str">
        <f>HYPERLINK("https://www.suredividend.com/sure-analysis-research-database/","Rush Street Interactive Inc")</f>
        <v>Rush Street Interactive Inc</v>
      </c>
      <c r="C1358" s="5">
        <v>0.20935412026726</v>
      </c>
      <c r="D1358" s="5">
        <v>0.645454545454545</v>
      </c>
      <c r="E1358" s="5">
        <v>0.436507936507936</v>
      </c>
      <c r="F1358" s="5">
        <v>0.20935412026726</v>
      </c>
      <c r="G1358" s="5">
        <v>0.292857142857142</v>
      </c>
      <c r="H1358" s="5">
        <v>-0.387133182844243</v>
      </c>
      <c r="I1358" s="5">
        <v>-0.435550935550935</v>
      </c>
    </row>
    <row r="1359">
      <c r="A1359" s="2" t="s">
        <v>1384</v>
      </c>
      <c r="B1359" s="8" t="str">
        <f>HYPERLINK("https://www.suredividend.com/sure-analysis-research-database/","Reservoir Media Inc")</f>
        <v>Reservoir Media Inc</v>
      </c>
      <c r="C1359" s="5">
        <v>-0.004207573632538</v>
      </c>
      <c r="D1359" s="5">
        <v>0.337099811676082</v>
      </c>
      <c r="E1359" s="5">
        <v>0.305147058823529</v>
      </c>
      <c r="F1359" s="5">
        <v>-0.004207573632538</v>
      </c>
      <c r="G1359" s="5">
        <v>0.00709219858156</v>
      </c>
      <c r="H1359" s="5">
        <v>0.160130718954248</v>
      </c>
      <c r="I1359" s="5">
        <v>-0.291417165668662</v>
      </c>
    </row>
    <row r="1360">
      <c r="A1360" s="2" t="s">
        <v>1385</v>
      </c>
      <c r="B1360" s="8" t="str">
        <f>HYPERLINK("https://www.suredividend.com/sure-analysis-research-database/","Necessity Retail REIT Inc (The)")</f>
        <v>Necessity Retail REIT Inc (The)</v>
      </c>
      <c r="C1360" s="5">
        <v>0.0</v>
      </c>
      <c r="D1360" s="5">
        <v>0.0</v>
      </c>
      <c r="E1360" s="5">
        <v>0.0</v>
      </c>
      <c r="F1360" s="5">
        <v>0.0</v>
      </c>
      <c r="G1360" s="5">
        <v>0.0</v>
      </c>
      <c r="H1360" s="5">
        <v>0.0</v>
      </c>
      <c r="I1360" s="5">
        <v>0.0</v>
      </c>
    </row>
    <row r="1361">
      <c r="A1361" s="2" t="s">
        <v>1386</v>
      </c>
      <c r="B1361" s="8" t="str">
        <f t="shared" ref="B1361:B1362" si="3">HYPERLINK("https://www.suredividend.com/sure-analysis-research-database/","Rush Enterprises Inc")</f>
        <v>Rush Enterprises Inc</v>
      </c>
      <c r="C1361" s="5">
        <v>-0.077335984095427</v>
      </c>
      <c r="D1361" s="5">
        <v>0.319609320576067</v>
      </c>
      <c r="E1361" s="5">
        <v>0.103693962144795</v>
      </c>
      <c r="F1361" s="5">
        <v>-0.077335984095427</v>
      </c>
      <c r="G1361" s="5">
        <v>0.352394884153288</v>
      </c>
      <c r="H1361" s="5">
        <v>0.384195535141745</v>
      </c>
      <c r="I1361" s="5">
        <v>1.95377447954124</v>
      </c>
    </row>
    <row r="1362">
      <c r="A1362" s="2" t="s">
        <v>1387</v>
      </c>
      <c r="B1362" s="8" t="str">
        <f t="shared" si="3"/>
        <v>Rush Enterprises Inc</v>
      </c>
      <c r="C1362" s="5">
        <v>-0.070592676481691</v>
      </c>
      <c r="D1362" s="5">
        <v>0.233840918715342</v>
      </c>
      <c r="E1362" s="5">
        <v>0.089233532642718</v>
      </c>
      <c r="F1362" s="5">
        <v>-0.070592676481691</v>
      </c>
      <c r="G1362" s="5">
        <v>0.325730040008831</v>
      </c>
      <c r="H1362" s="5">
        <v>0.531446912535844</v>
      </c>
      <c r="I1362" s="5">
        <v>3.6458527932671</v>
      </c>
    </row>
    <row r="1363">
      <c r="A1363" s="2" t="s">
        <v>1388</v>
      </c>
      <c r="B1363" s="8" t="str">
        <f>HYPERLINK("https://www.suredividend.com/sure-analysis-research-database/","Revolve Group Inc")</f>
        <v>Revolve Group Inc</v>
      </c>
      <c r="C1363" s="5">
        <v>-0.068757539203859</v>
      </c>
      <c r="D1363" s="5">
        <v>0.189522342064714</v>
      </c>
      <c r="E1363" s="5">
        <v>-0.203302373581011</v>
      </c>
      <c r="F1363" s="5">
        <v>-0.068757539203859</v>
      </c>
      <c r="G1363" s="5">
        <v>-0.449358059914408</v>
      </c>
      <c r="H1363" s="5">
        <v>-0.663543255611244</v>
      </c>
      <c r="I1363" s="5">
        <v>-0.545882352941176</v>
      </c>
    </row>
    <row r="1364">
      <c r="A1364" s="2" t="s">
        <v>1389</v>
      </c>
      <c r="B1364" s="8" t="str">
        <f>HYPERLINK("https://www.suredividend.com/sure-analysis-research-database/","Revolution Medicines Inc")</f>
        <v>Revolution Medicines Inc</v>
      </c>
      <c r="C1364" s="5">
        <v>0.00697350069735</v>
      </c>
      <c r="D1364" s="5">
        <v>0.551853842020419</v>
      </c>
      <c r="E1364" s="5">
        <v>0.123298327499027</v>
      </c>
      <c r="F1364" s="5">
        <v>0.00697350069735</v>
      </c>
      <c r="G1364" s="5">
        <v>0.041095890410958</v>
      </c>
      <c r="H1364" s="5">
        <v>0.453447408152994</v>
      </c>
      <c r="I1364" s="5">
        <v>-6.92041522491E-4</v>
      </c>
    </row>
    <row r="1365">
      <c r="A1365" s="2" t="s">
        <v>1390</v>
      </c>
      <c r="B1365" s="8" t="str">
        <f>HYPERLINK("https://www.suredividend.com/sure-analysis-research-database/","Revance Therapeutics Inc")</f>
        <v>Revance Therapeutics Inc</v>
      </c>
      <c r="C1365" s="5">
        <v>-0.312855517633674</v>
      </c>
      <c r="D1365" s="5">
        <v>-0.243107769423558</v>
      </c>
      <c r="E1365" s="5">
        <v>-0.731913004882379</v>
      </c>
      <c r="F1365" s="5">
        <v>-0.312855517633674</v>
      </c>
      <c r="G1365" s="5">
        <v>-0.817687896166616</v>
      </c>
      <c r="H1365" s="5">
        <v>-0.518725099601593</v>
      </c>
      <c r="I1365" s="5">
        <v>-0.64574780058651</v>
      </c>
    </row>
    <row r="1366">
      <c r="A1366" s="2" t="s">
        <v>1391</v>
      </c>
      <c r="B1366" s="8" t="str">
        <f>HYPERLINK("https://www.suredividend.com/sure-analysis-research-database/","Redwood Trust Inc.")</f>
        <v>Redwood Trust Inc.</v>
      </c>
      <c r="C1366" s="5">
        <v>-0.051282051282051</v>
      </c>
      <c r="D1366" s="5">
        <v>0.064055215838227</v>
      </c>
      <c r="E1366" s="5">
        <v>-0.013693248779392</v>
      </c>
      <c r="F1366" s="5">
        <v>-0.051282051282051</v>
      </c>
      <c r="G1366" s="5">
        <v>-0.037105014450273</v>
      </c>
      <c r="H1366" s="5">
        <v>-0.262252072620421</v>
      </c>
      <c r="I1366" s="5">
        <v>-0.324389259422991</v>
      </c>
    </row>
    <row r="1367">
      <c r="A1367" s="2" t="s">
        <v>1392</v>
      </c>
      <c r="B1367" s="8" t="str">
        <f>HYPERLINK("https://www.suredividend.com/sure-analysis-research-database/","Prometheus Biosciences Inc")</f>
        <v>Prometheus Biosciences Inc</v>
      </c>
      <c r="C1367" s="5">
        <v>0.0</v>
      </c>
      <c r="D1367" s="5">
        <v>0.0</v>
      </c>
      <c r="E1367" s="5">
        <v>0.0</v>
      </c>
      <c r="F1367" s="5">
        <v>0.0</v>
      </c>
      <c r="G1367" s="5">
        <v>0.0</v>
      </c>
      <c r="H1367" s="5">
        <v>0.0</v>
      </c>
      <c r="I1367" s="5">
        <v>0.0</v>
      </c>
    </row>
    <row r="1368">
      <c r="A1368" s="2" t="s">
        <v>1393</v>
      </c>
      <c r="B1368" s="8" t="str">
        <f>HYPERLINK("https://www.suredividend.com/sure-analysis-research-database/","Recursion Pharmaceuticals Inc")</f>
        <v>Recursion Pharmaceuticals Inc</v>
      </c>
      <c r="C1368" s="5">
        <v>0.091277890466531</v>
      </c>
      <c r="D1368" s="5">
        <v>1.03787878787878</v>
      </c>
      <c r="E1368" s="5">
        <v>-0.179878048780487</v>
      </c>
      <c r="F1368" s="5">
        <v>0.091277890466531</v>
      </c>
      <c r="G1368" s="5">
        <v>0.259953161592505</v>
      </c>
      <c r="H1368" s="5">
        <v>0.002795899347623</v>
      </c>
      <c r="I1368" s="5">
        <v>-0.656230031948881</v>
      </c>
    </row>
    <row r="1369">
      <c r="A1369" s="2" t="s">
        <v>1394</v>
      </c>
      <c r="B1369" s="8" t="str">
        <f>HYPERLINK("https://www.suredividend.com/sure-analysis-research-database/","RxSight Inc")</f>
        <v>RxSight Inc</v>
      </c>
      <c r="C1369" s="5">
        <v>0.19047619047619</v>
      </c>
      <c r="D1369" s="5">
        <v>1.25457961484264</v>
      </c>
      <c r="E1369" s="5">
        <v>0.439712057588482</v>
      </c>
      <c r="F1369" s="5">
        <v>0.19047619047619</v>
      </c>
      <c r="G1369" s="5">
        <v>2.36842105263157</v>
      </c>
      <c r="H1369" s="5">
        <v>3.81444332998997</v>
      </c>
      <c r="I1369" s="5">
        <v>2.0</v>
      </c>
    </row>
    <row r="1370">
      <c r="A1370" s="2" t="s">
        <v>1395</v>
      </c>
      <c r="B1370" s="8" t="str">
        <f>HYPERLINK("https://www.suredividend.com/sure-analysis-research-database/","Rackspace Technology Inc")</f>
        <v>Rackspace Technology Inc</v>
      </c>
      <c r="C1370" s="5">
        <v>-0.084999999999999</v>
      </c>
      <c r="D1370" s="5">
        <v>0.577586206896551</v>
      </c>
      <c r="E1370" s="5">
        <v>-0.190265486725663</v>
      </c>
      <c r="F1370" s="5">
        <v>-0.084999999999999</v>
      </c>
      <c r="G1370" s="5">
        <v>-0.401960784313725</v>
      </c>
      <c r="H1370" s="5">
        <v>-0.849382716049382</v>
      </c>
      <c r="I1370" s="5">
        <v>-0.888346552776083</v>
      </c>
    </row>
    <row r="1371">
      <c r="A1371" s="2" t="s">
        <v>1396</v>
      </c>
      <c r="B1371" s="8" t="str">
        <f>HYPERLINK("https://www.suredividend.com/sure-analysis-research-database/","Rayonier Advanced Materials Inc")</f>
        <v>Rayonier Advanced Materials Inc</v>
      </c>
      <c r="C1371" s="5">
        <v>0.123456790123456</v>
      </c>
      <c r="D1371" s="5">
        <v>0.654545454545454</v>
      </c>
      <c r="E1371" s="5">
        <v>-0.017278617710583</v>
      </c>
      <c r="F1371" s="5">
        <v>0.123456790123456</v>
      </c>
      <c r="G1371" s="5">
        <v>-0.325925925925925</v>
      </c>
      <c r="H1371" s="5">
        <v>-0.26256077795786</v>
      </c>
      <c r="I1371" s="5">
        <v>-0.665745937527548</v>
      </c>
    </row>
    <row r="1372">
      <c r="A1372" s="2" t="s">
        <v>1397</v>
      </c>
      <c r="B1372" s="8" t="str">
        <f>HYPERLINK("https://www.suredividend.com/sure-analysis-research-database/","Ryerson Holding Corp.")</f>
        <v>Ryerson Holding Corp.</v>
      </c>
      <c r="C1372" s="5">
        <v>2.88350634371E-4</v>
      </c>
      <c r="D1372" s="5">
        <v>0.280546327057954</v>
      </c>
      <c r="E1372" s="5">
        <v>-0.15820585494642</v>
      </c>
      <c r="F1372" s="5">
        <v>2.88350634371E-4</v>
      </c>
      <c r="G1372" s="5">
        <v>-0.063245130575905</v>
      </c>
      <c r="H1372" s="5">
        <v>0.943079913292369</v>
      </c>
      <c r="I1372" s="5">
        <v>4.27660739546415</v>
      </c>
    </row>
    <row r="1373">
      <c r="A1373" s="2" t="s">
        <v>1398</v>
      </c>
      <c r="B1373" s="8" t="str">
        <f>HYPERLINK("https://www.suredividend.com/sure-analysis-research-database/","Sabre Corp")</f>
        <v>Sabre Corp</v>
      </c>
      <c r="C1373" s="5">
        <v>0.031818181818181</v>
      </c>
      <c r="D1373" s="5">
        <v>0.335294117647058</v>
      </c>
      <c r="E1373" s="5">
        <v>0.126550868486352</v>
      </c>
      <c r="F1373" s="5">
        <v>0.031818181818181</v>
      </c>
      <c r="G1373" s="5">
        <v>-0.353276353276353</v>
      </c>
      <c r="H1373" s="5">
        <v>-0.478760045924225</v>
      </c>
      <c r="I1373" s="5">
        <v>-0.789066783129059</v>
      </c>
    </row>
    <row r="1374">
      <c r="A1374" s="2" t="s">
        <v>1399</v>
      </c>
      <c r="B1374" s="8" t="str">
        <f>HYPERLINK("https://www.suredividend.com/sure-analysis-SAFE/","Safehold Inc.")</f>
        <v>Safehold Inc.</v>
      </c>
      <c r="C1374" s="5">
        <v>-0.103846153846153</v>
      </c>
      <c r="D1374" s="5">
        <v>0.397552783109405</v>
      </c>
      <c r="E1374" s="5">
        <v>-0.13684167198337</v>
      </c>
      <c r="F1374" s="5">
        <v>-0.103846153846153</v>
      </c>
      <c r="G1374" s="5">
        <v>1.30186608122941</v>
      </c>
      <c r="H1374" s="5">
        <v>0.291749313161428</v>
      </c>
      <c r="I1374" s="5">
        <v>2.16218050214883</v>
      </c>
    </row>
    <row r="1375">
      <c r="A1375" s="2" t="s">
        <v>1400</v>
      </c>
      <c r="B1375" s="8" t="str">
        <f>HYPERLINK("https://www.suredividend.com/sure-analysis-SAFT/","Safety Insurance Group, Inc.")</f>
        <v>Safety Insurance Group, Inc.</v>
      </c>
      <c r="C1375" s="5">
        <v>0.113699170943545</v>
      </c>
      <c r="D1375" s="5">
        <v>0.161212776496383</v>
      </c>
      <c r="E1375" s="5">
        <v>0.239052329207551</v>
      </c>
      <c r="F1375" s="5">
        <v>0.113699170943545</v>
      </c>
      <c r="G1375" s="5">
        <v>0.09090909090909</v>
      </c>
      <c r="H1375" s="5">
        <v>0.181709268521543</v>
      </c>
      <c r="I1375" s="5">
        <v>0.350665517571578</v>
      </c>
    </row>
    <row r="1376">
      <c r="A1376" s="2" t="s">
        <v>1401</v>
      </c>
      <c r="B1376" s="8" t="str">
        <f>HYPERLINK("https://www.suredividend.com/sure-analysis-research-database/","Sage Therapeutics Inc")</f>
        <v>Sage Therapeutics Inc</v>
      </c>
      <c r="C1376" s="5">
        <v>0.224734656206737</v>
      </c>
      <c r="D1376" s="5">
        <v>0.497742663656884</v>
      </c>
      <c r="E1376" s="5">
        <v>-0.240846681922196</v>
      </c>
      <c r="F1376" s="5">
        <v>0.224734656206737</v>
      </c>
      <c r="G1376" s="5">
        <v>-0.388056260087618</v>
      </c>
      <c r="H1376" s="5">
        <v>-0.316331787738279</v>
      </c>
      <c r="I1376" s="5">
        <v>-0.79837423079845</v>
      </c>
    </row>
    <row r="1377">
      <c r="A1377" s="2" t="s">
        <v>1402</v>
      </c>
      <c r="B1377" s="8" t="str">
        <f>HYPERLINK("https://www.suredividend.com/sure-analysis-research-database/","Sonic Automotive, Inc.")</f>
        <v>Sonic Automotive, Inc.</v>
      </c>
      <c r="C1377" s="5">
        <v>-0.054260807685465</v>
      </c>
      <c r="D1377" s="5">
        <v>0.087706016552937</v>
      </c>
      <c r="E1377" s="5">
        <v>0.093406446490753</v>
      </c>
      <c r="F1377" s="5">
        <v>-0.054260807685465</v>
      </c>
      <c r="G1377" s="5">
        <v>0.069316490324657</v>
      </c>
      <c r="H1377" s="5">
        <v>0.124698514788643</v>
      </c>
      <c r="I1377" s="5">
        <v>2.80927812889634</v>
      </c>
    </row>
    <row r="1378">
      <c r="A1378" s="2" t="s">
        <v>1403</v>
      </c>
      <c r="B1378" s="8" t="str">
        <f>HYPERLINK("https://www.suredividend.com/sure-analysis-research-database/","Saia Inc.")</f>
        <v>Saia Inc.</v>
      </c>
      <c r="C1378" s="5">
        <v>0.047829857149376</v>
      </c>
      <c r="D1378" s="5">
        <v>0.333817463544995</v>
      </c>
      <c r="E1378" s="5">
        <v>0.078165723543638</v>
      </c>
      <c r="F1378" s="5">
        <v>0.047829857149376</v>
      </c>
      <c r="G1378" s="5">
        <v>0.683519706691109</v>
      </c>
      <c r="H1378" s="5">
        <v>0.698653447765611</v>
      </c>
      <c r="I1378" s="5">
        <v>6.52754098360655</v>
      </c>
    </row>
    <row r="1379">
      <c r="A1379" s="2" t="s">
        <v>1404</v>
      </c>
      <c r="B1379" s="8" t="str">
        <f>HYPERLINK("https://www.suredividend.com/sure-analysis-research-database/","Silvercrest Asset Management Group Inc")</f>
        <v>Silvercrest Asset Management Group Inc</v>
      </c>
      <c r="C1379" s="5">
        <v>0.008823529411764</v>
      </c>
      <c r="D1379" s="5">
        <v>0.052709114680841</v>
      </c>
      <c r="E1379" s="5">
        <v>-0.134974276202965</v>
      </c>
      <c r="F1379" s="5">
        <v>0.008823529411764</v>
      </c>
      <c r="G1379" s="5">
        <v>-0.016194076513139</v>
      </c>
      <c r="H1379" s="5">
        <v>0.143051380659437</v>
      </c>
      <c r="I1379" s="5">
        <v>0.73235822945918</v>
      </c>
    </row>
    <row r="1380">
      <c r="A1380" s="2" t="s">
        <v>1405</v>
      </c>
      <c r="B1380" s="8" t="str">
        <f>HYPERLINK("https://www.suredividend.com/sure-analysis-research-database/","Sana Biotechnology Inc")</f>
        <v>Sana Biotechnology Inc</v>
      </c>
      <c r="C1380" s="5">
        <v>0.465686274509804</v>
      </c>
      <c r="D1380" s="5">
        <v>1.13571428571428</v>
      </c>
      <c r="E1380" s="5">
        <v>0.027491408934708</v>
      </c>
      <c r="F1380" s="5">
        <v>0.465686274509804</v>
      </c>
      <c r="G1380" s="5">
        <v>0.243243243243243</v>
      </c>
      <c r="H1380" s="5">
        <v>-0.258064516129032</v>
      </c>
      <c r="I1380" s="5">
        <v>-0.829629629629629</v>
      </c>
    </row>
    <row r="1381">
      <c r="A1381" s="2" t="s">
        <v>1406</v>
      </c>
      <c r="B1381" s="8" t="str">
        <f>HYPERLINK("https://www.suredividend.com/sure-analysis-research-database/","Sanmina Corp")</f>
        <v>Sanmina Corp</v>
      </c>
      <c r="C1381" s="5">
        <v>-0.014405294919213</v>
      </c>
      <c r="D1381" s="5">
        <v>-0.00216791486007</v>
      </c>
      <c r="E1381" s="5">
        <v>-0.154616797462013</v>
      </c>
      <c r="F1381" s="5">
        <v>-0.014405294919213</v>
      </c>
      <c r="G1381" s="5">
        <v>-0.100390902629708</v>
      </c>
      <c r="H1381" s="5">
        <v>0.386743357984114</v>
      </c>
      <c r="I1381" s="5">
        <v>0.589638932496075</v>
      </c>
    </row>
    <row r="1382">
      <c r="A1382" s="2" t="s">
        <v>1407</v>
      </c>
      <c r="B1382" s="8" t="str">
        <f>HYPERLINK("https://www.suredividend.com/sure-analysis-research-database/","Sandy Spring Bancorp")</f>
        <v>Sandy Spring Bancorp</v>
      </c>
      <c r="C1382" s="5">
        <v>-0.031571218795888</v>
      </c>
      <c r="D1382" s="5">
        <v>0.353681315297933</v>
      </c>
      <c r="E1382" s="5">
        <v>0.139475616604034</v>
      </c>
      <c r="F1382" s="5">
        <v>-0.031571218795888</v>
      </c>
      <c r="G1382" s="5">
        <v>-0.140906900100303</v>
      </c>
      <c r="H1382" s="5">
        <v>-0.355834362989045</v>
      </c>
      <c r="I1382" s="5">
        <v>0.0224251397211</v>
      </c>
    </row>
    <row r="1383">
      <c r="A1383" s="2" t="s">
        <v>1408</v>
      </c>
      <c r="B1383" s="8" t="str">
        <f>HYPERLINK("https://www.suredividend.com/sure-analysis-research-database/","EchoStar Corp")</f>
        <v>EchoStar Corp</v>
      </c>
      <c r="C1383" s="5">
        <v>-0.167169583584791</v>
      </c>
      <c r="D1383" s="5">
        <v>0.039939713639788</v>
      </c>
      <c r="E1383" s="5">
        <v>-0.281997918834547</v>
      </c>
      <c r="F1383" s="5">
        <v>-0.167169583584791</v>
      </c>
      <c r="G1383" s="5">
        <v>-0.262032085561497</v>
      </c>
      <c r="H1383" s="5">
        <v>-0.418457648546144</v>
      </c>
      <c r="I1383" s="5">
        <v>-0.654654654654654</v>
      </c>
    </row>
    <row r="1384">
      <c r="A1384" s="2" t="s">
        <v>1409</v>
      </c>
      <c r="B1384" s="8" t="str">
        <f>HYPERLINK("https://www.suredividend.com/sure-analysis-research-database/","Cassava Sciences Inc")</f>
        <v>Cassava Sciences Inc</v>
      </c>
      <c r="C1384" s="5">
        <v>0.106619280319857</v>
      </c>
      <c r="D1384" s="5">
        <v>0.252388134741075</v>
      </c>
      <c r="E1384" s="5">
        <v>0.187321258341277</v>
      </c>
      <c r="F1384" s="5">
        <v>0.106619280319857</v>
      </c>
      <c r="G1384" s="5">
        <v>-0.138360428917329</v>
      </c>
      <c r="H1384" s="5">
        <v>-0.373333333333333</v>
      </c>
      <c r="I1384" s="5">
        <v>20.2905982905982</v>
      </c>
    </row>
    <row r="1385">
      <c r="A1385" s="2" t="s">
        <v>1410</v>
      </c>
      <c r="B1385" s="8" t="str">
        <f>HYPERLINK("https://www.suredividend.com/sure-analysis-research-database/","Spirit Airlines Inc")</f>
        <v>Spirit Airlines Inc</v>
      </c>
      <c r="C1385" s="5">
        <v>-0.62756857246972</v>
      </c>
      <c r="D1385" s="5">
        <v>-0.578560395859687</v>
      </c>
      <c r="E1385" s="5">
        <v>-0.653007555573458</v>
      </c>
      <c r="F1385" s="5">
        <v>-0.62756857246972</v>
      </c>
      <c r="G1385" s="5">
        <v>-0.669623436464148</v>
      </c>
      <c r="H1385" s="5">
        <v>-0.676630522217574</v>
      </c>
      <c r="I1385" s="5">
        <v>-0.886169929606578</v>
      </c>
    </row>
    <row r="1386">
      <c r="A1386" s="2" t="s">
        <v>1411</v>
      </c>
      <c r="B1386" s="8" t="str">
        <f>HYPERLINK("https://www.suredividend.com/sure-analysis-research-database/","Safe Bulkers, Inc")</f>
        <v>Safe Bulkers, Inc</v>
      </c>
      <c r="C1386" s="5">
        <v>0.040712468193384</v>
      </c>
      <c r="D1386" s="5">
        <v>0.304333960519182</v>
      </c>
      <c r="E1386" s="5">
        <v>0.260944629424096</v>
      </c>
      <c r="F1386" s="5">
        <v>0.040712468193384</v>
      </c>
      <c r="G1386" s="5">
        <v>0.34023658944195</v>
      </c>
      <c r="H1386" s="5">
        <v>0.299237611181702</v>
      </c>
      <c r="I1386" s="5">
        <v>1.78079956486265</v>
      </c>
    </row>
    <row r="1387">
      <c r="A1387" s="2" t="s">
        <v>1412</v>
      </c>
      <c r="B1387" s="8" t="str">
        <f>HYPERLINK("https://www.suredividend.com/sure-analysis-research-database/","Seacoast Banking Corp. Of Florida")</f>
        <v>Seacoast Banking Corp. Of Florida</v>
      </c>
      <c r="C1387" s="5">
        <v>-0.071328179901616</v>
      </c>
      <c r="D1387" s="5">
        <v>0.332734955676351</v>
      </c>
      <c r="E1387" s="5">
        <v>0.076600338092425</v>
      </c>
      <c r="F1387" s="5">
        <v>-0.071328179901616</v>
      </c>
      <c r="G1387" s="5">
        <v>-0.147221290106089</v>
      </c>
      <c r="H1387" s="5">
        <v>-0.225889216926753</v>
      </c>
      <c r="I1387" s="5">
        <v>0.044994464652854</v>
      </c>
    </row>
    <row r="1388">
      <c r="A1388" s="2" t="s">
        <v>1413</v>
      </c>
      <c r="B1388" s="8" t="str">
        <f>HYPERLINK("https://www.suredividend.com/sure-analysis-research-database/","Sinclair Inc")</f>
        <v>Sinclair Inc</v>
      </c>
      <c r="C1388" s="5">
        <v>0.262471220260936</v>
      </c>
      <c r="D1388" s="5">
        <v>0.700381422945329</v>
      </c>
      <c r="E1388" s="5">
        <v>0.315053161723559</v>
      </c>
      <c r="F1388" s="5">
        <v>0.262471220260936</v>
      </c>
      <c r="G1388" s="5">
        <v>0.176588394332348</v>
      </c>
      <c r="H1388" s="5">
        <v>0.176588394332348</v>
      </c>
      <c r="I1388" s="5">
        <v>0.176588394332348</v>
      </c>
    </row>
    <row r="1389">
      <c r="A1389" s="2" t="s">
        <v>1414</v>
      </c>
      <c r="B1389" s="8" t="str">
        <f>HYPERLINK("https://www.suredividend.com/sure-analysis-research-database/","Sally Beauty Holdings Inc")</f>
        <v>Sally Beauty Holdings Inc</v>
      </c>
      <c r="C1389" s="5">
        <v>-0.054216867469879</v>
      </c>
      <c r="D1389" s="5">
        <v>0.481132075471698</v>
      </c>
      <c r="E1389" s="5">
        <v>0.038875103391232</v>
      </c>
      <c r="F1389" s="5">
        <v>-0.054216867469879</v>
      </c>
      <c r="G1389" s="5">
        <v>-0.179084967320261</v>
      </c>
      <c r="H1389" s="5">
        <v>-0.263343108504398</v>
      </c>
      <c r="I1389" s="5">
        <v>-0.279403327596098</v>
      </c>
    </row>
    <row r="1390">
      <c r="A1390" s="2" t="s">
        <v>1415</v>
      </c>
      <c r="B1390" s="8" t="str">
        <f>HYPERLINK("https://www.suredividend.com/sure-analysis-research-database/","SilverBow Resources Inc")</f>
        <v>SilverBow Resources Inc</v>
      </c>
      <c r="C1390" s="5">
        <v>-0.064993122420907</v>
      </c>
      <c r="D1390" s="5">
        <v>-0.189084402028034</v>
      </c>
      <c r="E1390" s="5">
        <v>-0.219351134079816</v>
      </c>
      <c r="F1390" s="5">
        <v>-0.064993122420907</v>
      </c>
      <c r="G1390" s="5">
        <v>0.01911544227886</v>
      </c>
      <c r="H1390" s="5">
        <v>0.197269925143108</v>
      </c>
      <c r="I1390" s="5">
        <v>0.121237113402062</v>
      </c>
    </row>
    <row r="1391">
      <c r="A1391" s="2" t="s">
        <v>1416</v>
      </c>
      <c r="B1391" s="8" t="str">
        <f>HYPERLINK("https://www.suredividend.com/sure-analysis-SBRA/","Sabra Healthcare REIT Inc")</f>
        <v>Sabra Healthcare REIT Inc</v>
      </c>
      <c r="C1391" s="5">
        <v>-0.055360896986685</v>
      </c>
      <c r="D1391" s="5">
        <v>0.048244113347226</v>
      </c>
      <c r="E1391" s="5">
        <v>0.111440915537086</v>
      </c>
      <c r="F1391" s="5">
        <v>-0.055360896986685</v>
      </c>
      <c r="G1391" s="5">
        <v>0.124739257405089</v>
      </c>
      <c r="H1391" s="5">
        <v>0.240920932715941</v>
      </c>
      <c r="I1391" s="5">
        <v>0.042907763009268</v>
      </c>
    </row>
    <row r="1392">
      <c r="A1392" s="2" t="s">
        <v>1417</v>
      </c>
      <c r="B1392" s="8" t="str">
        <f>HYPERLINK("https://www.suredividend.com/sure-analysis-SBSI/","Southside Bancshares Inc")</f>
        <v>Southside Bancshares Inc</v>
      </c>
      <c r="C1392" s="5">
        <v>0.04757343550447</v>
      </c>
      <c r="D1392" s="5">
        <v>0.218742106592574</v>
      </c>
      <c r="E1392" s="5">
        <v>0.011923487357895</v>
      </c>
      <c r="F1392" s="5">
        <v>0.04757343550447</v>
      </c>
      <c r="G1392" s="5">
        <v>-0.067582506586033</v>
      </c>
      <c r="H1392" s="5">
        <v>-0.145034110038096</v>
      </c>
      <c r="I1392" s="5">
        <v>0.137557423940365</v>
      </c>
    </row>
    <row r="1393">
      <c r="A1393" s="2" t="s">
        <v>1418</v>
      </c>
      <c r="B1393" s="8" t="str">
        <f>HYPERLINK("https://www.suredividend.com/sure-analysis-research-database/","Sterling Bancorp Inc")</f>
        <v>Sterling Bancorp Inc</v>
      </c>
      <c r="C1393" s="5">
        <v>-0.051993067590987</v>
      </c>
      <c r="D1393" s="5">
        <v>0.032075471698113</v>
      </c>
      <c r="E1393" s="5">
        <v>-0.074450084602368</v>
      </c>
      <c r="F1393" s="5">
        <v>-0.051993067590987</v>
      </c>
      <c r="G1393" s="5">
        <v>-0.120578778135048</v>
      </c>
      <c r="H1393" s="5">
        <v>-0.056896551724137</v>
      </c>
      <c r="I1393" s="5">
        <v>-0.375028563593985</v>
      </c>
    </row>
    <row r="1394">
      <c r="A1394" s="2" t="s">
        <v>1419</v>
      </c>
      <c r="B1394" s="8" t="str">
        <f>HYPERLINK("https://www.suredividend.com/sure-analysis-SCHL/","Scholastic Corp.")</f>
        <v>Scholastic Corp.</v>
      </c>
      <c r="C1394" s="5">
        <v>0.051458826240384</v>
      </c>
      <c r="D1394" s="5">
        <v>0.076590059231986</v>
      </c>
      <c r="E1394" s="5">
        <v>-0.0693103121146</v>
      </c>
      <c r="F1394" s="5">
        <v>0.051458826240384</v>
      </c>
      <c r="G1394" s="5">
        <v>-0.054398770093809</v>
      </c>
      <c r="H1394" s="5">
        <v>0.019982948992534</v>
      </c>
      <c r="I1394" s="5">
        <v>0.05688468737796</v>
      </c>
    </row>
    <row r="1395">
      <c r="A1395" s="2" t="s">
        <v>1420</v>
      </c>
      <c r="B1395" s="8" t="str">
        <f>HYPERLINK("https://www.suredividend.com/sure-analysis-SCL/","Stepan Co.")</f>
        <v>Stepan Co.</v>
      </c>
      <c r="C1395" s="5">
        <v>-0.017874140666314</v>
      </c>
      <c r="D1395" s="5">
        <v>0.25114187242826</v>
      </c>
      <c r="E1395" s="5">
        <v>-0.003871449428186</v>
      </c>
      <c r="F1395" s="5">
        <v>-0.017874140666314</v>
      </c>
      <c r="G1395" s="5">
        <v>-0.12128383781129</v>
      </c>
      <c r="H1395" s="5">
        <v>-0.119217672556886</v>
      </c>
      <c r="I1395" s="5">
        <v>0.161349546703485</v>
      </c>
    </row>
    <row r="1396">
      <c r="A1396" s="2" t="s">
        <v>1421</v>
      </c>
      <c r="B1396" s="8" t="str">
        <f>HYPERLINK("https://www.suredividend.com/sure-analysis-research-database/","Steelcase, Inc.")</f>
        <v>Steelcase, Inc.</v>
      </c>
      <c r="C1396" s="5">
        <v>-6.11110283048E-4</v>
      </c>
      <c r="D1396" s="5">
        <v>0.304220968683135</v>
      </c>
      <c r="E1396" s="5">
        <v>0.63474783923151</v>
      </c>
      <c r="F1396" s="5">
        <v>-6.11110283048E-4</v>
      </c>
      <c r="G1396" s="5">
        <v>0.880521665965502</v>
      </c>
      <c r="H1396" s="5">
        <v>0.21512518235939</v>
      </c>
      <c r="I1396" s="5">
        <v>0.012404025457318</v>
      </c>
    </row>
    <row r="1397">
      <c r="A1397" s="2" t="s">
        <v>1422</v>
      </c>
      <c r="B1397" s="8" t="str">
        <f>HYPERLINK("https://www.suredividend.com/sure-analysis-research-database/","Scansource, Inc.")</f>
        <v>Scansource, Inc.</v>
      </c>
      <c r="C1397" s="5">
        <v>7.57384498863E-4</v>
      </c>
      <c r="D1397" s="5">
        <v>0.327528466175485</v>
      </c>
      <c r="E1397" s="5">
        <v>0.338736913204998</v>
      </c>
      <c r="F1397" s="5">
        <v>7.57384498863E-4</v>
      </c>
      <c r="G1397" s="5">
        <v>0.207800121876904</v>
      </c>
      <c r="H1397" s="5">
        <v>0.300951755825402</v>
      </c>
      <c r="I1397" s="5">
        <v>0.063590018781862</v>
      </c>
    </row>
    <row r="1398">
      <c r="A1398" s="2" t="s">
        <v>1423</v>
      </c>
      <c r="B1398" s="8" t="str">
        <f>HYPERLINK("https://www.suredividend.com/sure-analysis-research-database/","Sculptor Capital Management Inc")</f>
        <v>Sculptor Capital Management Inc</v>
      </c>
      <c r="C1398" s="5">
        <v>0.036674816625916</v>
      </c>
      <c r="D1398" s="5">
        <v>0.153218495013599</v>
      </c>
      <c r="E1398" s="5">
        <v>0.549330085261875</v>
      </c>
      <c r="F1398" s="5">
        <v>0.513691049944664</v>
      </c>
      <c r="G1398" s="5">
        <v>0.524284293400759</v>
      </c>
      <c r="H1398" s="5">
        <v>-0.338485381150993</v>
      </c>
      <c r="I1398" s="5">
        <v>-0.234422115089467</v>
      </c>
    </row>
    <row r="1399">
      <c r="A1399" s="2" t="s">
        <v>1424</v>
      </c>
      <c r="B1399" s="8" t="str">
        <f>HYPERLINK("https://www.suredividend.com/sure-analysis-research-database/","Shoe Carnival, Inc.")</f>
        <v>Shoe Carnival, Inc.</v>
      </c>
      <c r="C1399" s="5">
        <v>-0.133256764336654</v>
      </c>
      <c r="D1399" s="5">
        <v>0.142424615817916</v>
      </c>
      <c r="E1399" s="5">
        <v>0.00217730354082</v>
      </c>
      <c r="F1399" s="5">
        <v>-0.133256764336654</v>
      </c>
      <c r="G1399" s="5">
        <v>-0.028319471789074</v>
      </c>
      <c r="H1399" s="5">
        <v>-0.177009526526859</v>
      </c>
      <c r="I1399" s="5">
        <v>0.468907372828608</v>
      </c>
    </row>
    <row r="1400">
      <c r="A1400" s="2" t="s">
        <v>1425</v>
      </c>
      <c r="B1400" s="8" t="str">
        <f>HYPERLINK("https://www.suredividend.com/sure-analysis-research-database/","SecureWorks Corp")</f>
        <v>SecureWorks Corp</v>
      </c>
      <c r="C1400" s="5">
        <v>-0.02710027100271</v>
      </c>
      <c r="D1400" s="5">
        <v>0.266313932980599</v>
      </c>
      <c r="E1400" s="5">
        <v>-0.058977719528178</v>
      </c>
      <c r="F1400" s="5">
        <v>-0.02710027100271</v>
      </c>
      <c r="G1400" s="5">
        <v>-0.025780189959294</v>
      </c>
      <c r="H1400" s="5">
        <v>-0.489694385216773</v>
      </c>
      <c r="I1400" s="5">
        <v>-0.64225211758844</v>
      </c>
    </row>
    <row r="1401">
      <c r="A1401" s="2" t="s">
        <v>1426</v>
      </c>
      <c r="B1401" s="8" t="str">
        <f>HYPERLINK("https://www.suredividend.com/sure-analysis-research-database/","Sandridge Energy Inc")</f>
        <v>Sandridge Energy Inc</v>
      </c>
      <c r="C1401" s="5">
        <v>0.065106071689831</v>
      </c>
      <c r="D1401" s="5">
        <v>-0.077225338276768</v>
      </c>
      <c r="E1401" s="5">
        <v>-0.116140154918291</v>
      </c>
      <c r="F1401" s="5">
        <v>0.065106071689831</v>
      </c>
      <c r="G1401" s="5">
        <v>0.019757807520713</v>
      </c>
      <c r="H1401" s="5">
        <v>0.488174328992825</v>
      </c>
      <c r="I1401" s="5">
        <v>1.0357657191594</v>
      </c>
    </row>
    <row r="1402">
      <c r="A1402" s="2" t="s">
        <v>1427</v>
      </c>
      <c r="B1402" s="8" t="str">
        <f>HYPERLINK("https://www.suredividend.com/sure-analysis-research-database/","Schrodinger Inc")</f>
        <v>Schrodinger Inc</v>
      </c>
      <c r="C1402" s="5">
        <v>-0.210893854748603</v>
      </c>
      <c r="D1402" s="5">
        <v>0.304849884526559</v>
      </c>
      <c r="E1402" s="5">
        <v>-0.424877850162866</v>
      </c>
      <c r="F1402" s="5">
        <v>-0.210893854748603</v>
      </c>
      <c r="G1402" s="5">
        <v>0.229865041358293</v>
      </c>
      <c r="H1402" s="5">
        <v>0.077421815408085</v>
      </c>
      <c r="I1402" s="5">
        <v>-0.013617318435754</v>
      </c>
    </row>
    <row r="1403">
      <c r="A1403" s="2" t="s">
        <v>1428</v>
      </c>
      <c r="B1403" s="8" t="str">
        <f>HYPERLINK("https://www.suredividend.com/sure-analysis-research-database/","SeaWorld Entertainment Inc")</f>
        <v>SeaWorld Entertainment Inc</v>
      </c>
      <c r="C1403" s="5">
        <v>-0.056407344311943</v>
      </c>
      <c r="D1403" s="5">
        <v>0.211716091395235</v>
      </c>
      <c r="E1403" s="5">
        <v>-0.05047619047619</v>
      </c>
      <c r="F1403" s="5">
        <v>-0.056407344311943</v>
      </c>
      <c r="G1403" s="5">
        <v>-0.204944178628389</v>
      </c>
      <c r="H1403" s="5">
        <v>-0.144352900789563</v>
      </c>
      <c r="I1403" s="5">
        <v>0.899047619047619</v>
      </c>
    </row>
    <row r="1404">
      <c r="A1404" s="2" t="s">
        <v>1429</v>
      </c>
      <c r="B1404" s="8" t="str">
        <f>HYPERLINK("https://www.suredividend.com/sure-analysis-research-database/","Vivid Seats Inc")</f>
        <v>Vivid Seats Inc</v>
      </c>
      <c r="C1404" s="5">
        <v>-0.050632911392405</v>
      </c>
      <c r="D1404" s="5">
        <v>0.052631578947368</v>
      </c>
      <c r="E1404" s="5">
        <v>-0.287410926365795</v>
      </c>
      <c r="F1404" s="5">
        <v>-0.050632911392405</v>
      </c>
      <c r="G1404" s="5">
        <v>-0.299883313885647</v>
      </c>
      <c r="H1404" s="5">
        <v>-0.269183922046285</v>
      </c>
      <c r="I1404" s="5">
        <v>-0.4</v>
      </c>
    </row>
    <row r="1405">
      <c r="A1405" s="2" t="s">
        <v>1430</v>
      </c>
      <c r="B1405" s="8" t="str">
        <f>HYPERLINK("https://www.suredividend.com/sure-analysis-research-database/","Seer Inc")</f>
        <v>Seer Inc</v>
      </c>
      <c r="C1405" s="5">
        <v>-0.061855670103092</v>
      </c>
      <c r="D1405" s="5">
        <v>0.076923076923077</v>
      </c>
      <c r="E1405" s="5">
        <v>-0.632323232323232</v>
      </c>
      <c r="F1405" s="5">
        <v>-0.061855670103092</v>
      </c>
      <c r="G1405" s="5">
        <v>-0.641025641025641</v>
      </c>
      <c r="H1405" s="5">
        <v>-0.870185449358059</v>
      </c>
      <c r="I1405" s="5">
        <v>-0.967764789231314</v>
      </c>
    </row>
    <row r="1406">
      <c r="A1406" s="2" t="s">
        <v>1431</v>
      </c>
      <c r="B1406" s="8" t="str">
        <f>HYPERLINK("https://www.suredividend.com/sure-analysis-research-database/","Select Medical Holdings Corporation")</f>
        <v>Select Medical Holdings Corporation</v>
      </c>
      <c r="C1406" s="5">
        <v>0.134468085106383</v>
      </c>
      <c r="D1406" s="5">
        <v>0.185900857620725</v>
      </c>
      <c r="E1406" s="5">
        <v>-0.103250632366395</v>
      </c>
      <c r="F1406" s="5">
        <v>0.134468085106383</v>
      </c>
      <c r="G1406" s="5">
        <v>-0.049086538118575</v>
      </c>
      <c r="H1406" s="5">
        <v>0.20422608373572</v>
      </c>
      <c r="I1406" s="5">
        <v>0.847821566697625</v>
      </c>
    </row>
    <row r="1407">
      <c r="A1407" s="2" t="s">
        <v>1432</v>
      </c>
      <c r="B1407" s="8" t="str">
        <f>HYPERLINK("https://www.suredividend.com/sure-analysis-research-database/","Seneca Foods Corp.")</f>
        <v>Seneca Foods Corp.</v>
      </c>
      <c r="C1407" s="5">
        <v>0.042906178489702</v>
      </c>
      <c r="D1407" s="5">
        <v>-0.00509368746589</v>
      </c>
      <c r="E1407" s="5">
        <v>0.458011197014129</v>
      </c>
      <c r="F1407" s="5">
        <v>0.042906178489702</v>
      </c>
      <c r="G1407" s="5">
        <v>-0.105056455571919</v>
      </c>
      <c r="H1407" s="5">
        <v>0.175876155665448</v>
      </c>
      <c r="I1407" s="5">
        <v>0.893042575285565</v>
      </c>
    </row>
    <row r="1408">
      <c r="A1408" s="2" t="s">
        <v>1433</v>
      </c>
      <c r="B1408" s="8" t="str">
        <f>HYPERLINK("https://www.suredividend.com/sure-analysis-research-database/","Senseonics Holdings Inc")</f>
        <v>Senseonics Holdings Inc</v>
      </c>
      <c r="C1408" s="5">
        <v>0.008594983336256</v>
      </c>
      <c r="D1408" s="5">
        <v>0.192946058091286</v>
      </c>
      <c r="E1408" s="5">
        <v>-0.358759897401583</v>
      </c>
      <c r="F1408" s="5">
        <v>0.008594983336256</v>
      </c>
      <c r="G1408" s="5">
        <v>-0.481981981981982</v>
      </c>
      <c r="H1408" s="5">
        <v>-0.759414225941422</v>
      </c>
      <c r="I1408" s="5">
        <v>-0.766260162601626</v>
      </c>
    </row>
    <row r="1409">
      <c r="A1409" s="2" t="s">
        <v>1434</v>
      </c>
      <c r="B1409" s="8" t="str">
        <f>HYPERLINK("https://www.suredividend.com/sure-analysis-research-database/","ServisFirst Bancshares Inc")</f>
        <v>ServisFirst Bancshares Inc</v>
      </c>
      <c r="C1409" s="5">
        <v>0.023262794536995</v>
      </c>
      <c r="D1409" s="5">
        <v>0.461904292226477</v>
      </c>
      <c r="E1409" s="5">
        <v>0.158178510335783</v>
      </c>
      <c r="F1409" s="5">
        <v>0.023262794536995</v>
      </c>
      <c r="G1409" s="5">
        <v>0.040889015094264</v>
      </c>
      <c r="H1409" s="5">
        <v>-0.160398595163856</v>
      </c>
      <c r="I1409" s="5">
        <v>1.16592277268611</v>
      </c>
    </row>
    <row r="1410">
      <c r="A1410" s="2" t="s">
        <v>1435</v>
      </c>
      <c r="B1410" s="8" t="str">
        <f>HYPERLINK("https://www.suredividend.com/sure-analysis-research-database/","Stitch Fix Inc")</f>
        <v>Stitch Fix Inc</v>
      </c>
      <c r="C1410" s="5">
        <v>-0.053221288515406</v>
      </c>
      <c r="D1410" s="5">
        <v>0.033639143730886</v>
      </c>
      <c r="E1410" s="5">
        <v>-0.311608961303462</v>
      </c>
      <c r="F1410" s="5">
        <v>-0.053221288515406</v>
      </c>
      <c r="G1410" s="5">
        <v>-0.31578947368421</v>
      </c>
      <c r="H1410" s="5">
        <v>-0.772696704774714</v>
      </c>
      <c r="I1410" s="5">
        <v>-0.854623655913978</v>
      </c>
    </row>
    <row r="1411">
      <c r="A1411" s="2" t="s">
        <v>1436</v>
      </c>
      <c r="B1411" s="8" t="str">
        <f>HYPERLINK("https://www.suredividend.com/sure-analysis-SFL/","SFL Corporation Ltd")</f>
        <v>SFL Corporation Ltd</v>
      </c>
      <c r="C1411" s="5">
        <v>0.082446808510638</v>
      </c>
      <c r="D1411" s="5">
        <v>0.155232607646674</v>
      </c>
      <c r="E1411" s="5">
        <v>0.318432134758665</v>
      </c>
      <c r="F1411" s="5">
        <v>0.082446808510638</v>
      </c>
      <c r="G1411" s="5">
        <v>0.340108876986566</v>
      </c>
      <c r="H1411" s="5">
        <v>0.757998099461514</v>
      </c>
      <c r="I1411" s="5">
        <v>0.650959341238828</v>
      </c>
    </row>
    <row r="1412">
      <c r="A1412" s="2" t="s">
        <v>1437</v>
      </c>
      <c r="B1412" s="8" t="str">
        <f>HYPERLINK("https://www.suredividend.com/sure-analysis-research-database/","Sprouts Farmers Market Inc")</f>
        <v>Sprouts Farmers Market Inc</v>
      </c>
      <c r="C1412" s="5">
        <v>0.046975680731656</v>
      </c>
      <c r="D1412" s="5">
        <v>0.158996778647031</v>
      </c>
      <c r="E1412" s="5">
        <v>0.294193216855087</v>
      </c>
      <c r="F1412" s="5">
        <v>0.046975680731656</v>
      </c>
      <c r="G1412" s="5">
        <v>0.563800062092517</v>
      </c>
      <c r="H1412" s="5">
        <v>0.873187058386017</v>
      </c>
      <c r="I1412" s="5">
        <v>1.08226539892517</v>
      </c>
    </row>
    <row r="1413">
      <c r="A1413" s="2" t="s">
        <v>1438</v>
      </c>
      <c r="B1413" s="8" t="str">
        <f>HYPERLINK("https://www.suredividend.com/sure-analysis-research-database/","Simmons First National Corp.")</f>
        <v>Simmons First National Corp.</v>
      </c>
      <c r="C1413" s="5">
        <v>0.029737903225806</v>
      </c>
      <c r="D1413" s="5">
        <v>0.468695858464591</v>
      </c>
      <c r="E1413" s="5">
        <v>0.076668493612715</v>
      </c>
      <c r="F1413" s="5">
        <v>0.029737903225806</v>
      </c>
      <c r="G1413" s="5">
        <v>-0.001241725901229</v>
      </c>
      <c r="H1413" s="5">
        <v>-0.207445281525677</v>
      </c>
      <c r="I1413" s="5">
        <v>-0.011811823432103</v>
      </c>
    </row>
    <row r="1414">
      <c r="A1414" s="2" t="s">
        <v>1439</v>
      </c>
      <c r="B1414" s="8" t="str">
        <f>HYPERLINK("https://www.suredividend.com/sure-analysis-research-database/","Southern First Bancshares Inc")</f>
        <v>Southern First Bancshares Inc</v>
      </c>
      <c r="C1414" s="5">
        <v>0.043396226415094</v>
      </c>
      <c r="D1414" s="5">
        <v>0.461306153265383</v>
      </c>
      <c r="E1414" s="5">
        <v>0.288186356073211</v>
      </c>
      <c r="F1414" s="5">
        <v>0.043396226415094</v>
      </c>
      <c r="G1414" s="5">
        <v>-0.048660604571147</v>
      </c>
      <c r="H1414" s="5">
        <v>-0.345672751859364</v>
      </c>
      <c r="I1414" s="5">
        <v>0.048199295965339</v>
      </c>
    </row>
    <row r="1415">
      <c r="A1415" s="2" t="s">
        <v>1440</v>
      </c>
      <c r="B1415" s="8" t="str">
        <f>HYPERLINK("https://www.suredividend.com/sure-analysis-research-database/","Sweetgreen Inc")</f>
        <v>Sweetgreen Inc</v>
      </c>
      <c r="C1415" s="5">
        <v>-0.013274336283185</v>
      </c>
      <c r="D1415" s="5">
        <v>0.08780487804878</v>
      </c>
      <c r="E1415" s="5">
        <v>-0.209219858156028</v>
      </c>
      <c r="F1415" s="5">
        <v>-0.013274336283185</v>
      </c>
      <c r="G1415" s="5">
        <v>0.061904761904761</v>
      </c>
      <c r="H1415" s="5">
        <v>-0.618150684931506</v>
      </c>
      <c r="I1415" s="5">
        <v>-0.774747474747474</v>
      </c>
    </row>
    <row r="1416">
      <c r="A1416" s="2" t="s">
        <v>1441</v>
      </c>
      <c r="B1416" s="8" t="str">
        <f>HYPERLINK("https://www.suredividend.com/sure-analysis-research-database/","Superior Group of Companies Inc..")</f>
        <v>Superior Group of Companies Inc..</v>
      </c>
      <c r="C1416" s="5">
        <v>0.043703703703703</v>
      </c>
      <c r="D1416" s="5">
        <v>0.826904376012966</v>
      </c>
      <c r="E1416" s="5">
        <v>0.592000451951867</v>
      </c>
      <c r="F1416" s="5">
        <v>0.043703703703703</v>
      </c>
      <c r="G1416" s="5">
        <v>0.350302356560322</v>
      </c>
      <c r="H1416" s="5">
        <v>-0.150949081048508</v>
      </c>
      <c r="I1416" s="5">
        <v>0.03100327081946</v>
      </c>
    </row>
    <row r="1417">
      <c r="A1417" s="2" t="s">
        <v>1442</v>
      </c>
      <c r="B1417" s="8" t="str">
        <f>HYPERLINK("https://www.suredividend.com/sure-analysis-research-database/","SMART Global Holdings Inc")</f>
        <v>SMART Global Holdings Inc</v>
      </c>
      <c r="C1417" s="5">
        <v>0.131537242472266</v>
      </c>
      <c r="D1417" s="5">
        <v>0.56578947368421</v>
      </c>
      <c r="E1417" s="5">
        <v>-0.192612137203166</v>
      </c>
      <c r="F1417" s="5">
        <v>0.131537242472266</v>
      </c>
      <c r="G1417" s="5">
        <v>0.247524752475247</v>
      </c>
      <c r="H1417" s="5">
        <v>-0.21967213114754</v>
      </c>
      <c r="I1417" s="5">
        <v>0.799244015119697</v>
      </c>
    </row>
    <row r="1418">
      <c r="A1418" s="2" t="s">
        <v>1443</v>
      </c>
      <c r="B1418" s="8" t="str">
        <f>HYPERLINK("https://www.suredividend.com/sure-analysis-research-database/","Sight Sciences Inc")</f>
        <v>Sight Sciences Inc</v>
      </c>
      <c r="C1418" s="5">
        <v>-0.087209302325581</v>
      </c>
      <c r="D1418" s="5">
        <v>2.14</v>
      </c>
      <c r="E1418" s="5">
        <v>-0.464163822525597</v>
      </c>
      <c r="F1418" s="5">
        <v>-0.087209302325581</v>
      </c>
      <c r="G1418" s="5">
        <v>-0.633177570093457</v>
      </c>
      <c r="H1418" s="5">
        <v>-0.663330950679056</v>
      </c>
      <c r="I1418" s="5">
        <v>-0.859402985074626</v>
      </c>
    </row>
    <row r="1419">
      <c r="A1419" s="2" t="s">
        <v>1444</v>
      </c>
      <c r="B1419" s="8" t="str">
        <f>HYPERLINK("https://www.suredividend.com/sure-analysis-research-database/","Sangamo Therapeutics Inc")</f>
        <v>Sangamo Therapeutics Inc</v>
      </c>
      <c r="C1419" s="5">
        <v>-0.17835450027609</v>
      </c>
      <c r="D1419" s="5">
        <v>-0.04164877629884</v>
      </c>
      <c r="E1419" s="5">
        <v>-0.661818181818181</v>
      </c>
      <c r="F1419" s="5">
        <v>-0.17835450027609</v>
      </c>
      <c r="G1419" s="5">
        <v>-0.875307262569832</v>
      </c>
      <c r="H1419" s="5">
        <v>-0.921821366024518</v>
      </c>
      <c r="I1419" s="5">
        <v>-0.959819981998199</v>
      </c>
    </row>
    <row r="1420">
      <c r="A1420" s="2" t="s">
        <v>1445</v>
      </c>
      <c r="B1420" s="8" t="str">
        <f>HYPERLINK("https://www.suredividend.com/sure-analysis-research-database/","Surgery Partners Inc")</f>
        <v>Surgery Partners Inc</v>
      </c>
      <c r="C1420" s="5">
        <v>0.008440137542982</v>
      </c>
      <c r="D1420" s="5">
        <v>0.438893844781445</v>
      </c>
      <c r="E1420" s="5">
        <v>-0.155055002619172</v>
      </c>
      <c r="F1420" s="5">
        <v>0.008440137542982</v>
      </c>
      <c r="G1420" s="5">
        <v>-0.011642156862745</v>
      </c>
      <c r="H1420" s="5">
        <v>-0.243078366963866</v>
      </c>
      <c r="I1420" s="5">
        <v>1.55423594615993</v>
      </c>
    </row>
    <row r="1421">
      <c r="A1421" s="2" t="s">
        <v>1446</v>
      </c>
      <c r="B1421" s="8" t="str">
        <f>HYPERLINK("https://www.suredividend.com/sure-analysis-research-database/","Shake Shack Inc")</f>
        <v>Shake Shack Inc</v>
      </c>
      <c r="C1421" s="5">
        <v>0.061791689152725</v>
      </c>
      <c r="D1421" s="5">
        <v>0.431169303509729</v>
      </c>
      <c r="E1421" s="5">
        <v>0.035798894445906</v>
      </c>
      <c r="F1421" s="5">
        <v>0.061791689152725</v>
      </c>
      <c r="G1421" s="5">
        <v>0.39242745930644</v>
      </c>
      <c r="H1421" s="5">
        <v>0.253783654612075</v>
      </c>
      <c r="I1421" s="5">
        <v>0.632441402198713</v>
      </c>
    </row>
    <row r="1422">
      <c r="A1422" s="2" t="s">
        <v>1447</v>
      </c>
      <c r="B1422" s="8" t="str">
        <f>HYPERLINK("https://www.suredividend.com/sure-analysis-research-database/","Shore Bancshares Inc.")</f>
        <v>Shore Bancshares Inc.</v>
      </c>
      <c r="C1422" s="5">
        <v>-0.029473684210526</v>
      </c>
      <c r="D1422" s="5">
        <v>0.385854861013688</v>
      </c>
      <c r="E1422" s="5">
        <v>0.200364535867725</v>
      </c>
      <c r="F1422" s="5">
        <v>-0.029473684210526</v>
      </c>
      <c r="G1422" s="5">
        <v>-0.139025847900791</v>
      </c>
      <c r="H1422" s="5">
        <v>-0.236658074700431</v>
      </c>
      <c r="I1422" s="5">
        <v>0.10896392459366</v>
      </c>
    </row>
    <row r="1423">
      <c r="A1423" s="2" t="s">
        <v>1448</v>
      </c>
      <c r="B1423" s="8" t="str">
        <f>HYPERLINK("https://www.suredividend.com/sure-analysis-research-database/","Sharecare Inc")</f>
        <v>Sharecare Inc</v>
      </c>
      <c r="C1423" s="5">
        <v>0.055555555555555</v>
      </c>
      <c r="D1423" s="5">
        <v>0.075471698113207</v>
      </c>
      <c r="E1423" s="5">
        <v>-0.155555555555555</v>
      </c>
      <c r="F1423" s="5">
        <v>0.055555555555555</v>
      </c>
      <c r="G1423" s="5">
        <v>-0.5546875</v>
      </c>
      <c r="H1423" s="5">
        <v>-0.62</v>
      </c>
      <c r="I1423" s="5">
        <v>-0.886</v>
      </c>
    </row>
    <row r="1424">
      <c r="A1424" s="2" t="s">
        <v>1449</v>
      </c>
      <c r="B1424" s="8" t="str">
        <f>HYPERLINK("https://www.suredividend.com/sure-analysis-research-database/","Shenandoah Telecommunications Co.")</f>
        <v>Shenandoah Telecommunications Co.</v>
      </c>
      <c r="C1424" s="5">
        <v>-0.028214616096207</v>
      </c>
      <c r="D1424" s="5">
        <v>-0.081449744239933</v>
      </c>
      <c r="E1424" s="5">
        <v>0.123325170824556</v>
      </c>
      <c r="F1424" s="5">
        <v>-0.028214616096207</v>
      </c>
      <c r="G1424" s="5">
        <v>0.084745412678252</v>
      </c>
      <c r="H1424" s="5">
        <v>-0.056544465000987</v>
      </c>
      <c r="I1424" s="5">
        <v>-0.256714685987603</v>
      </c>
    </row>
    <row r="1425">
      <c r="A1425" s="2" t="s">
        <v>1450</v>
      </c>
      <c r="B1425" s="8" t="str">
        <f>HYPERLINK("https://www.suredividend.com/sure-analysis-research-database/","Shoals Technologies Group Inc")</f>
        <v>Shoals Technologies Group Inc</v>
      </c>
      <c r="C1425" s="5">
        <v>-0.108108108108108</v>
      </c>
      <c r="D1425" s="5">
        <v>-0.082119205298013</v>
      </c>
      <c r="E1425" s="5">
        <v>-0.474601971190295</v>
      </c>
      <c r="F1425" s="5">
        <v>-0.108108108108108</v>
      </c>
      <c r="G1425" s="5">
        <v>-0.499638989169675</v>
      </c>
      <c r="H1425" s="5">
        <v>-0.039501039501039</v>
      </c>
      <c r="I1425" s="5">
        <v>-0.552614590058102</v>
      </c>
    </row>
    <row r="1426">
      <c r="A1426" s="2" t="s">
        <v>1451</v>
      </c>
      <c r="B1426" s="8" t="str">
        <f>HYPERLINK("https://www.suredividend.com/sure-analysis-research-database/","Sunstone Hotel Investors Inc")</f>
        <v>Sunstone Hotel Investors Inc</v>
      </c>
      <c r="C1426" s="5">
        <v>0.015843429636533</v>
      </c>
      <c r="D1426" s="5">
        <v>0.212350402633803</v>
      </c>
      <c r="E1426" s="5">
        <v>0.099843600221986</v>
      </c>
      <c r="F1426" s="5">
        <v>0.015843429636533</v>
      </c>
      <c r="G1426" s="5">
        <v>0.027516708929968</v>
      </c>
      <c r="H1426" s="5">
        <v>0.045854482302031</v>
      </c>
      <c r="I1426" s="5">
        <v>-0.158099622303408</v>
      </c>
    </row>
    <row r="1427">
      <c r="A1427" s="2" t="s">
        <v>1452</v>
      </c>
      <c r="B1427" s="8" t="str">
        <f>HYPERLINK("https://www.suredividend.com/sure-analysis-research-database/","Steven Madden Ltd.")</f>
        <v>Steven Madden Ltd.</v>
      </c>
      <c r="C1427" s="5">
        <v>0.03547619047619</v>
      </c>
      <c r="D1427" s="5">
        <v>0.384820154880782</v>
      </c>
      <c r="E1427" s="5">
        <v>0.318626009284048</v>
      </c>
      <c r="F1427" s="5">
        <v>0.03547619047619</v>
      </c>
      <c r="G1427" s="5">
        <v>0.281851005821236</v>
      </c>
      <c r="H1427" s="5">
        <v>0.136639842767871</v>
      </c>
      <c r="I1427" s="5">
        <v>0.50361642395829</v>
      </c>
    </row>
    <row r="1428">
      <c r="A1428" s="2" t="s">
        <v>1453</v>
      </c>
      <c r="B1428" s="8" t="str">
        <f>HYPERLINK("https://www.suredividend.com/sure-analysis-research-database/","Shyft Group Inc (The)")</f>
        <v>Shyft Group Inc (The)</v>
      </c>
      <c r="C1428" s="5">
        <v>-0.03518821603928</v>
      </c>
      <c r="D1428" s="5">
        <v>0.072364112639161</v>
      </c>
      <c r="E1428" s="5">
        <v>-0.210335958849059</v>
      </c>
      <c r="F1428" s="5">
        <v>-0.03518821603928</v>
      </c>
      <c r="G1428" s="5">
        <v>-0.635523899616048</v>
      </c>
      <c r="H1428" s="5">
        <v>-0.705193249700567</v>
      </c>
      <c r="I1428" s="5">
        <v>0.483448041571775</v>
      </c>
    </row>
    <row r="1429">
      <c r="A1429" s="2" t="s">
        <v>1454</v>
      </c>
      <c r="B1429" s="8" t="str">
        <f>HYPERLINK("https://www.suredividend.com/sure-analysis-research-database/","SI-BONE Inc")</f>
        <v>SI-BONE Inc</v>
      </c>
      <c r="C1429" s="5">
        <v>-0.020485945688423</v>
      </c>
      <c r="D1429" s="5">
        <v>0.221628045157457</v>
      </c>
      <c r="E1429" s="5">
        <v>-0.19906505648617</v>
      </c>
      <c r="F1429" s="5">
        <v>-0.020485945688423</v>
      </c>
      <c r="G1429" s="5">
        <v>0.195348837209302</v>
      </c>
      <c r="H1429" s="5">
        <v>0.100642398286937</v>
      </c>
      <c r="I1429" s="5">
        <v>0.132158590308369</v>
      </c>
    </row>
    <row r="1430">
      <c r="A1430" s="2" t="s">
        <v>1455</v>
      </c>
      <c r="B1430" s="8" t="str">
        <f>HYPERLINK("https://www.suredividend.com/sure-analysis-research-database/","Signet Jewelers Ltd")</f>
        <v>Signet Jewelers Ltd</v>
      </c>
      <c r="C1430" s="5">
        <v>-0.048578474753827</v>
      </c>
      <c r="D1430" s="5">
        <v>0.506932243554353</v>
      </c>
      <c r="E1430" s="5">
        <v>0.282390402918222</v>
      </c>
      <c r="F1430" s="5">
        <v>-0.048578474753827</v>
      </c>
      <c r="G1430" s="5">
        <v>0.355415471253502</v>
      </c>
      <c r="H1430" s="5">
        <v>0.220121640650747</v>
      </c>
      <c r="I1430" s="5">
        <v>3.73827995923059</v>
      </c>
    </row>
    <row r="1431">
      <c r="A1431" s="2" t="s">
        <v>1456</v>
      </c>
      <c r="B1431" s="8" t="str">
        <f>HYPERLINK("https://www.suredividend.com/sure-analysis-research-database/","SIGA Technologies Inc")</f>
        <v>SIGA Technologies Inc</v>
      </c>
      <c r="C1431" s="5">
        <v>-0.099999999999999</v>
      </c>
      <c r="D1431" s="5">
        <v>0.012048192771084</v>
      </c>
      <c r="E1431" s="5">
        <v>-0.088607594936708</v>
      </c>
      <c r="F1431" s="5">
        <v>-0.099999999999999</v>
      </c>
      <c r="G1431" s="5">
        <v>-0.203099059214167</v>
      </c>
      <c r="H1431" s="5">
        <v>-0.025729253252401</v>
      </c>
      <c r="I1431" s="5">
        <v>-0.007248660573589</v>
      </c>
    </row>
    <row r="1432">
      <c r="A1432" s="2" t="s">
        <v>1457</v>
      </c>
      <c r="B1432" s="8" t="str">
        <f>HYPERLINK("https://www.suredividend.com/sure-analysis-research-database/","Selective Insurance Group Inc.")</f>
        <v>Selective Insurance Group Inc.</v>
      </c>
      <c r="C1432" s="5">
        <v>0.062525130679533</v>
      </c>
      <c r="D1432" s="5">
        <v>0.035779975639082</v>
      </c>
      <c r="E1432" s="5">
        <v>0.025335586420172</v>
      </c>
      <c r="F1432" s="5">
        <v>0.062525130679533</v>
      </c>
      <c r="G1432" s="5">
        <v>0.160694088476295</v>
      </c>
      <c r="H1432" s="5">
        <v>0.395543502800988</v>
      </c>
      <c r="I1432" s="5">
        <v>0.916535513022287</v>
      </c>
    </row>
    <row r="1433">
      <c r="A1433" s="2" t="s">
        <v>1458</v>
      </c>
      <c r="B1433" s="8" t="str">
        <f>HYPERLINK("https://www.suredividend.com/sure-analysis-research-database/","Silk Road Medical Inc")</f>
        <v>Silk Road Medical Inc</v>
      </c>
      <c r="C1433" s="5">
        <v>0.281988590057049</v>
      </c>
      <c r="D1433" s="5">
        <v>1.3372956909361</v>
      </c>
      <c r="E1433" s="5">
        <v>-0.320518358531317</v>
      </c>
      <c r="F1433" s="5">
        <v>0.281988590057049</v>
      </c>
      <c r="G1433" s="5">
        <v>-0.713739763421292</v>
      </c>
      <c r="H1433" s="5">
        <v>-0.484600262123197</v>
      </c>
      <c r="I1433" s="5">
        <v>-0.56522940851299</v>
      </c>
    </row>
    <row r="1434">
      <c r="A1434" s="2" t="s">
        <v>1459</v>
      </c>
      <c r="B1434" s="8" t="str">
        <f>HYPERLINK("https://www.suredividend.com/sure-analysis-research-database/","SITE Centers Corp")</f>
        <v>SITE Centers Corp</v>
      </c>
      <c r="C1434" s="5">
        <v>-0.006603081438004</v>
      </c>
      <c r="D1434" s="5">
        <v>0.24731697880298</v>
      </c>
      <c r="E1434" s="5">
        <v>0.006960970966206</v>
      </c>
      <c r="F1434" s="5">
        <v>-0.006603081438004</v>
      </c>
      <c r="G1434" s="5">
        <v>0.062277384632282</v>
      </c>
      <c r="H1434" s="5">
        <v>-0.01068229311277</v>
      </c>
      <c r="I1434" s="5">
        <v>0.253065568460506</v>
      </c>
    </row>
    <row r="1435">
      <c r="A1435" s="2" t="s">
        <v>1460</v>
      </c>
      <c r="B1435" s="8" t="str">
        <f>HYPERLINK("https://www.suredividend.com/sure-analysis-research-database/","SiTime Corp")</f>
        <v>SiTime Corp</v>
      </c>
      <c r="C1435" s="5">
        <v>-0.024246395806028</v>
      </c>
      <c r="D1435" s="5">
        <v>0.203840323395654</v>
      </c>
      <c r="E1435" s="5">
        <v>-0.047039999999999</v>
      </c>
      <c r="F1435" s="5">
        <v>-0.024246395806028</v>
      </c>
      <c r="G1435" s="5">
        <v>-0.013743997350554</v>
      </c>
      <c r="H1435" s="5">
        <v>-0.43273489213772</v>
      </c>
      <c r="I1435" s="5">
        <v>5.38713136729222</v>
      </c>
    </row>
    <row r="1436">
      <c r="A1436" s="2" t="s">
        <v>1461</v>
      </c>
      <c r="B1436" s="8" t="str">
        <f>HYPERLINK("https://www.suredividend.com/sure-analysis-SJW/","SJW Group")</f>
        <v>SJW Group</v>
      </c>
      <c r="C1436" s="5">
        <v>-0.068553940321346</v>
      </c>
      <c r="D1436" s="5">
        <v>0.043727859149036</v>
      </c>
      <c r="E1436" s="5">
        <v>-0.128195506490195</v>
      </c>
      <c r="F1436" s="5">
        <v>-0.068553940321346</v>
      </c>
      <c r="G1436" s="5">
        <v>-0.193462902208536</v>
      </c>
      <c r="H1436" s="5">
        <v>-0.071330711232214</v>
      </c>
      <c r="I1436" s="5">
        <v>0.156331804728669</v>
      </c>
    </row>
    <row r="1437">
      <c r="A1437" s="2" t="s">
        <v>1462</v>
      </c>
      <c r="B1437" s="8" t="str">
        <f>HYPERLINK("https://www.suredividend.com/sure-analysis-research-database/","Skillsoft Corp.")</f>
        <v>Skillsoft Corp.</v>
      </c>
      <c r="C1437" s="5">
        <v>-0.129692832764504</v>
      </c>
      <c r="D1437" s="5">
        <v>-0.083832335329341</v>
      </c>
      <c r="E1437" s="5">
        <v>-0.411538461538461</v>
      </c>
      <c r="F1437" s="5">
        <v>-0.129692832764504</v>
      </c>
      <c r="G1437" s="5">
        <v>-0.584239130434782</v>
      </c>
      <c r="H1437" s="5">
        <v>-0.892857142857142</v>
      </c>
      <c r="I1437" s="5">
        <v>0.545454545454545</v>
      </c>
    </row>
    <row r="1438">
      <c r="A1438" s="2" t="s">
        <v>1463</v>
      </c>
      <c r="B1438" s="8" t="str">
        <f>HYPERLINK("https://www.suredividend.com/sure-analysis-research-database/","Beauty Health Company (The)")</f>
        <v>Beauty Health Company (The)</v>
      </c>
      <c r="C1438" s="5">
        <v>0.003215434083601</v>
      </c>
      <c r="D1438" s="5">
        <v>-0.312775330396475</v>
      </c>
      <c r="E1438" s="5">
        <v>-0.617177914110429</v>
      </c>
      <c r="F1438" s="5">
        <v>0.003215434083601</v>
      </c>
      <c r="G1438" s="5">
        <v>-0.727986050566695</v>
      </c>
      <c r="H1438" s="5">
        <v>-0.75</v>
      </c>
      <c r="I1438" s="5">
        <v>-0.712174466554119</v>
      </c>
    </row>
    <row r="1439">
      <c r="A1439" s="2" t="s">
        <v>1464</v>
      </c>
      <c r="B1439" s="8" t="str">
        <f>HYPERLINK("https://www.suredividend.com/sure-analysis-research-database/","Skillz Inc")</f>
        <v>Skillz Inc</v>
      </c>
      <c r="C1439" s="5">
        <v>-0.089743589743589</v>
      </c>
      <c r="D1439" s="5">
        <v>0.218884120171673</v>
      </c>
      <c r="E1439" s="5">
        <v>-0.52228763666947</v>
      </c>
      <c r="F1439" s="5">
        <v>-0.089743589743589</v>
      </c>
      <c r="G1439" s="5">
        <v>-0.651832781659924</v>
      </c>
      <c r="H1439" s="5">
        <v>-0.934259259259259</v>
      </c>
      <c r="I1439" s="5">
        <v>-0.426262626262626</v>
      </c>
    </row>
    <row r="1440">
      <c r="A1440" s="2" t="s">
        <v>1465</v>
      </c>
      <c r="B1440" s="8" t="str">
        <f>HYPERLINK("https://www.suredividend.com/sure-analysis-SKT/","Tanger Inc.")</f>
        <v>Tanger Inc.</v>
      </c>
      <c r="C1440" s="5">
        <v>0.006492678894606</v>
      </c>
      <c r="D1440" s="5">
        <v>0.301912832131434</v>
      </c>
      <c r="E1440" s="5">
        <v>0.210915766000604</v>
      </c>
      <c r="F1440" s="5">
        <v>0.006492678894606</v>
      </c>
      <c r="G1440" s="5">
        <v>0.519340812770378</v>
      </c>
      <c r="H1440" s="5">
        <v>0.826809956246447</v>
      </c>
      <c r="I1440" s="5">
        <v>0.611304783779687</v>
      </c>
    </row>
    <row r="1441">
      <c r="A1441" s="2" t="s">
        <v>1466</v>
      </c>
      <c r="B1441" s="8" t="str">
        <f>HYPERLINK("https://www.suredividend.com/sure-analysis-research-database/","Skyward Specialty Insurance Group Inc")</f>
        <v>Skyward Specialty Insurance Group Inc</v>
      </c>
      <c r="C1441" s="5">
        <v>-0.069067296340023</v>
      </c>
      <c r="D1441" s="5">
        <v>0.125624553890078</v>
      </c>
      <c r="E1441" s="5">
        <v>0.29421419778416</v>
      </c>
      <c r="F1441" s="5">
        <v>-0.069067296340023</v>
      </c>
      <c r="G1441" s="5">
        <v>0.687533440342428</v>
      </c>
      <c r="H1441" s="5">
        <v>0.651308900523559</v>
      </c>
      <c r="I1441" s="5">
        <v>0.651308900523559</v>
      </c>
    </row>
    <row r="1442">
      <c r="A1442" s="2" t="s">
        <v>1467</v>
      </c>
      <c r="B1442" s="8" t="str">
        <f>HYPERLINK("https://www.suredividend.com/sure-analysis-research-database/","Skyline Champion Corp")</f>
        <v>Skyline Champion Corp</v>
      </c>
      <c r="C1442" s="5">
        <v>-0.03985995152168</v>
      </c>
      <c r="D1442" s="5">
        <v>0.214443876681996</v>
      </c>
      <c r="E1442" s="5">
        <v>0.034532791642484</v>
      </c>
      <c r="F1442" s="5">
        <v>-0.03985995152168</v>
      </c>
      <c r="G1442" s="5">
        <v>0.219637358877865</v>
      </c>
      <c r="H1442" s="5">
        <v>0.125670982001894</v>
      </c>
      <c r="I1442" s="5">
        <v>3.32645631067961</v>
      </c>
    </row>
    <row r="1443">
      <c r="A1443" s="2" t="s">
        <v>1468</v>
      </c>
      <c r="B1443" s="8" t="str">
        <f>HYPERLINK("https://www.suredividend.com/sure-analysis-research-database/","SkyWater Technology Inc")</f>
        <v>SkyWater Technology Inc</v>
      </c>
      <c r="C1443" s="5">
        <v>-0.032224532224532</v>
      </c>
      <c r="D1443" s="5">
        <v>0.869477911646586</v>
      </c>
      <c r="E1443" s="5">
        <v>0.013057671381937</v>
      </c>
      <c r="F1443" s="5">
        <v>-0.032224532224532</v>
      </c>
      <c r="G1443" s="5">
        <v>-0.128277153558052</v>
      </c>
      <c r="H1443" s="5">
        <v>-0.018967334035827</v>
      </c>
      <c r="I1443" s="5">
        <v>-0.475197294250281</v>
      </c>
    </row>
    <row r="1444">
      <c r="A1444" s="2" t="s">
        <v>1469</v>
      </c>
      <c r="B1444" s="8" t="str">
        <f>HYPERLINK("https://www.suredividend.com/sure-analysis-research-database/","Skywest Inc.")</f>
        <v>Skywest Inc.</v>
      </c>
      <c r="C1444" s="5">
        <v>0.045019157088122</v>
      </c>
      <c r="D1444" s="5">
        <v>0.290513366453749</v>
      </c>
      <c r="E1444" s="5">
        <v>0.224741805118994</v>
      </c>
      <c r="F1444" s="5">
        <v>0.045019157088122</v>
      </c>
      <c r="G1444" s="5">
        <v>1.69249753208292</v>
      </c>
      <c r="H1444" s="5">
        <v>0.471937398812736</v>
      </c>
      <c r="I1444" s="5">
        <v>0.109734538478595</v>
      </c>
    </row>
    <row r="1445">
      <c r="A1445" s="2" t="s">
        <v>1470</v>
      </c>
      <c r="B1445" s="8" t="str">
        <f>HYPERLINK("https://www.suredividend.com/sure-analysis-research-database/","Silicon Laboratories Inc")</f>
        <v>Silicon Laboratories Inc</v>
      </c>
      <c r="C1445" s="5">
        <v>-0.006123837604899</v>
      </c>
      <c r="D1445" s="5">
        <v>0.385101675271309</v>
      </c>
      <c r="E1445" s="5">
        <v>-0.103641074594299</v>
      </c>
      <c r="F1445" s="5">
        <v>-0.006123837604899</v>
      </c>
      <c r="G1445" s="5">
        <v>-0.170232910433629</v>
      </c>
      <c r="H1445" s="5">
        <v>-0.157631680123029</v>
      </c>
      <c r="I1445" s="5">
        <v>0.467842786958463</v>
      </c>
    </row>
    <row r="1446">
      <c r="A1446" s="2" t="s">
        <v>1471</v>
      </c>
      <c r="B1446" s="8" t="str">
        <f>HYPERLINK("https://www.suredividend.com/sure-analysis-research-database/","U.S. Silica Holdings Inc")</f>
        <v>U.S. Silica Holdings Inc</v>
      </c>
      <c r="C1446" s="5">
        <v>-0.036251105216622</v>
      </c>
      <c r="D1446" s="5">
        <v>-0.118835893290218</v>
      </c>
      <c r="E1446" s="5">
        <v>-0.16920731707317</v>
      </c>
      <c r="F1446" s="5">
        <v>-0.036251105216622</v>
      </c>
      <c r="G1446" s="5">
        <v>-0.0848026868178</v>
      </c>
      <c r="H1446" s="5">
        <v>0.153439153439153</v>
      </c>
      <c r="I1446" s="5">
        <v>-0.152100689987787</v>
      </c>
    </row>
    <row r="1447">
      <c r="A1447" s="2" t="s">
        <v>1472</v>
      </c>
      <c r="B1447" s="8" t="str">
        <f>HYPERLINK("https://www.suredividend.com/sure-analysis-research-database/","Solid Power Inc")</f>
        <v>Solid Power Inc</v>
      </c>
      <c r="C1447" s="5">
        <v>0.193103448275862</v>
      </c>
      <c r="D1447" s="5">
        <v>0.31060606060606</v>
      </c>
      <c r="E1447" s="5">
        <v>-0.368613138686131</v>
      </c>
      <c r="F1447" s="5">
        <v>0.193103448275862</v>
      </c>
      <c r="G1447" s="5">
        <v>-0.497093023255814</v>
      </c>
      <c r="H1447" s="5">
        <v>-0.710702341137123</v>
      </c>
      <c r="I1447" s="5">
        <v>-0.827</v>
      </c>
    </row>
    <row r="1448">
      <c r="A1448" s="2" t="s">
        <v>1473</v>
      </c>
      <c r="B1448" s="8" t="str">
        <f>HYPERLINK("https://www.suredividend.com/sure-analysis-research-database/","SomaLogic Inc")</f>
        <v>SomaLogic Inc</v>
      </c>
      <c r="C1448" s="5">
        <v>0.0</v>
      </c>
      <c r="D1448" s="5">
        <v>0.0</v>
      </c>
      <c r="E1448" s="5">
        <v>0.0</v>
      </c>
      <c r="F1448" s="5">
        <v>0.0</v>
      </c>
      <c r="G1448" s="5">
        <v>0.0</v>
      </c>
      <c r="H1448" s="5">
        <v>0.0</v>
      </c>
      <c r="I1448" s="5">
        <v>0.0</v>
      </c>
    </row>
    <row r="1449">
      <c r="A1449" s="2" t="s">
        <v>1474</v>
      </c>
      <c r="B1449" s="8" t="str">
        <f>HYPERLINK("https://www.suredividend.com/sure-analysis-research-database/","Simulations Plus Inc.")</f>
        <v>Simulations Plus Inc.</v>
      </c>
      <c r="C1449" s="5">
        <v>-0.109446413241072</v>
      </c>
      <c r="D1449" s="5">
        <v>0.17350645974988</v>
      </c>
      <c r="E1449" s="5">
        <v>-0.189378884268686</v>
      </c>
      <c r="F1449" s="5">
        <v>-0.109446413241072</v>
      </c>
      <c r="G1449" s="5">
        <v>0.016312675386201</v>
      </c>
      <c r="H1449" s="5">
        <v>-0.010438590155196</v>
      </c>
      <c r="I1449" s="5">
        <v>1.18125319117396</v>
      </c>
    </row>
    <row r="1450">
      <c r="A1450" s="2" t="s">
        <v>1475</v>
      </c>
      <c r="B1450" s="8" t="str">
        <f>HYPERLINK("https://www.suredividend.com/sure-analysis-research-database/","SelectQuote Inc")</f>
        <v>SelectQuote Inc</v>
      </c>
      <c r="C1450" s="5">
        <v>-0.131386861313868</v>
      </c>
      <c r="D1450" s="5">
        <v>-0.040322580645161</v>
      </c>
      <c r="E1450" s="5">
        <v>-0.331460674157303</v>
      </c>
      <c r="F1450" s="5">
        <v>-0.131386861313868</v>
      </c>
      <c r="G1450" s="5">
        <v>0.473501733531451</v>
      </c>
      <c r="H1450" s="5">
        <v>-0.833333333333333</v>
      </c>
      <c r="I1450" s="5">
        <v>-0.955925925925926</v>
      </c>
    </row>
    <row r="1451">
      <c r="A1451" s="2" t="s">
        <v>1476</v>
      </c>
      <c r="B1451" s="8" t="str">
        <f>HYPERLINK("https://www.suredividend.com/sure-analysis-research-database/","Sylvamo Corp")</f>
        <v>Sylvamo Corp</v>
      </c>
      <c r="C1451" s="5">
        <v>-0.018708054378733</v>
      </c>
      <c r="D1451" s="5">
        <v>0.108865600396321</v>
      </c>
      <c r="E1451" s="5">
        <v>0.010254398508451</v>
      </c>
      <c r="F1451" s="5">
        <v>-0.018708054378733</v>
      </c>
      <c r="G1451" s="5">
        <v>0.05898010709185</v>
      </c>
      <c r="H1451" s="5">
        <v>0.793389543677833</v>
      </c>
      <c r="I1451" s="5">
        <v>0.916</v>
      </c>
    </row>
    <row r="1452">
      <c r="A1452" s="2" t="s">
        <v>1477</v>
      </c>
      <c r="B1452" s="8" t="str">
        <f>HYPERLINK("https://www.suredividend.com/sure-analysis-research-database/","SM Energy Co")</f>
        <v>SM Energy Co</v>
      </c>
      <c r="C1452" s="5">
        <v>-0.026855567611344</v>
      </c>
      <c r="D1452" s="5">
        <v>-0.070543492812764</v>
      </c>
      <c r="E1452" s="5">
        <v>0.055330983774532</v>
      </c>
      <c r="F1452" s="5">
        <v>-0.026855567611344</v>
      </c>
      <c r="G1452" s="5">
        <v>0.151540096570874</v>
      </c>
      <c r="H1452" s="5">
        <v>0.143378226711559</v>
      </c>
      <c r="I1452" s="5">
        <v>1.00085392538826</v>
      </c>
    </row>
    <row r="1453">
      <c r="A1453" s="2" t="s">
        <v>1478</v>
      </c>
      <c r="B1453" s="8" t="str">
        <f>HYPERLINK("https://www.suredividend.com/sure-analysis-research-database/","Southern Missouri Bancorp, Inc.")</f>
        <v>Southern Missouri Bancorp, Inc.</v>
      </c>
      <c r="C1453" s="5">
        <v>-0.063307735530998</v>
      </c>
      <c r="D1453" s="5">
        <v>0.26004686437048</v>
      </c>
      <c r="E1453" s="5">
        <v>0.091206633209687</v>
      </c>
      <c r="F1453" s="5">
        <v>-0.063307735530998</v>
      </c>
      <c r="G1453" s="5">
        <v>0.089309907688554</v>
      </c>
      <c r="H1453" s="5">
        <v>-0.047287025500931</v>
      </c>
      <c r="I1453" s="5">
        <v>0.599695478885043</v>
      </c>
    </row>
    <row r="1454">
      <c r="A1454" s="2" t="s">
        <v>1479</v>
      </c>
      <c r="B1454" s="8" t="str">
        <f>HYPERLINK("https://www.suredividend.com/sure-analysis-research-database/","SmartFinancial Inc")</f>
        <v>SmartFinancial Inc</v>
      </c>
      <c r="C1454" s="5">
        <v>0.011841567986933</v>
      </c>
      <c r="D1454" s="5">
        <v>0.23008801235052</v>
      </c>
      <c r="E1454" s="5">
        <v>0.027951315429225</v>
      </c>
      <c r="F1454" s="5">
        <v>0.011841567986933</v>
      </c>
      <c r="G1454" s="5">
        <v>-0.041796689210352</v>
      </c>
      <c r="H1454" s="5">
        <v>-0.030368483454048</v>
      </c>
      <c r="I1454" s="5">
        <v>0.359275491900846</v>
      </c>
    </row>
    <row r="1455">
      <c r="A1455" s="2" t="s">
        <v>1480</v>
      </c>
      <c r="B1455" s="8" t="str">
        <f>HYPERLINK("https://www.suredividend.com/sure-analysis-research-database/","Super Micro Computer Inc")</f>
        <v>Super Micro Computer Inc</v>
      </c>
      <c r="C1455" s="5">
        <v>0.743720537536058</v>
      </c>
      <c r="D1455" s="5">
        <v>1.053314001657</v>
      </c>
      <c r="E1455" s="5">
        <v>0.481823617339312</v>
      </c>
      <c r="F1455" s="5">
        <v>0.743720537536058</v>
      </c>
      <c r="G1455" s="5">
        <v>5.67119784656796</v>
      </c>
      <c r="H1455" s="5">
        <v>11.3454545454545</v>
      </c>
      <c r="I1455" s="5">
        <v>30.6722044728434</v>
      </c>
    </row>
    <row r="1456">
      <c r="A1456" s="2" t="s">
        <v>1481</v>
      </c>
      <c r="B1456" s="8" t="str">
        <f>HYPERLINK("https://www.suredividend.com/sure-analysis-research-database/","Summit Financial Group Inc")</f>
        <v>Summit Financial Group Inc</v>
      </c>
      <c r="C1456" s="5">
        <v>-0.023460410557184</v>
      </c>
      <c r="D1456" s="5">
        <v>0.450523921302906</v>
      </c>
      <c r="E1456" s="5">
        <v>0.380240954977525</v>
      </c>
      <c r="F1456" s="5">
        <v>-0.023460410557184</v>
      </c>
      <c r="G1456" s="5">
        <v>0.25502512562814</v>
      </c>
      <c r="H1456" s="5">
        <v>0.196626925503286</v>
      </c>
      <c r="I1456" s="5">
        <v>0.590544829269845</v>
      </c>
    </row>
    <row r="1457">
      <c r="A1457" s="2" t="s">
        <v>1482</v>
      </c>
      <c r="B1457" s="8" t="str">
        <f>HYPERLINK("https://www.suredividend.com/sure-analysis-research-database/","Standard Motor Products, Inc.")</f>
        <v>Standard Motor Products, Inc.</v>
      </c>
      <c r="C1457" s="5">
        <v>0.023612157749309</v>
      </c>
      <c r="D1457" s="5">
        <v>0.23719165085389</v>
      </c>
      <c r="E1457" s="5">
        <v>0.103403084654709</v>
      </c>
      <c r="F1457" s="5">
        <v>0.023612157749309</v>
      </c>
      <c r="G1457" s="5">
        <v>0.087223325009071</v>
      </c>
      <c r="H1457" s="5">
        <v>-0.067787304521288</v>
      </c>
      <c r="I1457" s="5">
        <v>-0.067729721691584</v>
      </c>
    </row>
    <row r="1458">
      <c r="A1458" s="2" t="s">
        <v>1483</v>
      </c>
      <c r="B1458" s="8" t="str">
        <f>HYPERLINK("https://www.suredividend.com/sure-analysis-research-database/","Simply Good Foods Co")</f>
        <v>Simply Good Foods Co</v>
      </c>
      <c r="C1458" s="5">
        <v>-0.01010101010101</v>
      </c>
      <c r="D1458" s="5">
        <v>0.078998073217726</v>
      </c>
      <c r="E1458" s="5">
        <v>0.028871391076115</v>
      </c>
      <c r="F1458" s="5">
        <v>-0.01010101010101</v>
      </c>
      <c r="G1458" s="5">
        <v>0.08919144206724</v>
      </c>
      <c r="H1458" s="5">
        <v>0.141858432857559</v>
      </c>
      <c r="I1458" s="5">
        <v>1.04486176317162</v>
      </c>
    </row>
    <row r="1459">
      <c r="A1459" s="2" t="s">
        <v>1484</v>
      </c>
      <c r="B1459" s="8" t="str">
        <f>HYPERLINK("https://www.suredividend.com/sure-analysis-research-database/","NuScale Power Corporation")</f>
        <v>NuScale Power Corporation</v>
      </c>
      <c r="C1459" s="5">
        <v>-0.094224924012158</v>
      </c>
      <c r="D1459" s="5">
        <v>-0.06875</v>
      </c>
      <c r="E1459" s="5">
        <v>-0.577304964539007</v>
      </c>
      <c r="F1459" s="5">
        <v>-0.094224924012158</v>
      </c>
      <c r="G1459" s="5">
        <v>-0.730316742081448</v>
      </c>
      <c r="H1459" s="5">
        <v>-0.701701701701701</v>
      </c>
      <c r="I1459" s="5">
        <v>-0.700502512562814</v>
      </c>
    </row>
    <row r="1460">
      <c r="A1460" s="2" t="s">
        <v>1485</v>
      </c>
      <c r="B1460" s="8" t="str">
        <f>HYPERLINK("https://www.suredividend.com/sure-analysis-research-database/","SmartRent Inc")</f>
        <v>SmartRent Inc</v>
      </c>
      <c r="C1460" s="5">
        <v>-0.012539184952978</v>
      </c>
      <c r="D1460" s="5">
        <v>0.346153846153846</v>
      </c>
      <c r="E1460" s="5">
        <v>-0.200507614213198</v>
      </c>
      <c r="F1460" s="5">
        <v>-0.012539184952978</v>
      </c>
      <c r="G1460" s="5">
        <v>0.097560975609755</v>
      </c>
      <c r="H1460" s="5">
        <v>-0.549356223175965</v>
      </c>
      <c r="I1460" s="5">
        <v>-0.716216216216216</v>
      </c>
    </row>
    <row r="1461">
      <c r="A1461" s="2" t="s">
        <v>1486</v>
      </c>
      <c r="B1461" s="8" t="str">
        <f>HYPERLINK("https://www.suredividend.com/sure-analysis-research-database/","Semtech Corp.")</f>
        <v>Semtech Corp.</v>
      </c>
      <c r="C1461" s="5">
        <v>-0.025559105431309</v>
      </c>
      <c r="D1461" s="5">
        <v>0.472413793103448</v>
      </c>
      <c r="E1461" s="5">
        <v>-0.25061425061425</v>
      </c>
      <c r="F1461" s="5">
        <v>-0.025559105431309</v>
      </c>
      <c r="G1461" s="5">
        <v>-0.355957767722473</v>
      </c>
      <c r="H1461" s="5">
        <v>-0.685242518059855</v>
      </c>
      <c r="I1461" s="5">
        <v>-0.551564797311489</v>
      </c>
    </row>
    <row r="1462">
      <c r="A1462" s="2" t="s">
        <v>1487</v>
      </c>
      <c r="B1462" s="8" t="str">
        <f>HYPERLINK("https://www.suredividend.com/sure-analysis-research-database/","Sleep Number Corp")</f>
        <v>Sleep Number Corp</v>
      </c>
      <c r="C1462" s="5">
        <v>-0.217127444369521</v>
      </c>
      <c r="D1462" s="5">
        <v>-0.29891304347826</v>
      </c>
      <c r="E1462" s="5">
        <v>-0.572690467427309</v>
      </c>
      <c r="F1462" s="5">
        <v>-0.217127444369521</v>
      </c>
      <c r="G1462" s="5">
        <v>-0.645820622330689</v>
      </c>
      <c r="H1462" s="5">
        <v>-0.840346534653465</v>
      </c>
      <c r="I1462" s="5">
        <v>-0.669701280227596</v>
      </c>
    </row>
    <row r="1463">
      <c r="A1463" s="2" t="s">
        <v>1488</v>
      </c>
      <c r="B1463" s="8" t="str">
        <f>HYPERLINK("https://www.suredividend.com/sure-analysis-research-database/","Science 37 Holdings Inc")</f>
        <v>Science 37 Holdings Inc</v>
      </c>
      <c r="C1463" s="5">
        <v>0.061797752808988</v>
      </c>
      <c r="D1463" s="5">
        <v>-0.233783783783783</v>
      </c>
      <c r="E1463" s="5">
        <v>0.053120356612184</v>
      </c>
      <c r="F1463" s="5">
        <v>0.061797752808988</v>
      </c>
      <c r="G1463" s="5">
        <v>-0.352591915962548</v>
      </c>
      <c r="H1463" s="5">
        <v>-0.964694894146949</v>
      </c>
      <c r="I1463" s="5">
        <v>-0.435540069686411</v>
      </c>
    </row>
    <row r="1464">
      <c r="A1464" s="2" t="s">
        <v>1489</v>
      </c>
      <c r="B1464" s="8" t="str">
        <f>HYPERLINK("https://www.suredividend.com/sure-analysis-research-database/","Sun Country Airlines Holdings Inc")</f>
        <v>Sun Country Airlines Holdings Inc</v>
      </c>
      <c r="C1464" s="5">
        <v>-0.09090909090909</v>
      </c>
      <c r="D1464" s="5">
        <v>0.109387121799844</v>
      </c>
      <c r="E1464" s="5">
        <v>-0.329268292682926</v>
      </c>
      <c r="F1464" s="5">
        <v>-0.09090909090909</v>
      </c>
      <c r="G1464" s="5">
        <v>-0.234884965222043</v>
      </c>
      <c r="H1464" s="5">
        <v>-0.438995684582189</v>
      </c>
      <c r="I1464" s="5">
        <v>-0.606926882902693</v>
      </c>
    </row>
    <row r="1465">
      <c r="A1465" s="2" t="s">
        <v>1490</v>
      </c>
      <c r="B1465" s="8" t="str">
        <f>HYPERLINK("https://www.suredividend.com/sure-analysis-research-database/","Syndax Pharmaceuticals Inc")</f>
        <v>Syndax Pharmaceuticals Inc</v>
      </c>
      <c r="C1465" s="5">
        <v>-0.02360018509949</v>
      </c>
      <c r="D1465" s="5">
        <v>0.716842961757526</v>
      </c>
      <c r="E1465" s="5">
        <v>-0.006123410268487</v>
      </c>
      <c r="F1465" s="5">
        <v>-0.02360018509949</v>
      </c>
      <c r="G1465" s="5">
        <v>-0.250177683013503</v>
      </c>
      <c r="H1465" s="5">
        <v>0.352564102564102</v>
      </c>
      <c r="I1465" s="5">
        <v>3.00379506641366</v>
      </c>
    </row>
    <row r="1466">
      <c r="A1466" s="2" t="s">
        <v>1491</v>
      </c>
      <c r="B1466" s="8" t="str">
        <f>HYPERLINK("https://www.suredividend.com/sure-analysis-research-database/","StoneX Group Inc")</f>
        <v>StoneX Group Inc</v>
      </c>
      <c r="C1466" s="5">
        <v>-0.092103480969795</v>
      </c>
      <c r="D1466" s="5">
        <v>0.092049527533398</v>
      </c>
      <c r="E1466" s="5">
        <v>0.10307125448642</v>
      </c>
      <c r="F1466" s="5">
        <v>-0.092103480969795</v>
      </c>
      <c r="G1466" s="5">
        <v>0.160357091542359</v>
      </c>
      <c r="H1466" s="5">
        <v>0.571014397645002</v>
      </c>
      <c r="I1466" s="5">
        <v>0.786990135963743</v>
      </c>
    </row>
    <row r="1467">
      <c r="A1467" s="2" t="s">
        <v>1492</v>
      </c>
      <c r="B1467" s="8" t="str">
        <f>HYPERLINK("https://www.suredividend.com/sure-analysis-research-database/","Snap One Holdings Corp")</f>
        <v>Snap One Holdings Corp</v>
      </c>
      <c r="C1467" s="5">
        <v>-0.031425364758698</v>
      </c>
      <c r="D1467" s="5">
        <v>0.190344827586206</v>
      </c>
      <c r="E1467" s="5">
        <v>-0.133534136546184</v>
      </c>
      <c r="F1467" s="5">
        <v>-0.031425364758698</v>
      </c>
      <c r="G1467" s="5">
        <v>-0.108471074380165</v>
      </c>
      <c r="H1467" s="5">
        <v>-0.513528748590755</v>
      </c>
      <c r="I1467" s="5">
        <v>-0.478549848942598</v>
      </c>
    </row>
    <row r="1468">
      <c r="A1468" s="2" t="s">
        <v>1493</v>
      </c>
      <c r="B1468" s="8" t="str">
        <f>HYPERLINK("https://www.suredividend.com/sure-analysis-research-database/","Solaris Oilfield Infrastructure Inc")</f>
        <v>Solaris Oilfield Infrastructure Inc</v>
      </c>
      <c r="C1468" s="5">
        <v>-0.016331658291457</v>
      </c>
      <c r="D1468" s="5">
        <v>-0.112828298851095</v>
      </c>
      <c r="E1468" s="5">
        <v>-0.22247378455672</v>
      </c>
      <c r="F1468" s="5">
        <v>-0.016331658291457</v>
      </c>
      <c r="G1468" s="5">
        <v>-0.198542432213885</v>
      </c>
      <c r="H1468" s="5">
        <v>0.105136130753271</v>
      </c>
      <c r="I1468" s="5">
        <v>-0.342663095947681</v>
      </c>
    </row>
    <row r="1469">
      <c r="A1469" s="2" t="s">
        <v>1494</v>
      </c>
      <c r="B1469" s="8" t="str">
        <f>HYPERLINK("https://www.suredividend.com/sure-analysis-research-database/","Sonder Holdings Inc")</f>
        <v>Sonder Holdings Inc</v>
      </c>
      <c r="C1469" s="5">
        <v>-0.227138643067846</v>
      </c>
      <c r="D1469" s="5">
        <v>-0.636615811373092</v>
      </c>
      <c r="E1469" s="5">
        <v>-0.771816756662602</v>
      </c>
      <c r="F1469" s="5">
        <v>-0.227138643067846</v>
      </c>
      <c r="G1469" s="5">
        <v>-0.906428571428571</v>
      </c>
      <c r="H1469" s="5">
        <v>-0.985313901345291</v>
      </c>
      <c r="I1469" s="5">
        <v>-0.733197556008146</v>
      </c>
    </row>
    <row r="1470">
      <c r="A1470" s="2" t="s">
        <v>1495</v>
      </c>
      <c r="B1470" s="8" t="str">
        <f>HYPERLINK("https://www.suredividend.com/sure-analysis-research-database/","Sonos Inc")</f>
        <v>Sonos Inc</v>
      </c>
      <c r="C1470" s="5">
        <v>-0.033838973162193</v>
      </c>
      <c r="D1470" s="5">
        <v>0.679513184584178</v>
      </c>
      <c r="E1470" s="5">
        <v>-0.029876977152899</v>
      </c>
      <c r="F1470" s="5">
        <v>-0.033838973162193</v>
      </c>
      <c r="G1470" s="5">
        <v>-0.107277628032345</v>
      </c>
      <c r="H1470" s="5">
        <v>-0.279059643012625</v>
      </c>
      <c r="I1470" s="5">
        <v>0.478571428571428</v>
      </c>
    </row>
    <row r="1471">
      <c r="A1471" s="2" t="s">
        <v>1496</v>
      </c>
      <c r="B1471" s="8" t="str">
        <f>HYPERLINK("https://www.suredividend.com/sure-analysis-research-database/","Sovos Brands Inc")</f>
        <v>Sovos Brands Inc</v>
      </c>
      <c r="C1471" s="5">
        <v>0.001361779391738</v>
      </c>
      <c r="D1471" s="5">
        <v>0.015653775322283</v>
      </c>
      <c r="E1471" s="5">
        <v>0.215426997245179</v>
      </c>
      <c r="F1471" s="5">
        <v>0.001361779391738</v>
      </c>
      <c r="G1471" s="5">
        <v>0.611395178962746</v>
      </c>
      <c r="H1471" s="5">
        <v>0.567874911158493</v>
      </c>
      <c r="I1471" s="5">
        <v>0.631656804733727</v>
      </c>
    </row>
    <row r="1472">
      <c r="A1472" s="2" t="s">
        <v>1497</v>
      </c>
      <c r="B1472" s="8" t="str">
        <f>HYPERLINK("https://www.suredividend.com/sure-analysis-research-database/","SP Plus Corp")</f>
        <v>SP Plus Corp</v>
      </c>
      <c r="C1472" s="5">
        <v>0.013463414634146</v>
      </c>
      <c r="D1472" s="5">
        <v>0.045070422535211</v>
      </c>
      <c r="E1472" s="5">
        <v>0.360041895784236</v>
      </c>
      <c r="F1472" s="5">
        <v>0.013463414634146</v>
      </c>
      <c r="G1472" s="5">
        <v>0.416030534351145</v>
      </c>
      <c r="H1472" s="5">
        <v>0.906055045871559</v>
      </c>
      <c r="I1472" s="5">
        <v>0.576327769347496</v>
      </c>
    </row>
    <row r="1473">
      <c r="A1473" s="2" t="s">
        <v>1498</v>
      </c>
      <c r="B1473" s="8" t="str">
        <f>HYPERLINK("https://www.suredividend.com/sure-analysis-research-database/","Virgin Galactic Holdings Inc")</f>
        <v>Virgin Galactic Holdings Inc</v>
      </c>
      <c r="C1473" s="5">
        <v>-0.216326530612244</v>
      </c>
      <c r="D1473" s="5">
        <v>0.391304347826086</v>
      </c>
      <c r="E1473" s="5">
        <v>-0.511450381679389</v>
      </c>
      <c r="F1473" s="5">
        <v>-0.216326530612244</v>
      </c>
      <c r="G1473" s="5">
        <v>-0.663747810858143</v>
      </c>
      <c r="H1473" s="5">
        <v>-0.764127764127764</v>
      </c>
      <c r="I1473" s="5">
        <v>-0.808955223880597</v>
      </c>
    </row>
    <row r="1474">
      <c r="A1474" s="2" t="s">
        <v>1499</v>
      </c>
      <c r="B1474" s="8" t="str">
        <f>HYPERLINK("https://www.suredividend.com/sure-analysis-research-database/","South Plains Financial Inc")</f>
        <v>South Plains Financial Inc</v>
      </c>
      <c r="C1474" s="5">
        <v>0.010076374177723</v>
      </c>
      <c r="D1474" s="5">
        <v>0.122912212202906</v>
      </c>
      <c r="E1474" s="5">
        <v>0.101477248548588</v>
      </c>
      <c r="F1474" s="5">
        <v>0.010076374177723</v>
      </c>
      <c r="G1474" s="5">
        <v>0.072666792470981</v>
      </c>
      <c r="H1474" s="5">
        <v>0.068306776138323</v>
      </c>
      <c r="I1474" s="5">
        <v>0.789517219242094</v>
      </c>
    </row>
    <row r="1475">
      <c r="A1475" s="2" t="s">
        <v>1500</v>
      </c>
      <c r="B1475" s="8" t="str">
        <f>HYPERLINK("https://www.suredividend.com/sure-analysis-research-database/","Sphere Entertainment Co")</f>
        <v>Sphere Entertainment Co</v>
      </c>
      <c r="C1475" s="5">
        <v>0.035041224970553</v>
      </c>
      <c r="D1475" s="5">
        <v>0.050194203764565</v>
      </c>
      <c r="E1475" s="5">
        <v>-0.183697166744078</v>
      </c>
      <c r="F1475" s="5">
        <v>0.035041224970553</v>
      </c>
      <c r="G1475" s="5">
        <v>-0.279713114754098</v>
      </c>
      <c r="H1475" s="5">
        <v>-0.490432009278051</v>
      </c>
      <c r="I1475" s="5">
        <v>-0.602869732233645</v>
      </c>
    </row>
    <row r="1476">
      <c r="A1476" s="2" t="s">
        <v>1501</v>
      </c>
      <c r="B1476" s="8" t="str">
        <f>HYPERLINK("https://www.suredividend.com/sure-analysis-research-database/","Spire Global Inc")</f>
        <v>Spire Global Inc</v>
      </c>
      <c r="C1476" s="5">
        <v>-0.034526854219948</v>
      </c>
      <c r="D1476" s="5">
        <v>1.20760233918128</v>
      </c>
      <c r="E1476" s="5">
        <v>0.415341931613677</v>
      </c>
      <c r="F1476" s="5">
        <v>-0.034526854219948</v>
      </c>
      <c r="G1476" s="5">
        <v>-0.172149122807017</v>
      </c>
      <c r="H1476" s="5">
        <v>-0.589673913043478</v>
      </c>
      <c r="I1476" s="5">
        <v>-0.221649484536082</v>
      </c>
    </row>
    <row r="1477">
      <c r="A1477" s="2" t="s">
        <v>1502</v>
      </c>
      <c r="B1477" s="8" t="str">
        <f>HYPERLINK("https://www.suredividend.com/sure-analysis-research-database/","Sapiens International Corp NV")</f>
        <v>Sapiens International Corp NV</v>
      </c>
      <c r="C1477" s="5">
        <v>-0.014512785072564</v>
      </c>
      <c r="D1477" s="5">
        <v>0.16076516076516</v>
      </c>
      <c r="E1477" s="5">
        <v>0.101932632197142</v>
      </c>
      <c r="F1477" s="5">
        <v>-0.014512785072564</v>
      </c>
      <c r="G1477" s="5">
        <v>0.328086800623995</v>
      </c>
      <c r="H1477" s="5">
        <v>0.024881772053644</v>
      </c>
      <c r="I1477" s="5">
        <v>1.68095506674186</v>
      </c>
    </row>
    <row r="1478">
      <c r="A1478" s="2" t="s">
        <v>1503</v>
      </c>
      <c r="B1478" s="8" t="str">
        <f>HYPERLINK("https://www.suredividend.com/sure-analysis-research-database/","SiriusPoint Ltd")</f>
        <v>SiriusPoint Ltd</v>
      </c>
      <c r="C1478" s="5">
        <v>0.021551724137931</v>
      </c>
      <c r="D1478" s="5">
        <v>0.23309053069719</v>
      </c>
      <c r="E1478" s="5">
        <v>0.248682824025289</v>
      </c>
      <c r="F1478" s="5">
        <v>0.021551724137931</v>
      </c>
      <c r="G1478" s="5">
        <v>0.732456140350877</v>
      </c>
      <c r="H1478" s="5">
        <v>0.410714285714285</v>
      </c>
      <c r="I1478" s="5">
        <v>0.159491193737769</v>
      </c>
    </row>
    <row r="1479">
      <c r="A1479" s="2" t="s">
        <v>1504</v>
      </c>
      <c r="B1479" s="8" t="str">
        <f>HYPERLINK("https://www.suredividend.com/sure-analysis-research-database/","SPS Commerce Inc.")</f>
        <v>SPS Commerce Inc.</v>
      </c>
      <c r="C1479" s="5">
        <v>-0.013980602558811</v>
      </c>
      <c r="D1479" s="5">
        <v>0.23933341978991</v>
      </c>
      <c r="E1479" s="5">
        <v>0.095112588093737</v>
      </c>
      <c r="F1479" s="5">
        <v>-0.013980602558811</v>
      </c>
      <c r="G1479" s="5">
        <v>0.396944891097792</v>
      </c>
      <c r="H1479" s="5">
        <v>0.591821437494794</v>
      </c>
      <c r="I1479" s="5">
        <v>3.42072395050306</v>
      </c>
    </row>
    <row r="1480">
      <c r="A1480" s="2" t="s">
        <v>1505</v>
      </c>
      <c r="B1480" s="8" t="str">
        <f>HYPERLINK("https://www.suredividend.com/sure-analysis-research-database/","Sprout Social Inc")</f>
        <v>Sprout Social Inc</v>
      </c>
      <c r="C1480" s="5">
        <v>0.076497395833333</v>
      </c>
      <c r="D1480" s="5">
        <v>0.574761904761904</v>
      </c>
      <c r="E1480" s="5">
        <v>0.187859195402298</v>
      </c>
      <c r="F1480" s="5">
        <v>0.076497395833333</v>
      </c>
      <c r="G1480" s="5">
        <v>0.007770836507694</v>
      </c>
      <c r="H1480" s="5">
        <v>0.046187915216703</v>
      </c>
      <c r="I1480" s="5">
        <v>2.98433734939759</v>
      </c>
    </row>
    <row r="1481">
      <c r="A1481" s="2" t="s">
        <v>1506</v>
      </c>
      <c r="B1481" s="8" t="str">
        <f>HYPERLINK("https://www.suredividend.com/sure-analysis-SPTN/","SpartanNash Co")</f>
        <v>SpartanNash Co</v>
      </c>
      <c r="C1481" s="5">
        <v>-0.027886710239651</v>
      </c>
      <c r="D1481" s="5">
        <v>0.005353473448934</v>
      </c>
      <c r="E1481" s="5">
        <v>0.039535913146797</v>
      </c>
      <c r="F1481" s="5">
        <v>-0.027886710239651</v>
      </c>
      <c r="G1481" s="5">
        <v>-0.223373296016263</v>
      </c>
      <c r="H1481" s="5">
        <v>-0.010678113415045</v>
      </c>
      <c r="I1481" s="5">
        <v>0.331137642376835</v>
      </c>
    </row>
    <row r="1482">
      <c r="A1482" s="2" t="s">
        <v>1507</v>
      </c>
      <c r="B1482" s="8" t="str">
        <f>HYPERLINK("https://www.suredividend.com/sure-analysis-research-database/","Sportsman`s Warehouse Holdings Inc")</f>
        <v>Sportsman`s Warehouse Holdings Inc</v>
      </c>
      <c r="C1482" s="5">
        <v>-0.039906103286385</v>
      </c>
      <c r="D1482" s="5">
        <v>-0.186878727634194</v>
      </c>
      <c r="E1482" s="5">
        <v>-0.328407224958949</v>
      </c>
      <c r="F1482" s="5">
        <v>-0.039906103286385</v>
      </c>
      <c r="G1482" s="5">
        <v>-0.563965884861407</v>
      </c>
      <c r="H1482" s="5">
        <v>-0.615601503759398</v>
      </c>
      <c r="I1482" s="5">
        <v>-0.205825242718446</v>
      </c>
    </row>
    <row r="1483">
      <c r="A1483" s="2" t="s">
        <v>1508</v>
      </c>
      <c r="B1483" s="8" t="str">
        <f>HYPERLINK("https://www.suredividend.com/sure-analysis-research-database/","Sunpower Corp")</f>
        <v>Sunpower Corp</v>
      </c>
      <c r="C1483" s="5">
        <v>-0.287784679089026</v>
      </c>
      <c r="D1483" s="5">
        <v>-0.144278606965174</v>
      </c>
      <c r="E1483" s="5">
        <v>-0.628509719222462</v>
      </c>
      <c r="F1483" s="5">
        <v>-0.287784679089026</v>
      </c>
      <c r="G1483" s="5">
        <v>-0.797289334119033</v>
      </c>
      <c r="H1483" s="5">
        <v>-0.775603392041748</v>
      </c>
      <c r="I1483" s="5">
        <v>-0.236471789408265</v>
      </c>
    </row>
    <row r="1484">
      <c r="A1484" s="2" t="s">
        <v>1509</v>
      </c>
      <c r="B1484" s="8" t="str">
        <f>HYPERLINK("https://www.suredividend.com/sure-analysis-research-database/","SPX Technologies Inc")</f>
        <v>SPX Technologies Inc</v>
      </c>
      <c r="C1484" s="5">
        <v>0.026235026235026</v>
      </c>
      <c r="D1484" s="5">
        <v>0.318326338547628</v>
      </c>
      <c r="E1484" s="5">
        <v>0.251025826695631</v>
      </c>
      <c r="F1484" s="5">
        <v>0.026235026235026</v>
      </c>
      <c r="G1484" s="5">
        <v>0.424488113233475</v>
      </c>
      <c r="H1484" s="5">
        <v>0.620700437773608</v>
      </c>
      <c r="I1484" s="5">
        <v>0.620700437773608</v>
      </c>
    </row>
    <row r="1485">
      <c r="A1485" s="2" t="s">
        <v>1510</v>
      </c>
      <c r="B1485" s="8" t="str">
        <f>HYPERLINK("https://www.suredividend.com/sure-analysis-research-database/","Squarespace Inc")</f>
        <v>Squarespace Inc</v>
      </c>
      <c r="C1485" s="5">
        <v>-0.015752802181157</v>
      </c>
      <c r="D1485" s="5">
        <v>0.16618808327351</v>
      </c>
      <c r="E1485" s="5">
        <v>0.009633312616531</v>
      </c>
      <c r="F1485" s="5">
        <v>-0.015752802181157</v>
      </c>
      <c r="G1485" s="5">
        <v>0.390243902439024</v>
      </c>
      <c r="H1485" s="5">
        <v>0.07511581733951</v>
      </c>
      <c r="I1485" s="5">
        <v>-0.255670103092783</v>
      </c>
    </row>
    <row r="1486">
      <c r="A1486" s="2" t="s">
        <v>1511</v>
      </c>
      <c r="B1486" s="8" t="str">
        <f>HYPERLINK("https://www.suredividend.com/sure-analysis-SR/","Spire Inc.")</f>
        <v>Spire Inc.</v>
      </c>
      <c r="C1486" s="5">
        <v>-0.06111645813282</v>
      </c>
      <c r="D1486" s="5">
        <v>0.080836526476155</v>
      </c>
      <c r="E1486" s="5">
        <v>-0.054609123756882</v>
      </c>
      <c r="F1486" s="5">
        <v>-0.06111645813282</v>
      </c>
      <c r="G1486" s="5">
        <v>-0.141068462111917</v>
      </c>
      <c r="H1486" s="5">
        <v>-0.030062591040383</v>
      </c>
      <c r="I1486" s="5">
        <v>-0.075663562382839</v>
      </c>
    </row>
    <row r="1487">
      <c r="A1487" s="2" t="s">
        <v>1512</v>
      </c>
      <c r="B1487" s="8" t="str">
        <f>HYPERLINK("https://www.suredividend.com/sure-analysis-SRCE/","1st Source Corp.")</f>
        <v>1st Source Corp.</v>
      </c>
      <c r="C1487" s="5">
        <v>-0.011828935395814</v>
      </c>
      <c r="D1487" s="5">
        <v>0.24223034107573</v>
      </c>
      <c r="E1487" s="5">
        <v>0.180837807686536</v>
      </c>
      <c r="F1487" s="5">
        <v>-0.011828935395814</v>
      </c>
      <c r="G1487" s="5">
        <v>0.184322449780802</v>
      </c>
      <c r="H1487" s="5">
        <v>0.191515880295443</v>
      </c>
      <c r="I1487" s="5">
        <v>0.39945207456528</v>
      </c>
    </row>
    <row r="1488">
      <c r="A1488" s="2" t="s">
        <v>1513</v>
      </c>
      <c r="B1488" s="8" t="str">
        <f>HYPERLINK("https://www.suredividend.com/sure-analysis-research-database/","Surmodics, Inc.")</f>
        <v>Surmodics, Inc.</v>
      </c>
      <c r="C1488" s="5">
        <v>-0.021733149931224</v>
      </c>
      <c r="D1488" s="5">
        <v>0.243356643356643</v>
      </c>
      <c r="E1488" s="5">
        <v>0.107098381070984</v>
      </c>
      <c r="F1488" s="5">
        <v>-0.021733149931224</v>
      </c>
      <c r="G1488" s="5">
        <v>0.332833583208396</v>
      </c>
      <c r="H1488" s="5">
        <v>-0.169546940681924</v>
      </c>
      <c r="I1488" s="5">
        <v>-0.273692810457516</v>
      </c>
    </row>
    <row r="1489">
      <c r="A1489" s="2" t="s">
        <v>1514</v>
      </c>
      <c r="B1489" s="8" t="str">
        <f>HYPERLINK("https://www.suredividend.com/sure-analysis-research-database/","Stoneridge Inc.")</f>
        <v>Stoneridge Inc.</v>
      </c>
      <c r="C1489" s="5">
        <v>-0.063362289218191</v>
      </c>
      <c r="D1489" s="5">
        <v>0.139925373134328</v>
      </c>
      <c r="E1489" s="5">
        <v>-0.08074222668004</v>
      </c>
      <c r="F1489" s="5">
        <v>-0.063362289218191</v>
      </c>
      <c r="G1489" s="5">
        <v>-0.237203495630462</v>
      </c>
      <c r="H1489" s="5">
        <v>-0.00272034820457</v>
      </c>
      <c r="I1489" s="5">
        <v>-0.292824074074074</v>
      </c>
    </row>
    <row r="1490">
      <c r="A1490" s="2" t="s">
        <v>1515</v>
      </c>
      <c r="B1490" s="8" t="str">
        <f>HYPERLINK("https://www.suredividend.com/sure-analysis-research-database/","SouthState Corporation")</f>
        <v>SouthState Corporation</v>
      </c>
      <c r="C1490" s="5">
        <v>0.03173475429248</v>
      </c>
      <c r="D1490" s="5">
        <v>0.346052834852463</v>
      </c>
      <c r="E1490" s="5">
        <v>0.155360365556921</v>
      </c>
      <c r="F1490" s="5">
        <v>0.03173475429248</v>
      </c>
      <c r="G1490" s="5">
        <v>0.178904469905665</v>
      </c>
      <c r="H1490" s="5">
        <v>0.139135914485708</v>
      </c>
      <c r="I1490" s="5">
        <v>0.522267065010395</v>
      </c>
    </row>
    <row r="1491">
      <c r="A1491" s="2" t="s">
        <v>1516</v>
      </c>
      <c r="B1491" s="8" t="str">
        <f>HYPERLINK("https://www.suredividend.com/sure-analysis-research-database/","Simpson Manufacturing Co., Inc.")</f>
        <v>Simpson Manufacturing Co., Inc.</v>
      </c>
      <c r="C1491" s="5">
        <v>-0.054748512928418</v>
      </c>
      <c r="D1491" s="5">
        <v>0.454990513131741</v>
      </c>
      <c r="E1491" s="5">
        <v>0.186107412282761</v>
      </c>
      <c r="F1491" s="5">
        <v>-0.054748512928418</v>
      </c>
      <c r="G1491" s="5">
        <v>0.824868124764421</v>
      </c>
      <c r="H1491" s="5">
        <v>0.704793728898753</v>
      </c>
      <c r="I1491" s="5">
        <v>2.31417444460799</v>
      </c>
    </row>
    <row r="1492">
      <c r="A1492" s="2" t="s">
        <v>1517</v>
      </c>
      <c r="B1492" s="8" t="str">
        <f>HYPERLINK("https://www.suredividend.com/sure-analysis-research-database/","E.W. Scripps Co.")</f>
        <v>E.W. Scripps Co.</v>
      </c>
      <c r="C1492" s="5">
        <v>0.09136420525657</v>
      </c>
      <c r="D1492" s="5">
        <v>0.673704414587332</v>
      </c>
      <c r="E1492" s="5">
        <v>-0.096373056994818</v>
      </c>
      <c r="F1492" s="5">
        <v>0.09136420525657</v>
      </c>
      <c r="G1492" s="5">
        <v>-0.397790055248618</v>
      </c>
      <c r="H1492" s="5">
        <v>-0.570866141732283</v>
      </c>
      <c r="I1492" s="5">
        <v>-0.520386331010433</v>
      </c>
    </row>
    <row r="1493">
      <c r="A1493" s="2" t="s">
        <v>1518</v>
      </c>
      <c r="B1493" s="8" t="str">
        <f>HYPERLINK("https://www.suredividend.com/sure-analysis-research-database/","SoundThinking Inc")</f>
        <v>SoundThinking Inc</v>
      </c>
      <c r="C1493" s="5">
        <v>-0.182850430696945</v>
      </c>
      <c r="D1493" s="5">
        <v>0.411088573360378</v>
      </c>
      <c r="E1493" s="5">
        <v>-0.065382892969099</v>
      </c>
      <c r="F1493" s="5">
        <v>-0.182850430696945</v>
      </c>
      <c r="G1493" s="5">
        <v>-0.421081830790568</v>
      </c>
      <c r="H1493" s="5">
        <v>-0.182530356443399</v>
      </c>
      <c r="I1493" s="5">
        <v>-0.552530017152658</v>
      </c>
    </row>
    <row r="1494">
      <c r="A1494" s="2" t="s">
        <v>1519</v>
      </c>
      <c r="B1494" s="8" t="str">
        <f>HYPERLINK("https://www.suredividend.com/sure-analysis-research-database/","Shutterstock Inc")</f>
        <v>Shutterstock Inc</v>
      </c>
      <c r="C1494" s="5">
        <v>0.001449875724937</v>
      </c>
      <c r="D1494" s="5">
        <v>0.43444993962553</v>
      </c>
      <c r="E1494" s="5">
        <v>-0.033261019524728</v>
      </c>
      <c r="F1494" s="5">
        <v>0.001449875724937</v>
      </c>
      <c r="G1494" s="5">
        <v>-0.29002093960993</v>
      </c>
      <c r="H1494" s="5">
        <v>-0.442482917030849</v>
      </c>
      <c r="I1494" s="5">
        <v>0.275190619238894</v>
      </c>
    </row>
    <row r="1495">
      <c r="A1495" s="2" t="s">
        <v>1520</v>
      </c>
      <c r="B1495" s="8" t="str">
        <f>HYPERLINK("https://www.suredividend.com/sure-analysis-research-database/","Staar Surgical Co.")</f>
        <v>Staar Surgical Co.</v>
      </c>
      <c r="C1495" s="5">
        <v>-0.016340916372957</v>
      </c>
      <c r="D1495" s="5">
        <v>-0.203631647211413</v>
      </c>
      <c r="E1495" s="5">
        <v>-0.44464544138929</v>
      </c>
      <c r="F1495" s="5">
        <v>-0.016340916372957</v>
      </c>
      <c r="G1495" s="5">
        <v>-0.573018080667594</v>
      </c>
      <c r="H1495" s="5">
        <v>-0.541174712300104</v>
      </c>
      <c r="I1495" s="5">
        <v>-0.092253104671791</v>
      </c>
    </row>
    <row r="1496">
      <c r="A1496" s="2" t="s">
        <v>1521</v>
      </c>
      <c r="B1496" s="8" t="str">
        <f>HYPERLINK("https://www.suredividend.com/sure-analysis-STAG/","STAG Industrial Inc")</f>
        <v>STAG Industrial Inc</v>
      </c>
      <c r="C1496" s="5">
        <v>-0.027761664677728</v>
      </c>
      <c r="D1496" s="5">
        <v>0.196249017450086</v>
      </c>
      <c r="E1496" s="5">
        <v>0.068961738807941</v>
      </c>
      <c r="F1496" s="5">
        <v>-0.027761664677728</v>
      </c>
      <c r="G1496" s="5">
        <v>0.111998643857757</v>
      </c>
      <c r="H1496" s="5">
        <v>-0.006431984958086</v>
      </c>
      <c r="I1496" s="5">
        <v>0.728680409466993</v>
      </c>
    </row>
    <row r="1497">
      <c r="A1497" s="2" t="s">
        <v>1522</v>
      </c>
      <c r="B1497" s="8" t="str">
        <f>HYPERLINK("https://www.suredividend.com/sure-analysis-research-database/","S &amp; T Bancorp, Inc.")</f>
        <v>S &amp; T Bancorp, Inc.</v>
      </c>
      <c r="C1497" s="5">
        <v>0.077498503889886</v>
      </c>
      <c r="D1497" s="5">
        <v>0.429093016056957</v>
      </c>
      <c r="E1497" s="5">
        <v>0.155518475139185</v>
      </c>
      <c r="F1497" s="5">
        <v>0.077498503889886</v>
      </c>
      <c r="G1497" s="5">
        <v>0.080220063715285</v>
      </c>
      <c r="H1497" s="5">
        <v>0.294504198780628</v>
      </c>
      <c r="I1497" s="5">
        <v>0.091460180344017</v>
      </c>
    </row>
    <row r="1498">
      <c r="A1498" s="2" t="s">
        <v>1523</v>
      </c>
      <c r="B1498" s="8" t="str">
        <f>HYPERLINK("https://www.suredividend.com/sure-analysis-research-database/","Stewart Information Services Corp.")</f>
        <v>Stewart Information Services Corp.</v>
      </c>
      <c r="C1498" s="5">
        <v>0.080851063829787</v>
      </c>
      <c r="D1498" s="5">
        <v>0.496854248826678</v>
      </c>
      <c r="E1498" s="5">
        <v>0.379544076976387</v>
      </c>
      <c r="F1498" s="5">
        <v>0.080851063829787</v>
      </c>
      <c r="G1498" s="5">
        <v>0.385893999842859</v>
      </c>
      <c r="H1498" s="5">
        <v>-0.010036823512171</v>
      </c>
      <c r="I1498" s="5">
        <v>0.705178640959196</v>
      </c>
    </row>
    <row r="1499">
      <c r="A1499" s="2" t="s">
        <v>1524</v>
      </c>
      <c r="B1499" s="8" t="str">
        <f>HYPERLINK("https://www.suredividend.com/sure-analysis-research-database/","Stellar Bancorp Inc")</f>
        <v>Stellar Bancorp Inc</v>
      </c>
      <c r="C1499" s="5">
        <v>-0.034841954022988</v>
      </c>
      <c r="D1499" s="5">
        <v>0.258601065150287</v>
      </c>
      <c r="E1499" s="5">
        <v>0.060994341626752</v>
      </c>
      <c r="F1499" s="5">
        <v>-0.034841954022988</v>
      </c>
      <c r="G1499" s="5">
        <v>0.06675241974544</v>
      </c>
      <c r="H1499" s="5">
        <v>-0.070965511280145</v>
      </c>
      <c r="I1499" s="5">
        <v>-0.097425630827936</v>
      </c>
    </row>
    <row r="1500">
      <c r="A1500" s="2" t="s">
        <v>1525</v>
      </c>
      <c r="B1500" s="8" t="str">
        <f>HYPERLINK("https://www.suredividend.com/sure-analysis-research-database/","Stem Inc")</f>
        <v>Stem Inc</v>
      </c>
      <c r="C1500" s="5">
        <v>-0.134020618556701</v>
      </c>
      <c r="D1500" s="5">
        <v>0.105263157894736</v>
      </c>
      <c r="E1500" s="5">
        <v>-0.492447129909365</v>
      </c>
      <c r="F1500" s="5">
        <v>-0.134020618556701</v>
      </c>
      <c r="G1500" s="5">
        <v>-0.659229208924949</v>
      </c>
      <c r="H1500" s="5">
        <v>-0.703180212014134</v>
      </c>
      <c r="I1500" s="5">
        <v>-0.65360824742268</v>
      </c>
    </row>
    <row r="1501">
      <c r="A1501" s="2" t="s">
        <v>1526</v>
      </c>
      <c r="B1501" s="8" t="str">
        <f>HYPERLINK("https://www.suredividend.com/sure-analysis-research-database/","StepStone Group Inc")</f>
        <v>StepStone Group Inc</v>
      </c>
      <c r="C1501" s="5">
        <v>0.079170593779453</v>
      </c>
      <c r="D1501" s="5">
        <v>0.247032172340935</v>
      </c>
      <c r="E1501" s="5">
        <v>0.257629067157758</v>
      </c>
      <c r="F1501" s="5">
        <v>0.079170593779453</v>
      </c>
      <c r="G1501" s="5">
        <v>0.245675493374529</v>
      </c>
      <c r="H1501" s="5">
        <v>0.146716251990479</v>
      </c>
      <c r="I1501" s="5">
        <v>0.502512936483288</v>
      </c>
    </row>
    <row r="1502">
      <c r="A1502" s="2" t="s">
        <v>1527</v>
      </c>
      <c r="B1502" s="8" t="str">
        <f>HYPERLINK("https://www.suredividend.com/sure-analysis-research-database/","Sterling Check Corp")</f>
        <v>Sterling Check Corp</v>
      </c>
      <c r="C1502" s="5">
        <v>0.007183908045977</v>
      </c>
      <c r="D1502" s="5">
        <v>0.254025044722719</v>
      </c>
      <c r="E1502" s="5">
        <v>0.149180327868852</v>
      </c>
      <c r="F1502" s="5">
        <v>0.007183908045977</v>
      </c>
      <c r="G1502" s="5">
        <v>0.034686346863468</v>
      </c>
      <c r="H1502" s="5">
        <v>-0.259767687434002</v>
      </c>
      <c r="I1502" s="5">
        <v>-0.478810408921933</v>
      </c>
    </row>
    <row r="1503">
      <c r="A1503" s="2" t="s">
        <v>1528</v>
      </c>
      <c r="B1503" s="8" t="str">
        <f>HYPERLINK("https://www.suredividend.com/sure-analysis-research-database/","Stagwell Inc")</f>
        <v>Stagwell Inc</v>
      </c>
      <c r="C1503" s="5">
        <v>0.025641025641025</v>
      </c>
      <c r="D1503" s="5">
        <v>0.60377358490566</v>
      </c>
      <c r="E1503" s="5">
        <v>0.022556390977443</v>
      </c>
      <c r="F1503" s="5">
        <v>0.025641025641025</v>
      </c>
      <c r="G1503" s="5">
        <v>0.002949852507374</v>
      </c>
      <c r="H1503" s="5">
        <v>-0.038189533239038</v>
      </c>
      <c r="I1503" s="5">
        <v>0.225225225225225</v>
      </c>
    </row>
    <row r="1504">
      <c r="A1504" s="2" t="s">
        <v>1529</v>
      </c>
      <c r="B1504" s="8" t="str">
        <f>HYPERLINK("https://www.suredividend.com/sure-analysis-research-database/","Star Holdings")</f>
        <v>Star Holdings</v>
      </c>
      <c r="C1504" s="5">
        <v>-0.15954606141522</v>
      </c>
      <c r="D1504" s="5">
        <v>0.16574074074074</v>
      </c>
      <c r="E1504" s="5">
        <v>-0.190353697749196</v>
      </c>
      <c r="F1504" s="5">
        <v>-0.15954606141522</v>
      </c>
      <c r="G1504" s="5">
        <v>-0.276020701552616</v>
      </c>
      <c r="H1504" s="5">
        <v>-0.276020701552616</v>
      </c>
      <c r="I1504" s="5">
        <v>-0.276020701552616</v>
      </c>
    </row>
    <row r="1505">
      <c r="A1505" s="2" t="s">
        <v>1530</v>
      </c>
      <c r="B1505" s="8" t="str">
        <f>HYPERLINK("https://www.suredividend.com/sure-analysis-research-database/","Sunopta, Inc.")</f>
        <v>Sunopta, Inc.</v>
      </c>
      <c r="C1505" s="5">
        <v>0.102376599634369</v>
      </c>
      <c r="D1505" s="5">
        <v>0.460048426150121</v>
      </c>
      <c r="E1505" s="5">
        <v>-0.031325301204819</v>
      </c>
      <c r="F1505" s="5">
        <v>0.102376599634369</v>
      </c>
      <c r="G1505" s="5">
        <v>-0.254635352286773</v>
      </c>
      <c r="H1505" s="5">
        <v>0.269473684210526</v>
      </c>
      <c r="I1505" s="5">
        <v>0.5075</v>
      </c>
    </row>
    <row r="1506">
      <c r="A1506" s="2" t="s">
        <v>1531</v>
      </c>
      <c r="B1506" s="8" t="str">
        <f>HYPERLINK("https://www.suredividend.com/sure-analysis-research-database/","ONE Group Hospitality Inc")</f>
        <v>ONE Group Hospitality Inc</v>
      </c>
      <c r="C1506" s="5">
        <v>-0.24673202614379</v>
      </c>
      <c r="D1506" s="5">
        <v>0.059770114942528</v>
      </c>
      <c r="E1506" s="5">
        <v>-0.36237897648686</v>
      </c>
      <c r="F1506" s="5">
        <v>-0.24673202614379</v>
      </c>
      <c r="G1506" s="5">
        <v>-0.386151797603195</v>
      </c>
      <c r="H1506" s="5">
        <v>-0.617744610281923</v>
      </c>
      <c r="I1506" s="5">
        <v>0.41911651531476</v>
      </c>
    </row>
    <row r="1507">
      <c r="A1507" s="2" t="s">
        <v>1532</v>
      </c>
      <c r="B1507" s="8" t="str">
        <f>HYPERLINK("https://www.suredividend.com/sure-analysis-research-database/","StoneCo Ltd")</f>
        <v>StoneCo Ltd</v>
      </c>
      <c r="C1507" s="5">
        <v>0.016084303937881</v>
      </c>
      <c r="D1507" s="5">
        <v>0.908333333333333</v>
      </c>
      <c r="E1507" s="5">
        <v>0.326574945691527</v>
      </c>
      <c r="F1507" s="5">
        <v>0.016084303937881</v>
      </c>
      <c r="G1507" s="5">
        <v>0.588898525585429</v>
      </c>
      <c r="H1507" s="5">
        <v>0.249658935879945</v>
      </c>
      <c r="I1507" s="5">
        <v>-0.163088168113293</v>
      </c>
    </row>
    <row r="1508">
      <c r="A1508" s="2" t="s">
        <v>1533</v>
      </c>
      <c r="B1508" s="8" t="str">
        <f>HYPERLINK("https://www.suredividend.com/sure-analysis-research-database/","Scorpio Tankers Inc")</f>
        <v>Scorpio Tankers Inc</v>
      </c>
      <c r="C1508" s="5">
        <v>0.163651315789473</v>
      </c>
      <c r="D1508" s="5">
        <v>0.23362289325108</v>
      </c>
      <c r="E1508" s="5">
        <v>0.558325422399799</v>
      </c>
      <c r="F1508" s="5">
        <v>0.163651315789473</v>
      </c>
      <c r="G1508" s="5">
        <v>0.520720488350098</v>
      </c>
      <c r="H1508" s="5">
        <v>4.38559325259383</v>
      </c>
      <c r="I1508" s="5">
        <v>2.93309021369326</v>
      </c>
    </row>
    <row r="1509">
      <c r="A1509" s="2" t="s">
        <v>1534</v>
      </c>
      <c r="B1509" s="8" t="str">
        <f>HYPERLINK("https://www.suredividend.com/sure-analysis-research-database/","Stoke Therapeutics Inc")</f>
        <v>Stoke Therapeutics Inc</v>
      </c>
      <c r="C1509" s="5">
        <v>0.0</v>
      </c>
      <c r="D1509" s="5">
        <v>0.560830860534124</v>
      </c>
      <c r="E1509" s="5">
        <v>-0.169036334913112</v>
      </c>
      <c r="F1509" s="5">
        <v>0.0</v>
      </c>
      <c r="G1509" s="5">
        <v>-0.453790238836967</v>
      </c>
      <c r="H1509" s="5">
        <v>-0.706636921360847</v>
      </c>
      <c r="I1509" s="5">
        <v>-0.794290183809151</v>
      </c>
    </row>
    <row r="1510">
      <c r="A1510" s="2" t="s">
        <v>1535</v>
      </c>
      <c r="B1510" s="8" t="str">
        <f>HYPERLINK("https://www.suredividend.com/sure-analysis-research-database/","Sitio Royalties Corp")</f>
        <v>Sitio Royalties Corp</v>
      </c>
      <c r="C1510" s="5">
        <v>-0.065504040833687</v>
      </c>
      <c r="D1510" s="5">
        <v>-0.080487672173137</v>
      </c>
      <c r="E1510" s="5">
        <v>-0.162856271909769</v>
      </c>
      <c r="F1510" s="5">
        <v>-0.065504040833687</v>
      </c>
      <c r="G1510" s="5">
        <v>-0.130372827416411</v>
      </c>
      <c r="H1510" s="5">
        <v>-0.203922051757748</v>
      </c>
      <c r="I1510" s="5">
        <v>-0.203922051757748</v>
      </c>
    </row>
    <row r="1511">
      <c r="A1511" s="2" t="s">
        <v>1536</v>
      </c>
      <c r="B1511" s="8" t="str">
        <f>HYPERLINK("https://www.suredividend.com/sure-analysis-research-database/","Strategic Education Inc")</f>
        <v>Strategic Education Inc</v>
      </c>
      <c r="C1511" s="5">
        <v>0.045685828732272</v>
      </c>
      <c r="D1511" s="5">
        <v>0.220153052845929</v>
      </c>
      <c r="E1511" s="5">
        <v>0.324604120411575</v>
      </c>
      <c r="F1511" s="5">
        <v>0.045685828732272</v>
      </c>
      <c r="G1511" s="5">
        <v>0.095347014870364</v>
      </c>
      <c r="H1511" s="5">
        <v>0.75436684593575</v>
      </c>
      <c r="I1511" s="5">
        <v>0.031084106103774</v>
      </c>
    </row>
    <row r="1512">
      <c r="A1512" s="2" t="s">
        <v>1537</v>
      </c>
      <c r="B1512" s="8" t="str">
        <f>HYPERLINK("https://www.suredividend.com/sure-analysis-research-database/","Sarcos Technology and Robotics Corporation")</f>
        <v>Sarcos Technology and Robotics Corporation</v>
      </c>
      <c r="C1512" s="5">
        <v>-0.223624012200194</v>
      </c>
      <c r="D1512" s="5">
        <v>0.076302133384585</v>
      </c>
      <c r="E1512" s="5">
        <v>-0.679999999999999</v>
      </c>
      <c r="F1512" s="5">
        <v>-0.223624012200194</v>
      </c>
      <c r="G1512" s="5">
        <v>-0.850499225799562</v>
      </c>
      <c r="H1512" s="5">
        <v>-0.982587064676616</v>
      </c>
      <c r="I1512" s="5">
        <v>-0.989743589743589</v>
      </c>
    </row>
    <row r="1513">
      <c r="A1513" s="2" t="s">
        <v>1538</v>
      </c>
      <c r="B1513" s="8" t="str">
        <f>HYPERLINK("https://www.suredividend.com/sure-analysis-research-database/","Sterling Infrastructure Inc")</f>
        <v>Sterling Infrastructure Inc</v>
      </c>
      <c r="C1513" s="5">
        <v>-0.123962242693051</v>
      </c>
      <c r="D1513" s="5">
        <v>0.086766365688487</v>
      </c>
      <c r="E1513" s="5">
        <v>0.311148936170212</v>
      </c>
      <c r="F1513" s="5">
        <v>-0.123962242693051</v>
      </c>
      <c r="G1513" s="5">
        <v>1.2327536231884</v>
      </c>
      <c r="H1513" s="5">
        <v>2.06404136833731</v>
      </c>
      <c r="I1513" s="5">
        <v>4.81797583081571</v>
      </c>
    </row>
    <row r="1514">
      <c r="A1514" s="2" t="s">
        <v>1539</v>
      </c>
      <c r="B1514" s="8" t="str">
        <f>HYPERLINK("https://www.suredividend.com/sure-analysis-research-database/","Sutro Biopharma Inc")</f>
        <v>Sutro Biopharma Inc</v>
      </c>
      <c r="C1514" s="5">
        <v>0.163170163170163</v>
      </c>
      <c r="D1514" s="5">
        <v>0.94921875</v>
      </c>
      <c r="E1514" s="5">
        <v>0.113839285714285</v>
      </c>
      <c r="F1514" s="5">
        <v>0.163170163170163</v>
      </c>
      <c r="G1514" s="5">
        <v>-0.334666666666666</v>
      </c>
      <c r="H1514" s="5">
        <v>-0.519730510105871</v>
      </c>
      <c r="I1514" s="5">
        <v>-0.522488038277511</v>
      </c>
    </row>
    <row r="1515">
      <c r="A1515" s="2" t="s">
        <v>1540</v>
      </c>
      <c r="B1515" s="8" t="str">
        <f>HYPERLINK("https://www.suredividend.com/sure-analysis-research-database/","Stratus Properties Inc.")</f>
        <v>Stratus Properties Inc.</v>
      </c>
      <c r="C1515" s="5">
        <v>-0.18052668052668</v>
      </c>
      <c r="D1515" s="5">
        <v>-0.054</v>
      </c>
      <c r="E1515" s="5">
        <v>-0.136546184738955</v>
      </c>
      <c r="F1515" s="5">
        <v>-0.18052668052668</v>
      </c>
      <c r="G1515" s="5">
        <v>0.046923417441345</v>
      </c>
      <c r="H1515" s="5">
        <v>-0.304411764705882</v>
      </c>
      <c r="I1515" s="5">
        <v>0.001694197373994</v>
      </c>
    </row>
    <row r="1516">
      <c r="A1516" s="2" t="s">
        <v>1541</v>
      </c>
      <c r="B1516" s="8" t="str">
        <f>HYPERLINK("https://www.suredividend.com/sure-analysis-research-database/","Summit Materials Inc")</f>
        <v>Summit Materials Inc</v>
      </c>
      <c r="C1516" s="5">
        <v>-0.028081123244929</v>
      </c>
      <c r="D1516" s="5">
        <v>0.18704350587488</v>
      </c>
      <c r="E1516" s="5">
        <v>0.033453137959635</v>
      </c>
      <c r="F1516" s="5">
        <v>-0.028081123244929</v>
      </c>
      <c r="G1516" s="5">
        <v>0.167030908523259</v>
      </c>
      <c r="H1516" s="5">
        <v>0.079370396144528</v>
      </c>
      <c r="I1516" s="5">
        <v>1.51924139697259</v>
      </c>
    </row>
    <row r="1517">
      <c r="A1517" s="2" t="s">
        <v>1542</v>
      </c>
      <c r="B1517" s="8" t="str">
        <f>HYPERLINK("https://www.suredividend.com/sure-analysis-research-database/","Sunlight Financial Holdings Inc")</f>
        <v>Sunlight Financial Holdings Inc</v>
      </c>
      <c r="C1517" s="5">
        <v>0.0</v>
      </c>
      <c r="D1517" s="5">
        <v>0.0</v>
      </c>
      <c r="E1517" s="5">
        <v>0.0</v>
      </c>
      <c r="F1517" s="5">
        <v>0.0</v>
      </c>
      <c r="G1517" s="5">
        <v>0.0</v>
      </c>
      <c r="H1517" s="5">
        <v>0.0</v>
      </c>
      <c r="I1517" s="5">
        <v>0.0</v>
      </c>
    </row>
    <row r="1518">
      <c r="A1518" s="2" t="s">
        <v>1543</v>
      </c>
      <c r="B1518" s="8" t="str">
        <f>HYPERLINK("https://www.suredividend.com/sure-analysis-research-database/","Supernus Pharmaceuticals Inc")</f>
        <v>Supernus Pharmaceuticals Inc</v>
      </c>
      <c r="C1518" s="5">
        <v>0.00449205252246</v>
      </c>
      <c r="D1518" s="5">
        <v>0.233870967741935</v>
      </c>
      <c r="E1518" s="5">
        <v>-0.044378698224852</v>
      </c>
      <c r="F1518" s="5">
        <v>0.00449205252246</v>
      </c>
      <c r="G1518" s="5">
        <v>-0.285398230088495</v>
      </c>
      <c r="H1518" s="5">
        <v>-0.053402800390752</v>
      </c>
      <c r="I1518" s="5">
        <v>-0.209194776931447</v>
      </c>
    </row>
    <row r="1519">
      <c r="A1519" s="2" t="s">
        <v>1544</v>
      </c>
      <c r="B1519" s="8" t="str">
        <f>HYPERLINK("https://www.suredividend.com/sure-analysis-research-database/","Service Properties Trust")</f>
        <v>Service Properties Trust</v>
      </c>
      <c r="C1519" s="5">
        <v>-0.044165325776315</v>
      </c>
      <c r="D1519" s="5">
        <v>0.159487844313994</v>
      </c>
      <c r="E1519" s="5">
        <v>0.025707106500869</v>
      </c>
      <c r="F1519" s="5">
        <v>-0.044165325776315</v>
      </c>
      <c r="G1519" s="5">
        <v>0.064000427738865</v>
      </c>
      <c r="H1519" s="5">
        <v>0.210149444334645</v>
      </c>
      <c r="I1519" s="5">
        <v>-0.683555626229899</v>
      </c>
    </row>
    <row r="1520">
      <c r="A1520" s="2" t="s">
        <v>1545</v>
      </c>
      <c r="B1520" s="8" t="str">
        <f>HYPERLINK("https://www.suredividend.com/sure-analysis-research-database/","ShockWave Medical Inc")</f>
        <v>ShockWave Medical Inc</v>
      </c>
      <c r="C1520" s="5">
        <v>0.195633921074727</v>
      </c>
      <c r="D1520" s="5">
        <v>0.101314771848414</v>
      </c>
      <c r="E1520" s="5">
        <v>-0.133490530158971</v>
      </c>
      <c r="F1520" s="5">
        <v>0.195633921074727</v>
      </c>
      <c r="G1520" s="5">
        <v>0.213011765958579</v>
      </c>
      <c r="H1520" s="5">
        <v>0.701949652648091</v>
      </c>
      <c r="I1520" s="5">
        <v>6.47016393442623</v>
      </c>
    </row>
    <row r="1521">
      <c r="A1521" s="2" t="s">
        <v>1546</v>
      </c>
      <c r="B1521" s="8" t="str">
        <f>HYPERLINK("https://www.suredividend.com/sure-analysis-research-database/","Smith &amp; Wesson Brands Inc")</f>
        <v>Smith &amp; Wesson Brands Inc</v>
      </c>
      <c r="C1521" s="5">
        <v>-0.009587020648967</v>
      </c>
      <c r="D1521" s="5">
        <v>-0.03991192639563</v>
      </c>
      <c r="E1521" s="5">
        <v>0.078255842894189</v>
      </c>
      <c r="F1521" s="5">
        <v>-0.009587020648967</v>
      </c>
      <c r="G1521" s="5">
        <v>0.303516485649671</v>
      </c>
      <c r="H1521" s="5">
        <v>-0.119020755162551</v>
      </c>
      <c r="I1521" s="5">
        <v>0.13429054054054</v>
      </c>
    </row>
    <row r="1522">
      <c r="A1522" s="2" t="s">
        <v>1547</v>
      </c>
      <c r="B1522" s="8" t="str">
        <f>HYPERLINK("https://www.suredividend.com/sure-analysis-research-database/","SolarWinds Corp")</f>
        <v>SolarWinds Corp</v>
      </c>
      <c r="C1522" s="5">
        <v>-0.003202562049639</v>
      </c>
      <c r="D1522" s="5">
        <v>0.316067653276955</v>
      </c>
      <c r="E1522" s="5">
        <v>0.208737864077669</v>
      </c>
      <c r="F1522" s="5">
        <v>-0.003202562049639</v>
      </c>
      <c r="G1522" s="5">
        <v>0.2158203125</v>
      </c>
      <c r="H1522" s="5">
        <v>-0.045245398773006</v>
      </c>
      <c r="I1522" s="5">
        <v>-0.649226608063561</v>
      </c>
    </row>
    <row r="1523">
      <c r="A1523" s="2" t="s">
        <v>1548</v>
      </c>
      <c r="B1523" s="8" t="str">
        <f>HYPERLINK("https://www.suredividend.com/sure-analysis-research-database/","Latham Group Inc")</f>
        <v>Latham Group Inc</v>
      </c>
      <c r="C1523" s="5">
        <v>0.045627376425855</v>
      </c>
      <c r="D1523" s="5">
        <v>0.303317535545023</v>
      </c>
      <c r="E1523" s="5">
        <v>-0.310776942355889</v>
      </c>
      <c r="F1523" s="5">
        <v>0.045627376425855</v>
      </c>
      <c r="G1523" s="5">
        <v>-0.337349397590361</v>
      </c>
      <c r="H1523" s="5">
        <v>-0.818721160184574</v>
      </c>
      <c r="I1523" s="5">
        <v>-0.899082568807339</v>
      </c>
    </row>
    <row r="1524">
      <c r="A1524" s="2" t="s">
        <v>1549</v>
      </c>
      <c r="B1524" s="8" t="str">
        <f>HYPERLINK("https://www.suredividend.com/sure-analysis-research-database/","Swk Holdings Corp")</f>
        <v>Swk Holdings Corp</v>
      </c>
      <c r="C1524" s="5">
        <v>-0.001711351968054</v>
      </c>
      <c r="D1524" s="5">
        <v>0.09375</v>
      </c>
      <c r="E1524" s="5">
        <v>0.097867001254705</v>
      </c>
      <c r="F1524" s="5">
        <v>-0.001711351968054</v>
      </c>
      <c r="G1524" s="5">
        <v>-0.078462348604528</v>
      </c>
      <c r="H1524" s="5">
        <v>-0.075052854122621</v>
      </c>
      <c r="I1524" s="5">
        <v>14.2173913043478</v>
      </c>
    </row>
    <row r="1525">
      <c r="A1525" s="2" t="s">
        <v>1550</v>
      </c>
      <c r="B1525" s="8" t="str">
        <f>HYPERLINK("https://www.suredividend.com/sure-analysis-research-database/","SpringWorks Therapeutics Inc")</f>
        <v>SpringWorks Therapeutics Inc</v>
      </c>
      <c r="C1525" s="5">
        <v>0.221917808219178</v>
      </c>
      <c r="D1525" s="5">
        <v>1.06385932438685</v>
      </c>
      <c r="E1525" s="5">
        <v>0.458469587965991</v>
      </c>
      <c r="F1525" s="5">
        <v>0.221917808219178</v>
      </c>
      <c r="G1525" s="5">
        <v>0.447581953911067</v>
      </c>
      <c r="H1525" s="5">
        <v>-0.151607380635343</v>
      </c>
      <c r="I1525" s="5">
        <v>0.970835174547061</v>
      </c>
    </row>
    <row r="1526">
      <c r="A1526" s="2" t="s">
        <v>1551</v>
      </c>
      <c r="B1526" s="8" t="str">
        <f>HYPERLINK("https://www.suredividend.com/sure-analysis-SWX/","Southwest Gas Holdings Inc")</f>
        <v>Southwest Gas Holdings Inc</v>
      </c>
      <c r="C1526" s="5">
        <v>-0.050197316495659</v>
      </c>
      <c r="D1526" s="5">
        <v>0.067434467293963</v>
      </c>
      <c r="E1526" s="5">
        <v>-0.067230121475565</v>
      </c>
      <c r="F1526" s="5">
        <v>-0.050197316495659</v>
      </c>
      <c r="G1526" s="5">
        <v>-0.05063191277868</v>
      </c>
      <c r="H1526" s="5">
        <v>-0.042434003221062</v>
      </c>
      <c r="I1526" s="5">
        <v>-0.070391896944359</v>
      </c>
    </row>
    <row r="1527">
      <c r="A1527" s="2" t="s">
        <v>1552</v>
      </c>
      <c r="B1527" s="8" t="str">
        <f>HYPERLINK("https://www.suredividend.com/sure-analysis-research-database/","SunCoke Energy Inc")</f>
        <v>SunCoke Energy Inc</v>
      </c>
      <c r="C1527" s="5">
        <v>-0.037243947858473</v>
      </c>
      <c r="D1527" s="5">
        <v>0.095350586340956</v>
      </c>
      <c r="E1527" s="5">
        <v>0.215569636622268</v>
      </c>
      <c r="F1527" s="5">
        <v>-0.037243947858473</v>
      </c>
      <c r="G1527" s="5">
        <v>0.187441144720824</v>
      </c>
      <c r="H1527" s="5">
        <v>0.625786163522012</v>
      </c>
      <c r="I1527" s="5">
        <v>0.165267369132811</v>
      </c>
    </row>
    <row r="1528">
      <c r="A1528" s="2" t="s">
        <v>1553</v>
      </c>
      <c r="B1528" s="8" t="str">
        <f>HYPERLINK("https://www.suredividend.com/sure-analysis-SXI/","Standex International Corp.")</f>
        <v>Standex International Corp.</v>
      </c>
      <c r="C1528" s="5">
        <v>-0.051458517489582</v>
      </c>
      <c r="D1528" s="5">
        <v>0.067884560705146</v>
      </c>
      <c r="E1528" s="5">
        <v>0.044448322298829</v>
      </c>
      <c r="F1528" s="5">
        <v>-0.051458517489582</v>
      </c>
      <c r="G1528" s="5">
        <v>0.362325175221514</v>
      </c>
      <c r="H1528" s="5">
        <v>0.547185395509114</v>
      </c>
      <c r="I1528" s="5">
        <v>1.01505219713522</v>
      </c>
    </row>
    <row r="1529">
      <c r="A1529" s="2" t="s">
        <v>1554</v>
      </c>
      <c r="B1529" s="8" t="str">
        <f>HYPERLINK("https://www.suredividend.com/sure-analysis-SXT/","Sensient Technologies Corp.")</f>
        <v>Sensient Technologies Corp.</v>
      </c>
      <c r="C1529" s="5">
        <v>-0.044242424242424</v>
      </c>
      <c r="D1529" s="5">
        <v>0.136980153315681</v>
      </c>
      <c r="E1529" s="5">
        <v>-0.012099742218797</v>
      </c>
      <c r="F1529" s="5">
        <v>-0.044242424242424</v>
      </c>
      <c r="G1529" s="5">
        <v>-0.108825565460633</v>
      </c>
      <c r="H1529" s="5">
        <v>-0.219729898891442</v>
      </c>
      <c r="I1529" s="5">
        <v>0.146663079557476</v>
      </c>
    </row>
    <row r="1530">
      <c r="A1530" s="2" t="s">
        <v>1555</v>
      </c>
      <c r="B1530" s="8" t="str">
        <f>HYPERLINK("https://www.suredividend.com/sure-analysis-SYBT/","Stock Yards Bancorp Inc")</f>
        <v>Stock Yards Bancorp Inc</v>
      </c>
      <c r="C1530" s="5">
        <v>0.021751796465333</v>
      </c>
      <c r="D1530" s="5">
        <v>0.377401813321604</v>
      </c>
      <c r="E1530" s="5">
        <v>0.122708328442868</v>
      </c>
      <c r="F1530" s="5">
        <v>0.021751796465333</v>
      </c>
      <c r="G1530" s="5">
        <v>-0.062988676072994</v>
      </c>
      <c r="H1530" s="5">
        <v>-0.057215766950762</v>
      </c>
      <c r="I1530" s="5">
        <v>0.746645153150999</v>
      </c>
    </row>
    <row r="1531">
      <c r="A1531" s="2" t="s">
        <v>1556</v>
      </c>
      <c r="B1531" s="8" t="str">
        <f>HYPERLINK("https://www.suredividend.com/sure-analysis-research-database/","Synaptics Inc")</f>
        <v>Synaptics Inc</v>
      </c>
      <c r="C1531" s="5">
        <v>-0.032959326788218</v>
      </c>
      <c r="D1531" s="5">
        <v>0.332850066449196</v>
      </c>
      <c r="E1531" s="5">
        <v>0.250084985835693</v>
      </c>
      <c r="F1531" s="5">
        <v>-0.032959326788218</v>
      </c>
      <c r="G1531" s="5">
        <v>-0.120675912641479</v>
      </c>
      <c r="H1531" s="5">
        <v>-0.423705793240348</v>
      </c>
      <c r="I1531" s="5">
        <v>1.77814152606396</v>
      </c>
    </row>
    <row r="1532">
      <c r="A1532" s="2" t="s">
        <v>1557</v>
      </c>
      <c r="B1532" s="8" t="str">
        <f>HYPERLINK("https://www.suredividend.com/sure-analysis-research-database/","Talos Energy Inc")</f>
        <v>Talos Energy Inc</v>
      </c>
      <c r="C1532" s="5">
        <v>-0.058327477160927</v>
      </c>
      <c r="D1532" s="5">
        <v>-0.13992297817715</v>
      </c>
      <c r="E1532" s="5">
        <v>-0.150285351934051</v>
      </c>
      <c r="F1532" s="5">
        <v>-0.058327477160927</v>
      </c>
      <c r="G1532" s="5">
        <v>-0.344422700587084</v>
      </c>
      <c r="H1532" s="5">
        <v>0.300970873786407</v>
      </c>
      <c r="I1532" s="5">
        <v>-0.293993677555321</v>
      </c>
    </row>
    <row r="1533">
      <c r="A1533" s="2" t="s">
        <v>1558</v>
      </c>
      <c r="B1533" s="8" t="str">
        <f>HYPERLINK("https://www.suredividend.com/sure-analysis-research-database/","Tarsus Pharmaceuticals Inc")</f>
        <v>Tarsus Pharmaceuticals Inc</v>
      </c>
      <c r="C1533" s="5">
        <v>0.381728395061728</v>
      </c>
      <c r="D1533" s="5">
        <v>1.03343023255813</v>
      </c>
      <c r="E1533" s="5">
        <v>0.221300742034046</v>
      </c>
      <c r="F1533" s="5">
        <v>0.381728395061728</v>
      </c>
      <c r="G1533" s="5">
        <v>0.735732009925558</v>
      </c>
      <c r="H1533" s="5">
        <v>0.434871794871794</v>
      </c>
      <c r="I1533" s="5">
        <v>0.359572400388727</v>
      </c>
    </row>
    <row r="1534">
      <c r="A1534" s="2" t="s">
        <v>1559</v>
      </c>
      <c r="B1534" s="8" t="str">
        <f>HYPERLINK("https://www.suredividend.com/sure-analysis-research-database/","Bancorp Inc. (The)")</f>
        <v>Bancorp Inc. (The)</v>
      </c>
      <c r="C1534" s="5">
        <v>0.172977178423236</v>
      </c>
      <c r="D1534" s="5">
        <v>0.300460034502587</v>
      </c>
      <c r="E1534" s="5">
        <v>0.174805194805194</v>
      </c>
      <c r="F1534" s="5">
        <v>0.172977178423236</v>
      </c>
      <c r="G1534" s="5">
        <v>0.336979012710611</v>
      </c>
      <c r="H1534" s="5">
        <v>0.64174228675136</v>
      </c>
      <c r="I1534" s="5">
        <v>4.30868544600939</v>
      </c>
    </row>
    <row r="1535">
      <c r="A1535" s="2" t="s">
        <v>1560</v>
      </c>
      <c r="B1535" s="8" t="str">
        <f>HYPERLINK("https://www.suredividend.com/sure-analysis-research-database/","TrueBlue Inc")</f>
        <v>TrueBlue Inc</v>
      </c>
      <c r="C1535" s="5">
        <v>-0.067796610169491</v>
      </c>
      <c r="D1535" s="5">
        <v>0.321626617375231</v>
      </c>
      <c r="E1535" s="5">
        <v>-0.042196918955123</v>
      </c>
      <c r="F1535" s="5">
        <v>-0.067796610169491</v>
      </c>
      <c r="G1535" s="5">
        <v>-0.250916710319539</v>
      </c>
      <c r="H1535" s="5">
        <v>-0.440532081377151</v>
      </c>
      <c r="I1535" s="5">
        <v>-0.400921658986175</v>
      </c>
    </row>
    <row r="1536">
      <c r="A1536" s="2" t="s">
        <v>1561</v>
      </c>
      <c r="B1536" s="8" t="str">
        <f>HYPERLINK("https://www.suredividend.com/sure-analysis-research-database/","Theravance Biopharma Inc")</f>
        <v>Theravance Biopharma Inc</v>
      </c>
      <c r="C1536" s="5">
        <v>-0.107651245551601</v>
      </c>
      <c r="D1536" s="5">
        <v>0.110741971207087</v>
      </c>
      <c r="E1536" s="5">
        <v>0.025562372188139</v>
      </c>
      <c r="F1536" s="5">
        <v>-0.107651245551601</v>
      </c>
      <c r="G1536" s="5">
        <v>-0.077276908923643</v>
      </c>
      <c r="H1536" s="5">
        <v>0.144977168949771</v>
      </c>
      <c r="I1536" s="5">
        <v>-0.5988</v>
      </c>
    </row>
    <row r="1537">
      <c r="A1537" s="2" t="s">
        <v>1562</v>
      </c>
      <c r="B1537" s="8" t="str">
        <f>HYPERLINK("https://www.suredividend.com/sure-analysis-research-database/","Texas Capital Bancshares, Inc.")</f>
        <v>Texas Capital Bancshares, Inc.</v>
      </c>
      <c r="C1537" s="5">
        <v>-0.011759244932693</v>
      </c>
      <c r="D1537" s="5">
        <v>0.172141677371994</v>
      </c>
      <c r="E1537" s="5">
        <v>-7.82227784731E-4</v>
      </c>
      <c r="F1537" s="5">
        <v>-0.011759244932693</v>
      </c>
      <c r="G1537" s="5">
        <v>0.008845364081503</v>
      </c>
      <c r="H1537" s="5">
        <v>0.031825525040387</v>
      </c>
      <c r="I1537" s="5">
        <v>0.047908121410992</v>
      </c>
    </row>
    <row r="1538">
      <c r="A1538" s="2" t="s">
        <v>1563</v>
      </c>
      <c r="B1538" s="8" t="str">
        <f>HYPERLINK("https://www.suredividend.com/sure-analysis-research-database/","Trico Bancshares")</f>
        <v>Trico Bancshares</v>
      </c>
      <c r="C1538" s="5">
        <v>-0.097277170118687</v>
      </c>
      <c r="D1538" s="5">
        <v>0.205088773941003</v>
      </c>
      <c r="E1538" s="5">
        <v>0.072148193600278</v>
      </c>
      <c r="F1538" s="5">
        <v>-0.097277170118687</v>
      </c>
      <c r="G1538" s="5">
        <v>-0.176224991027457</v>
      </c>
      <c r="H1538" s="5">
        <v>-0.013872894088576</v>
      </c>
      <c r="I1538" s="5">
        <v>0.275256925312485</v>
      </c>
    </row>
    <row r="1539">
      <c r="A1539" s="2" t="s">
        <v>1564</v>
      </c>
      <c r="B1539" s="8" t="str">
        <f>HYPERLINK("https://www.suredividend.com/sure-analysis-research-database/","Third Coast Bancshares Inc")</f>
        <v>Third Coast Bancshares Inc</v>
      </c>
      <c r="C1539" s="5">
        <v>0.00603925515853</v>
      </c>
      <c r="D1539" s="5">
        <v>0.332666666666666</v>
      </c>
      <c r="E1539" s="5">
        <v>-0.024878048780487</v>
      </c>
      <c r="F1539" s="5">
        <v>0.00603925515853</v>
      </c>
      <c r="G1539" s="5">
        <v>0.069269858250869</v>
      </c>
      <c r="H1539" s="5">
        <v>-0.161844863731656</v>
      </c>
      <c r="I1539" s="5">
        <v>-0.200719712115154</v>
      </c>
    </row>
    <row r="1540">
      <c r="A1540" s="2" t="s">
        <v>1565</v>
      </c>
      <c r="B1540" s="8" t="str">
        <f>HYPERLINK("https://www.suredividend.com/sure-analysis-research-database/","Transcontinental Realty Investors, Inc.")</f>
        <v>Transcontinental Realty Investors, Inc.</v>
      </c>
      <c r="C1540" s="5">
        <v>0.180844907407407</v>
      </c>
      <c r="D1540" s="5">
        <v>0.420961002785515</v>
      </c>
      <c r="E1540" s="5">
        <v>0.166333238068019</v>
      </c>
      <c r="F1540" s="5">
        <v>0.180844907407407</v>
      </c>
      <c r="G1540" s="5">
        <v>-0.106024096385542</v>
      </c>
      <c r="H1540" s="5">
        <v>0.06</v>
      </c>
      <c r="I1540" s="5">
        <v>0.297202797202797</v>
      </c>
    </row>
    <row r="1541">
      <c r="A1541" s="2" t="s">
        <v>1566</v>
      </c>
      <c r="B1541" s="8" t="str">
        <f>HYPERLINK("https://www.suredividend.com/sure-analysis-research-database/","Tactile Systems Technology Inc")</f>
        <v>Tactile Systems Technology Inc</v>
      </c>
      <c r="C1541" s="5">
        <v>0.056643356643356</v>
      </c>
      <c r="D1541" s="5">
        <v>0.37114337568058</v>
      </c>
      <c r="E1541" s="5">
        <v>-0.343328987396784</v>
      </c>
      <c r="F1541" s="5">
        <v>0.056643356643356</v>
      </c>
      <c r="G1541" s="5">
        <v>0.177708495713172</v>
      </c>
      <c r="H1541" s="5">
        <v>0.0</v>
      </c>
      <c r="I1541" s="5">
        <v>-0.767252002464571</v>
      </c>
    </row>
    <row r="1542">
      <c r="A1542" s="2" t="s">
        <v>1567</v>
      </c>
      <c r="B1542" s="8" t="str">
        <f>HYPERLINK("https://www.suredividend.com/sure-analysis-research-database/","Container Store Group Inc")</f>
        <v>Container Store Group Inc</v>
      </c>
      <c r="C1542" s="5">
        <v>-0.289473684210526</v>
      </c>
      <c r="D1542" s="5">
        <v>-0.129032258064516</v>
      </c>
      <c r="E1542" s="5">
        <v>-0.53179190751445</v>
      </c>
      <c r="F1542" s="5">
        <v>-0.289473684210526</v>
      </c>
      <c r="G1542" s="5">
        <v>-0.686653771760154</v>
      </c>
      <c r="H1542" s="5">
        <v>-0.835030549898166</v>
      </c>
      <c r="I1542" s="5">
        <v>-0.768571428571428</v>
      </c>
    </row>
    <row r="1543">
      <c r="A1543" s="2" t="s">
        <v>1568</v>
      </c>
      <c r="B1543" s="8" t="str">
        <f>HYPERLINK("https://www.suredividend.com/sure-analysis-research-database/","Tucows, Inc.")</f>
        <v>Tucows, Inc.</v>
      </c>
      <c r="C1543" s="5">
        <v>-0.091481481481481</v>
      </c>
      <c r="D1543" s="5">
        <v>0.469742360695026</v>
      </c>
      <c r="E1543" s="5">
        <v>-0.150329061309317</v>
      </c>
      <c r="F1543" s="5">
        <v>-0.091481481481481</v>
      </c>
      <c r="G1543" s="5">
        <v>-0.258688425506195</v>
      </c>
      <c r="H1543" s="5">
        <v>-0.689139526042326</v>
      </c>
      <c r="I1543" s="5">
        <v>-0.654992967651195</v>
      </c>
    </row>
    <row r="1544">
      <c r="A1544" s="2" t="s">
        <v>1569</v>
      </c>
      <c r="B1544" s="8" t="str">
        <f>HYPERLINK("https://www.suredividend.com/sure-analysis-TDS/","Telephone And Data Systems, Inc.")</f>
        <v>Telephone And Data Systems, Inc.</v>
      </c>
      <c r="C1544" s="5">
        <v>0.045231607629427</v>
      </c>
      <c r="D1544" s="5">
        <v>0.088251648264357</v>
      </c>
      <c r="E1544" s="5">
        <v>1.43803228676751</v>
      </c>
      <c r="F1544" s="5">
        <v>0.045231607629427</v>
      </c>
      <c r="G1544" s="5">
        <v>0.517297027901494</v>
      </c>
      <c r="H1544" s="5">
        <v>0.074660316570948</v>
      </c>
      <c r="I1544" s="5">
        <v>-0.338216773686008</v>
      </c>
    </row>
    <row r="1545">
      <c r="A1545" s="2" t="s">
        <v>1570</v>
      </c>
      <c r="B1545" s="8" t="str">
        <f>HYPERLINK("https://www.suredividend.com/sure-analysis-research-database/","ThredUp Inc")</f>
        <v>ThredUp Inc</v>
      </c>
      <c r="C1545" s="5">
        <v>0.022222222222222</v>
      </c>
      <c r="D1545" s="5">
        <v>-0.178571428571428</v>
      </c>
      <c r="E1545" s="5">
        <v>-0.350282485875706</v>
      </c>
      <c r="F1545" s="5">
        <v>0.022222222222222</v>
      </c>
      <c r="G1545" s="5">
        <v>0.314285714285714</v>
      </c>
      <c r="H1545" s="5">
        <v>-0.722222222222222</v>
      </c>
      <c r="I1545" s="5">
        <v>-0.885</v>
      </c>
    </row>
    <row r="1546">
      <c r="A1546" s="2" t="s">
        <v>1571</v>
      </c>
      <c r="B1546" s="8" t="str">
        <f>HYPERLINK("https://www.suredividend.com/sure-analysis-research-database/","Tidewater Inc.")</f>
        <v>Tidewater Inc.</v>
      </c>
      <c r="C1546" s="5">
        <v>0.018028012758285</v>
      </c>
      <c r="D1546" s="5">
        <v>0.070428696412948</v>
      </c>
      <c r="E1546" s="5">
        <v>0.18479664299548</v>
      </c>
      <c r="F1546" s="5">
        <v>0.018028012758285</v>
      </c>
      <c r="G1546" s="5">
        <v>0.697341040462427</v>
      </c>
      <c r="H1546" s="5">
        <v>3.73307543520309</v>
      </c>
      <c r="I1546" s="5">
        <v>2.37052341597796</v>
      </c>
    </row>
    <row r="1547">
      <c r="A1547" s="2" t="s">
        <v>1572</v>
      </c>
      <c r="B1547" s="8" t="str">
        <f>HYPERLINK("https://www.suredividend.com/sure-analysis-research-database/","Tellurian Inc")</f>
        <v>Tellurian Inc</v>
      </c>
      <c r="C1547" s="5">
        <v>-0.242323980942297</v>
      </c>
      <c r="D1547" s="5">
        <v>-0.119366251345946</v>
      </c>
      <c r="E1547" s="5">
        <v>-0.648773006134969</v>
      </c>
      <c r="F1547" s="5">
        <v>-0.242323980942297</v>
      </c>
      <c r="G1547" s="5">
        <v>-0.704896907216494</v>
      </c>
      <c r="H1547" s="5">
        <v>-0.75534188034188</v>
      </c>
      <c r="I1547" s="5">
        <v>-0.938108108108108</v>
      </c>
    </row>
    <row r="1548">
      <c r="A1548" s="2" t="s">
        <v>1573</v>
      </c>
      <c r="B1548" s="8" t="str">
        <f>HYPERLINK("https://www.suredividend.com/sure-analysis-research-database/","Tenable Holdings Inc")</f>
        <v>Tenable Holdings Inc</v>
      </c>
      <c r="C1548" s="5">
        <v>0.04363873208858</v>
      </c>
      <c r="D1548" s="5">
        <v>0.15580668429911</v>
      </c>
      <c r="E1548" s="5">
        <v>0.008602601762484</v>
      </c>
      <c r="F1548" s="5">
        <v>0.04363873208858</v>
      </c>
      <c r="G1548" s="5">
        <v>0.195176529090004</v>
      </c>
      <c r="H1548" s="5">
        <v>-0.005791106514994</v>
      </c>
      <c r="I1548" s="5">
        <v>0.787653402751952</v>
      </c>
    </row>
    <row r="1549">
      <c r="A1549" s="2" t="s">
        <v>1574</v>
      </c>
      <c r="B1549" s="8" t="str">
        <f>HYPERLINK("https://www.suredividend.com/sure-analysis-research-database/","Terex Corp.")</f>
        <v>Terex Corp.</v>
      </c>
      <c r="C1549" s="5">
        <v>0.097633136094674</v>
      </c>
      <c r="D1549" s="5">
        <v>0.44471397778526</v>
      </c>
      <c r="E1549" s="5">
        <v>0.105946016086806</v>
      </c>
      <c r="F1549" s="5">
        <v>0.097633136094674</v>
      </c>
      <c r="G1549" s="5">
        <v>0.264822609982613</v>
      </c>
      <c r="H1549" s="5">
        <v>0.567595243776346</v>
      </c>
      <c r="I1549" s="5">
        <v>1.2601198325784</v>
      </c>
    </row>
    <row r="1550">
      <c r="A1550" s="2" t="s">
        <v>1575</v>
      </c>
      <c r="B1550" s="8" t="str">
        <f>HYPERLINK("https://www.suredividend.com/sure-analysis-research-database/","Triumph Financial Inc")</f>
        <v>Triumph Financial Inc</v>
      </c>
      <c r="C1550" s="5">
        <v>-0.086430531304564</v>
      </c>
      <c r="D1550" s="5">
        <v>0.226762686317199</v>
      </c>
      <c r="E1550" s="5">
        <v>0.023616545556176</v>
      </c>
      <c r="F1550" s="5">
        <v>-0.086430531304564</v>
      </c>
      <c r="G1550" s="5">
        <v>0.364313652449245</v>
      </c>
      <c r="H1550" s="5">
        <v>-0.124327555289898</v>
      </c>
      <c r="I1550" s="5">
        <v>1.37747484582927</v>
      </c>
    </row>
    <row r="1551">
      <c r="A1551" s="2" t="s">
        <v>1576</v>
      </c>
      <c r="B1551" s="8" t="str">
        <f>HYPERLINK("https://www.suredividend.com/sure-analysis-research-database/","Fresh Market Holdings Inc (The)")</f>
        <v>Fresh Market Holdings Inc (The)</v>
      </c>
      <c r="C1551" s="5">
        <v>0.0</v>
      </c>
      <c r="D1551" s="5">
        <v>0.0</v>
      </c>
      <c r="E1551" s="5">
        <v>0.0</v>
      </c>
      <c r="F1551" s="5">
        <v>0.0</v>
      </c>
      <c r="G1551" s="5">
        <v>0.0</v>
      </c>
      <c r="H1551" s="5">
        <v>0.0</v>
      </c>
      <c r="I1551" s="5">
        <v>0.0</v>
      </c>
    </row>
    <row r="1552">
      <c r="A1552" s="2" t="s">
        <v>1577</v>
      </c>
      <c r="B1552" s="8" t="str">
        <f>HYPERLINK("https://www.suredividend.com/sure-analysis-research-database/","Tredegar Corp.")</f>
        <v>Tredegar Corp.</v>
      </c>
      <c r="C1552" s="5">
        <v>-0.085027726432532</v>
      </c>
      <c r="D1552" s="5">
        <v>0.095132743362831</v>
      </c>
      <c r="E1552" s="5">
        <v>-0.280523255813953</v>
      </c>
      <c r="F1552" s="5">
        <v>-0.085027726432532</v>
      </c>
      <c r="G1552" s="5">
        <v>-0.561395736234914</v>
      </c>
      <c r="H1552" s="5">
        <v>-0.54213724782862</v>
      </c>
      <c r="I1552" s="5">
        <v>-0.497165843847138</v>
      </c>
    </row>
    <row r="1553">
      <c r="A1553" s="2" t="s">
        <v>1578</v>
      </c>
      <c r="B1553" s="8" t="str">
        <f>HYPERLINK("https://www.suredividend.com/sure-analysis-research-database/","Transphorm Inc")</f>
        <v>Transphorm Inc</v>
      </c>
      <c r="C1553" s="5">
        <v>0.342465753424657</v>
      </c>
      <c r="D1553" s="5">
        <v>1.11206896551724</v>
      </c>
      <c r="E1553" s="5">
        <v>0.601307189542483</v>
      </c>
      <c r="F1553" s="5">
        <v>0.342465753424657</v>
      </c>
      <c r="G1553" s="5">
        <v>0.008230452674897</v>
      </c>
      <c r="H1553" s="5">
        <v>-0.291907514450867</v>
      </c>
      <c r="I1553" s="5">
        <v>-0.291907514450867</v>
      </c>
    </row>
    <row r="1554">
      <c r="A1554" s="2" t="s">
        <v>1579</v>
      </c>
      <c r="B1554" s="8" t="str">
        <f>HYPERLINK("https://www.suredividend.com/sure-analysis-research-database/","Textainer Group Holdings Limited")</f>
        <v>Textainer Group Holdings Limited</v>
      </c>
      <c r="C1554" s="5">
        <v>0.009552845528455</v>
      </c>
      <c r="D1554" s="5">
        <v>0.016353323456951</v>
      </c>
      <c r="E1554" s="5">
        <v>0.245676996732198</v>
      </c>
      <c r="F1554" s="5">
        <v>0.009552845528455</v>
      </c>
      <c r="G1554" s="5">
        <v>0.50585424713351</v>
      </c>
      <c r="H1554" s="5">
        <v>0.428707030205058</v>
      </c>
      <c r="I1554" s="5">
        <v>3.13933913913079</v>
      </c>
    </row>
    <row r="1555">
      <c r="A1555" s="2" t="s">
        <v>1580</v>
      </c>
      <c r="B1555" s="8" t="str">
        <f>HYPERLINK("https://www.suredividend.com/sure-analysis-research-database/","Triumph Group Inc.")</f>
        <v>Triumph Group Inc.</v>
      </c>
      <c r="C1555" s="5">
        <v>-0.037997587454764</v>
      </c>
      <c r="D1555" s="5">
        <v>1.19696969696969</v>
      </c>
      <c r="E1555" s="5">
        <v>0.334728033472803</v>
      </c>
      <c r="F1555" s="5">
        <v>-0.037997587454764</v>
      </c>
      <c r="G1555" s="5">
        <v>0.451319381255686</v>
      </c>
      <c r="H1555" s="5">
        <v>-0.102924634420697</v>
      </c>
      <c r="I1555" s="5">
        <v>-0.066820343901568</v>
      </c>
    </row>
    <row r="1556">
      <c r="A1556" s="2" t="s">
        <v>1581</v>
      </c>
      <c r="B1556" s="8" t="str">
        <f>HYPERLINK("https://www.suredividend.com/sure-analysis-research-database/","TEGNA Inc")</f>
        <v>TEGNA Inc</v>
      </c>
      <c r="C1556" s="5">
        <v>0.030718954248365</v>
      </c>
      <c r="D1556" s="5">
        <v>0.11056338028169</v>
      </c>
      <c r="E1556" s="5">
        <v>-0.060084276527139</v>
      </c>
      <c r="F1556" s="5">
        <v>0.030718954248365</v>
      </c>
      <c r="G1556" s="5">
        <v>-0.181930892094765</v>
      </c>
      <c r="H1556" s="5">
        <v>-0.155198182899325</v>
      </c>
      <c r="I1556" s="5">
        <v>0.446059327862087</v>
      </c>
    </row>
    <row r="1557">
      <c r="A1557" s="2" t="s">
        <v>1582</v>
      </c>
      <c r="B1557" s="8" t="str">
        <f>HYPERLINK("https://www.suredividend.com/sure-analysis-research-database/","TG Therapeutics Inc")</f>
        <v>TG Therapeutics Inc</v>
      </c>
      <c r="C1557" s="5">
        <v>-0.048594847775175</v>
      </c>
      <c r="D1557" s="5">
        <v>1.33477011494252</v>
      </c>
      <c r="E1557" s="5">
        <v>-0.175126903553299</v>
      </c>
      <c r="F1557" s="5">
        <v>-0.048594847775175</v>
      </c>
      <c r="G1557" s="5">
        <v>0.110731373889268</v>
      </c>
      <c r="H1557" s="5">
        <v>0.670092497430626</v>
      </c>
      <c r="I1557" s="5">
        <v>2.89688249400479</v>
      </c>
    </row>
    <row r="1558">
      <c r="A1558" s="2" t="s">
        <v>1583</v>
      </c>
      <c r="B1558" s="8" t="str">
        <f>HYPERLINK("https://www.suredividend.com/sure-analysis-research-database/","Target Hospitality Corp")</f>
        <v>Target Hospitality Corp</v>
      </c>
      <c r="C1558" s="5">
        <v>-0.004110996916752</v>
      </c>
      <c r="D1558" s="5">
        <v>-0.317605633802816</v>
      </c>
      <c r="E1558" s="5">
        <v>-0.237007874015748</v>
      </c>
      <c r="F1558" s="5">
        <v>-0.004110996916752</v>
      </c>
      <c r="G1558" s="5">
        <v>-0.415913200723327</v>
      </c>
      <c r="H1558" s="5">
        <v>2.21926910299003</v>
      </c>
      <c r="I1558" s="5">
        <v>-0.046259842519685</v>
      </c>
    </row>
    <row r="1559">
      <c r="A1559" s="2" t="s">
        <v>1584</v>
      </c>
      <c r="B1559" s="8" t="str">
        <f>HYPERLINK("https://www.suredividend.com/sure-analysis-THFF/","First Financial Corp. - Indiana")</f>
        <v>First Financial Corp. - Indiana</v>
      </c>
      <c r="C1559" s="5">
        <v>-0.013711364164536</v>
      </c>
      <c r="D1559" s="5">
        <v>0.302311879760158</v>
      </c>
      <c r="E1559" s="5">
        <v>0.125941490307192</v>
      </c>
      <c r="F1559" s="5">
        <v>-0.013711364164536</v>
      </c>
      <c r="G1559" s="5">
        <v>0.025564193213974</v>
      </c>
      <c r="H1559" s="5">
        <v>0.024937571545182</v>
      </c>
      <c r="I1559" s="5">
        <v>0.193670508688143</v>
      </c>
    </row>
    <row r="1560">
      <c r="A1560" s="2" t="s">
        <v>1585</v>
      </c>
      <c r="B1560" s="8" t="str">
        <f>HYPERLINK("https://www.suredividend.com/sure-analysis-research-database/","Thermon Group Holdings Inc")</f>
        <v>Thermon Group Holdings Inc</v>
      </c>
      <c r="C1560" s="5">
        <v>0.042677310408351</v>
      </c>
      <c r="D1560" s="5">
        <v>0.300153139356814</v>
      </c>
      <c r="E1560" s="5">
        <v>0.223783783783783</v>
      </c>
      <c r="F1560" s="5">
        <v>0.042677310408351</v>
      </c>
      <c r="G1560" s="5">
        <v>0.504652193176783</v>
      </c>
      <c r="H1560" s="5">
        <v>1.00353982300884</v>
      </c>
      <c r="I1560" s="5">
        <v>0.51067615658363</v>
      </c>
    </row>
    <row r="1561">
      <c r="A1561" s="2" t="s">
        <v>1586</v>
      </c>
      <c r="B1561" s="8" t="str">
        <f>HYPERLINK("https://www.suredividend.com/sure-analysis-research-database/","Third Harmonic Bio Inc")</f>
        <v>Third Harmonic Bio Inc</v>
      </c>
      <c r="C1561" s="5">
        <v>-0.172288058340929</v>
      </c>
      <c r="D1561" s="5">
        <v>0.314037626628075</v>
      </c>
      <c r="E1561" s="5">
        <v>0.355223880597014</v>
      </c>
      <c r="F1561" s="5">
        <v>-0.172288058340929</v>
      </c>
      <c r="G1561" s="5">
        <v>1.12646370023419</v>
      </c>
      <c r="H1561" s="5">
        <v>-0.538617886178861</v>
      </c>
      <c r="I1561" s="5">
        <v>-0.538617886178861</v>
      </c>
    </row>
    <row r="1562">
      <c r="A1562" s="2" t="s">
        <v>1587</v>
      </c>
      <c r="B1562" s="8" t="str">
        <f>HYPERLINK("https://www.suredividend.com/sure-analysis-research-database/","Gentherm Inc")</f>
        <v>Gentherm Inc</v>
      </c>
      <c r="C1562" s="5">
        <v>-0.067417876241405</v>
      </c>
      <c r="D1562" s="5">
        <v>0.199165029469548</v>
      </c>
      <c r="E1562" s="5">
        <v>-0.153139091224418</v>
      </c>
      <c r="F1562" s="5">
        <v>-0.067417876241405</v>
      </c>
      <c r="G1562" s="5">
        <v>-0.321805555555555</v>
      </c>
      <c r="H1562" s="5">
        <v>-0.425867136978248</v>
      </c>
      <c r="I1562" s="5">
        <v>0.168181818181818</v>
      </c>
    </row>
    <row r="1563">
      <c r="A1563" s="2" t="s">
        <v>1588</v>
      </c>
      <c r="B1563" s="8" t="str">
        <f>HYPERLINK("https://www.suredividend.com/sure-analysis-research-database/","Thorne Healthtech Inc")</f>
        <v>Thorne Healthtech Inc</v>
      </c>
      <c r="C1563" s="5">
        <v>0.0</v>
      </c>
      <c r="D1563" s="5">
        <v>0.0</v>
      </c>
      <c r="E1563" s="5">
        <v>0.0</v>
      </c>
      <c r="F1563" s="5">
        <v>0.0</v>
      </c>
      <c r="G1563" s="5">
        <v>0.0</v>
      </c>
      <c r="H1563" s="5">
        <v>0.0</v>
      </c>
      <c r="I1563" s="5">
        <v>0.0</v>
      </c>
    </row>
    <row r="1564">
      <c r="A1564" s="2" t="s">
        <v>1589</v>
      </c>
      <c r="B1564" s="8" t="str">
        <f>HYPERLINK("https://www.suredividend.com/sure-analysis-research-database/","Theseus Pharmaceuticals Inc")</f>
        <v>Theseus Pharmaceuticals Inc</v>
      </c>
      <c r="C1564" s="5">
        <v>-0.004938271604938</v>
      </c>
      <c r="D1564" s="5">
        <v>0.874418604651163</v>
      </c>
      <c r="E1564" s="5">
        <v>0.206586826347305</v>
      </c>
      <c r="F1564" s="5">
        <v>-0.004938271604938</v>
      </c>
      <c r="G1564" s="5">
        <v>-0.667765869744435</v>
      </c>
      <c r="H1564" s="5">
        <v>-0.551724137931034</v>
      </c>
      <c r="I1564" s="5">
        <v>-0.783100107642626</v>
      </c>
    </row>
    <row r="1565">
      <c r="A1565" s="2" t="s">
        <v>1590</v>
      </c>
      <c r="B1565" s="8" t="str">
        <f>HYPERLINK("https://www.suredividend.com/sure-analysis-research-database/","Thryv Holdings Inc")</f>
        <v>Thryv Holdings Inc</v>
      </c>
      <c r="C1565" s="5">
        <v>0.061425061425061</v>
      </c>
      <c r="D1565" s="5">
        <v>0.253627394080092</v>
      </c>
      <c r="E1565" s="5">
        <v>-0.080068143100511</v>
      </c>
      <c r="F1565" s="5">
        <v>0.061425061425061</v>
      </c>
      <c r="G1565" s="5">
        <v>-0.023066485753052</v>
      </c>
      <c r="H1565" s="5">
        <v>-0.296874999999999</v>
      </c>
      <c r="I1565" s="5">
        <v>0.950338600451467</v>
      </c>
    </row>
    <row r="1566">
      <c r="A1566" s="2" t="s">
        <v>1591</v>
      </c>
      <c r="B1566" s="8" t="str">
        <f>HYPERLINK("https://www.suredividend.com/sure-analysis-research-database/","Treehouse Foods Inc")</f>
        <v>Treehouse Foods Inc</v>
      </c>
      <c r="C1566" s="5">
        <v>0.025572979493365</v>
      </c>
      <c r="D1566" s="5">
        <v>0.025078369905956</v>
      </c>
      <c r="E1566" s="5">
        <v>-0.171506528941726</v>
      </c>
      <c r="F1566" s="5">
        <v>0.025572979493365</v>
      </c>
      <c r="G1566" s="5">
        <v>-0.108991825613079</v>
      </c>
      <c r="H1566" s="5">
        <v>0.060099750623441</v>
      </c>
      <c r="I1566" s="5">
        <v>-0.253555750658472</v>
      </c>
    </row>
    <row r="1567">
      <c r="A1567" s="2" t="s">
        <v>1592</v>
      </c>
      <c r="B1567" s="8" t="str">
        <f>HYPERLINK("https://www.suredividend.com/sure-analysis-research-database/","Instil Bio Inc")</f>
        <v>Instil Bio Inc</v>
      </c>
      <c r="C1567" s="5">
        <v>0.556430446194225</v>
      </c>
      <c r="D1567" s="5">
        <v>0.647222222222222</v>
      </c>
      <c r="E1567" s="5">
        <v>0.088073394495412</v>
      </c>
      <c r="F1567" s="5">
        <v>0.556430446194225</v>
      </c>
      <c r="G1567" s="5">
        <v>-0.27372933251684</v>
      </c>
      <c r="H1567" s="5">
        <v>-0.945795246800731</v>
      </c>
      <c r="I1567" s="5">
        <v>-0.977571860816944</v>
      </c>
    </row>
    <row r="1568">
      <c r="A1568" s="2" t="s">
        <v>1593</v>
      </c>
      <c r="B1568" s="8" t="str">
        <f>HYPERLINK("https://www.suredividend.com/sure-analysis-research-database/","Interface Inc.")</f>
        <v>Interface Inc.</v>
      </c>
      <c r="C1568" s="5">
        <v>-0.008716323296354</v>
      </c>
      <c r="D1568" s="5">
        <v>0.440796065739919</v>
      </c>
      <c r="E1568" s="5">
        <v>0.31925843123194</v>
      </c>
      <c r="F1568" s="5">
        <v>-0.008716323296354</v>
      </c>
      <c r="G1568" s="5">
        <v>0.138235053272312</v>
      </c>
      <c r="H1568" s="5">
        <v>-0.025199869091589</v>
      </c>
      <c r="I1568" s="5">
        <v>-0.18549915034084</v>
      </c>
    </row>
    <row r="1569">
      <c r="A1569" s="2" t="s">
        <v>1594</v>
      </c>
      <c r="B1569" s="8" t="str">
        <f>HYPERLINK("https://www.suredividend.com/sure-analysis-research-database/","Tiptree Inc")</f>
        <v>Tiptree Inc</v>
      </c>
      <c r="C1569" s="5">
        <v>0.031118143459915</v>
      </c>
      <c r="D1569" s="5">
        <v>0.317953834537806</v>
      </c>
      <c r="E1569" s="5">
        <v>0.347393087287639</v>
      </c>
      <c r="F1569" s="5">
        <v>0.031118143459915</v>
      </c>
      <c r="G1569" s="5">
        <v>0.349066694269054</v>
      </c>
      <c r="H1569" s="5">
        <v>0.630457445477669</v>
      </c>
      <c r="I1569" s="5">
        <v>2.75117524032465</v>
      </c>
    </row>
    <row r="1570">
      <c r="A1570" s="2" t="s">
        <v>1595</v>
      </c>
      <c r="B1570" s="8" t="str">
        <f>HYPERLINK("https://www.suredividend.com/sure-analysis-research-database/","Titan Machinery Inc")</f>
        <v>Titan Machinery Inc</v>
      </c>
      <c r="C1570" s="5">
        <v>-0.040858725761772</v>
      </c>
      <c r="D1570" s="5">
        <v>0.171742808798646</v>
      </c>
      <c r="E1570" s="5">
        <v>-0.123140234251345</v>
      </c>
      <c r="F1570" s="5">
        <v>-0.040858725761772</v>
      </c>
      <c r="G1570" s="5">
        <v>-0.358647835147024</v>
      </c>
      <c r="H1570" s="5">
        <v>-0.059422750424448</v>
      </c>
      <c r="I1570" s="5">
        <v>0.523652365236523</v>
      </c>
    </row>
    <row r="1571">
      <c r="A1571" s="2" t="s">
        <v>1596</v>
      </c>
      <c r="B1571" s="8" t="str">
        <f>HYPERLINK("https://www.suredividend.com/sure-analysis-research-database/","Teekay Corp")</f>
        <v>Teekay Corp</v>
      </c>
      <c r="C1571" s="5">
        <v>0.216783216783216</v>
      </c>
      <c r="D1571" s="5">
        <v>0.2375533428165</v>
      </c>
      <c r="E1571" s="5">
        <v>0.35303265940902</v>
      </c>
      <c r="F1571" s="5">
        <v>0.216783216783216</v>
      </c>
      <c r="G1571" s="5">
        <v>0.831578947368421</v>
      </c>
      <c r="H1571" s="5">
        <v>1.78846153846153</v>
      </c>
      <c r="I1571" s="5">
        <v>1.53925631895394</v>
      </c>
    </row>
    <row r="1572">
      <c r="A1572" s="2" t="s">
        <v>1597</v>
      </c>
      <c r="B1572" s="8" t="str">
        <f>HYPERLINK("https://www.suredividend.com/sure-analysis-research-database/","Alpha Teknova Inc")</f>
        <v>Alpha Teknova Inc</v>
      </c>
      <c r="C1572" s="5">
        <v>-0.101876675603217</v>
      </c>
      <c r="D1572" s="5">
        <v>0.675</v>
      </c>
      <c r="E1572" s="5">
        <v>0.053459119496855</v>
      </c>
      <c r="F1572" s="5">
        <v>-0.101876675603217</v>
      </c>
      <c r="G1572" s="5">
        <v>-0.445364238410596</v>
      </c>
      <c r="H1572" s="5">
        <v>-0.777998674618952</v>
      </c>
      <c r="I1572" s="5">
        <v>-0.866</v>
      </c>
    </row>
    <row r="1573">
      <c r="A1573" s="2" t="s">
        <v>1598</v>
      </c>
      <c r="B1573" s="8" t="str">
        <f>HYPERLINK("https://www.suredividend.com/sure-analysis-research-database/","Telos Corp")</f>
        <v>Telos Corp</v>
      </c>
      <c r="C1573" s="5">
        <v>0.142465753424657</v>
      </c>
      <c r="D1573" s="5">
        <v>0.774468085106383</v>
      </c>
      <c r="E1573" s="5">
        <v>0.70204081632653</v>
      </c>
      <c r="F1573" s="5">
        <v>0.142465753424657</v>
      </c>
      <c r="G1573" s="5">
        <v>-0.166</v>
      </c>
      <c r="H1573" s="5">
        <v>-0.603988603988604</v>
      </c>
      <c r="I1573" s="5">
        <v>-0.794480039428289</v>
      </c>
    </row>
    <row r="1574">
      <c r="A1574" s="2" t="s">
        <v>1599</v>
      </c>
      <c r="B1574" s="8" t="str">
        <f>HYPERLINK("https://www.suredividend.com/sure-analysis-research-database/","Tillys Inc")</f>
        <v>Tillys Inc</v>
      </c>
      <c r="C1574" s="5">
        <v>-0.019893899204244</v>
      </c>
      <c r="D1574" s="5">
        <v>-0.064556962025316</v>
      </c>
      <c r="E1574" s="5">
        <v>-0.136682242990654</v>
      </c>
      <c r="F1574" s="5">
        <v>-0.019893899204244</v>
      </c>
      <c r="G1574" s="5">
        <v>-0.150574712643678</v>
      </c>
      <c r="H1574" s="5">
        <v>-0.419937205651491</v>
      </c>
      <c r="I1574" s="5">
        <v>-0.144567016634062</v>
      </c>
    </row>
    <row r="1575">
      <c r="A1575" s="2" t="s">
        <v>1600</v>
      </c>
      <c r="B1575" s="8" t="str">
        <f>HYPERLINK("https://www.suredividend.com/sure-analysis-research-database/","Treace Medical Concepts Inc")</f>
        <v>Treace Medical Concepts Inc</v>
      </c>
      <c r="C1575" s="5">
        <v>0.086274509803921</v>
      </c>
      <c r="D1575" s="5">
        <v>0.457894736842105</v>
      </c>
      <c r="E1575" s="5">
        <v>-0.404557179707652</v>
      </c>
      <c r="F1575" s="5">
        <v>0.086274509803921</v>
      </c>
      <c r="G1575" s="5">
        <v>-0.454509649468294</v>
      </c>
      <c r="H1575" s="5">
        <v>-0.172145845786013</v>
      </c>
      <c r="I1575" s="5">
        <v>-0.457500979240109</v>
      </c>
    </row>
    <row r="1576">
      <c r="A1576" s="2" t="s">
        <v>1601</v>
      </c>
      <c r="B1576" s="8" t="str">
        <f>HYPERLINK("https://www.suredividend.com/sure-analysis-research-database/","Transmedics Group Inc")</f>
        <v>Transmedics Group Inc</v>
      </c>
      <c r="C1576" s="5">
        <v>0.123527175978715</v>
      </c>
      <c r="D1576" s="5">
        <v>1.33552804845931</v>
      </c>
      <c r="E1576" s="5">
        <v>-0.028696604600218</v>
      </c>
      <c r="F1576" s="5">
        <v>0.123527175978715</v>
      </c>
      <c r="G1576" s="5">
        <v>0.283914868973505</v>
      </c>
      <c r="H1576" s="5">
        <v>5.14553014553014</v>
      </c>
      <c r="I1576" s="5">
        <v>2.96601073345259</v>
      </c>
    </row>
    <row r="1577">
      <c r="A1577" s="2" t="s">
        <v>1602</v>
      </c>
      <c r="B1577" s="8" t="str">
        <f>HYPERLINK("https://www.suredividend.com/sure-analysis-research-database/","Taylor Morrison Home Corp.")</f>
        <v>Taylor Morrison Home Corp.</v>
      </c>
      <c r="C1577" s="5">
        <v>-0.006747891283973</v>
      </c>
      <c r="D1577" s="5">
        <v>0.398522037476906</v>
      </c>
      <c r="E1577" s="5">
        <v>0.094834710743801</v>
      </c>
      <c r="F1577" s="5">
        <v>-0.006747891283973</v>
      </c>
      <c r="G1577" s="5">
        <v>0.537724898432965</v>
      </c>
      <c r="H1577" s="5">
        <v>0.785377358490566</v>
      </c>
      <c r="I1577" s="5">
        <v>1.87520347259902</v>
      </c>
    </row>
    <row r="1578">
      <c r="A1578" s="2" t="s">
        <v>1603</v>
      </c>
      <c r="B1578" s="8" t="str">
        <f>HYPERLINK("https://www.suredividend.com/sure-analysis-TMP/","Tompkins Financial Corp")</f>
        <v>Tompkins Financial Corp</v>
      </c>
      <c r="C1578" s="5">
        <v>-0.092976921799767</v>
      </c>
      <c r="D1578" s="5">
        <v>0.13255659673273</v>
      </c>
      <c r="E1578" s="5">
        <v>-0.06710587656699</v>
      </c>
      <c r="F1578" s="5">
        <v>-0.092976921799767</v>
      </c>
      <c r="G1578" s="5">
        <v>-0.221194681371256</v>
      </c>
      <c r="H1578" s="5">
        <v>-0.240525334590088</v>
      </c>
      <c r="I1578" s="5">
        <v>-0.099271404051712</v>
      </c>
    </row>
    <row r="1579">
      <c r="A1579" s="2" t="s">
        <v>1604</v>
      </c>
      <c r="B1579" s="8" t="str">
        <f>HYPERLINK("https://www.suredividend.com/sure-analysis-research-database/","TimkenSteel Corp")</f>
        <v>TimkenSteel Corp</v>
      </c>
      <c r="C1579" s="5">
        <v>-0.09637526652452</v>
      </c>
      <c r="D1579" s="5">
        <v>0.067506297229219</v>
      </c>
      <c r="E1579" s="5">
        <v>-0.075883122546881</v>
      </c>
      <c r="F1579" s="5">
        <v>-0.09637526652452</v>
      </c>
      <c r="G1579" s="5">
        <v>0.061623246492986</v>
      </c>
      <c r="H1579" s="5">
        <v>0.444444444444444</v>
      </c>
      <c r="I1579" s="5">
        <v>0.786677908937605</v>
      </c>
    </row>
    <row r="1580">
      <c r="A1580" s="2" t="s">
        <v>1605</v>
      </c>
      <c r="B1580" s="8" t="str">
        <f>HYPERLINK("https://www.suredividend.com/sure-analysis-TNC/","Tennant Co.")</f>
        <v>Tennant Co.</v>
      </c>
      <c r="C1580" s="5">
        <v>0.028589923400582</v>
      </c>
      <c r="D1580" s="5">
        <v>0.306152644774156</v>
      </c>
      <c r="E1580" s="5">
        <v>0.203239432531384</v>
      </c>
      <c r="F1580" s="5">
        <v>0.028589923400582</v>
      </c>
      <c r="G1580" s="5">
        <v>0.434059438108617</v>
      </c>
      <c r="H1580" s="5">
        <v>0.291707142595851</v>
      </c>
      <c r="I1580" s="5">
        <v>0.759183402342625</v>
      </c>
    </row>
    <row r="1581">
      <c r="A1581" s="2" t="s">
        <v>1606</v>
      </c>
      <c r="B1581" s="8" t="str">
        <f>HYPERLINK("https://www.suredividend.com/sure-analysis-research-database/","TriNet Group Inc")</f>
        <v>TriNet Group Inc</v>
      </c>
      <c r="C1581" s="5">
        <v>-0.022450180778609</v>
      </c>
      <c r="D1581" s="5">
        <v>0.115310821181888</v>
      </c>
      <c r="E1581" s="5">
        <v>0.157852803505627</v>
      </c>
      <c r="F1581" s="5">
        <v>-0.022450180778609</v>
      </c>
      <c r="G1581" s="5">
        <v>0.550546812483328</v>
      </c>
      <c r="H1581" s="5">
        <v>0.39066985645933</v>
      </c>
      <c r="I1581" s="5">
        <v>1.60906642728904</v>
      </c>
    </row>
    <row r="1582">
      <c r="A1582" s="2" t="s">
        <v>1607</v>
      </c>
      <c r="B1582" s="8" t="str">
        <f>HYPERLINK("https://www.suredividend.com/sure-analysis-research-database/","Tango Therapeutics Inc")</f>
        <v>Tango Therapeutics Inc</v>
      </c>
      <c r="C1582" s="5">
        <v>0.251515151515151</v>
      </c>
      <c r="D1582" s="5">
        <v>0.546816479400749</v>
      </c>
      <c r="E1582" s="5">
        <v>3.06229508196721</v>
      </c>
      <c r="F1582" s="5">
        <v>0.251515151515151</v>
      </c>
      <c r="G1582" s="5">
        <v>0.89739663093415</v>
      </c>
      <c r="H1582" s="5">
        <v>0.560453400503778</v>
      </c>
      <c r="I1582" s="5">
        <v>0.211143695014662</v>
      </c>
    </row>
    <row r="1583">
      <c r="A1583" s="2" t="s">
        <v>1608</v>
      </c>
      <c r="B1583" s="8" t="str">
        <f>HYPERLINK("https://www.suredividend.com/sure-analysis-research-database/","Teekay Tankers Ltd")</f>
        <v>Teekay Tankers Ltd</v>
      </c>
      <c r="C1583" s="5">
        <v>0.186912147288373</v>
      </c>
      <c r="D1583" s="5">
        <v>0.21883804517366</v>
      </c>
      <c r="E1583" s="5">
        <v>0.413350935680736</v>
      </c>
      <c r="F1583" s="5">
        <v>0.186912147288373</v>
      </c>
      <c r="G1583" s="5">
        <v>1.02970466445364</v>
      </c>
      <c r="H1583" s="5">
        <v>4.65692212313415</v>
      </c>
      <c r="I1583" s="5">
        <v>6.46319365798414</v>
      </c>
    </row>
    <row r="1584">
      <c r="A1584" s="2" t="s">
        <v>1609</v>
      </c>
      <c r="B1584" s="8" t="str">
        <f>HYPERLINK("https://www.suredividend.com/sure-analysis-research-database/","Tenaya Therapeutics Inc")</f>
        <v>Tenaya Therapeutics Inc</v>
      </c>
      <c r="C1584" s="5">
        <v>0.484567901234567</v>
      </c>
      <c r="D1584" s="5">
        <v>1.73295454545454</v>
      </c>
      <c r="E1584" s="5">
        <v>-0.004140786749482</v>
      </c>
      <c r="F1584" s="5">
        <v>0.484567901234567</v>
      </c>
      <c r="G1584" s="5">
        <v>0.406432748538011</v>
      </c>
      <c r="H1584" s="5">
        <v>-0.538387715930902</v>
      </c>
      <c r="I1584" s="5">
        <v>-0.686644951140065</v>
      </c>
    </row>
    <row r="1585">
      <c r="A1585" s="2" t="s">
        <v>1610</v>
      </c>
      <c r="B1585" s="8" t="str">
        <f>HYPERLINK("https://www.suredividend.com/sure-analysis-research-database/","Oncology Institute Inc (The)")</f>
        <v>Oncology Institute Inc (The)</v>
      </c>
      <c r="C1585" s="5">
        <v>0.063725490196078</v>
      </c>
      <c r="D1585" s="5">
        <v>0.148148148148148</v>
      </c>
      <c r="E1585" s="5">
        <v>1.32882592831079</v>
      </c>
      <c r="F1585" s="5">
        <v>0.063725490196078</v>
      </c>
      <c r="G1585" s="5">
        <v>0.446666666666666</v>
      </c>
      <c r="H1585" s="5">
        <v>-0.637729549248747</v>
      </c>
      <c r="I1585" s="5">
        <v>-0.777891504605936</v>
      </c>
    </row>
    <row r="1586">
      <c r="A1586" s="2" t="s">
        <v>1611</v>
      </c>
      <c r="B1586" s="8" t="str">
        <f>HYPERLINK("https://www.suredividend.com/sure-analysis-research-database/","Townebank Portsmouth VA")</f>
        <v>Townebank Portsmouth VA</v>
      </c>
      <c r="C1586" s="5">
        <v>-0.01377688172043</v>
      </c>
      <c r="D1586" s="5">
        <v>0.271080006582765</v>
      </c>
      <c r="E1586" s="5">
        <v>0.207729468599033</v>
      </c>
      <c r="F1586" s="5">
        <v>-0.01377688172043</v>
      </c>
      <c r="G1586" s="5">
        <v>0.071273446653502</v>
      </c>
      <c r="H1586" s="5">
        <v>0.041153037080656</v>
      </c>
      <c r="I1586" s="5">
        <v>0.377223030359908</v>
      </c>
    </row>
    <row r="1587">
      <c r="A1587" s="2" t="s">
        <v>1612</v>
      </c>
      <c r="B1587" s="8" t="str">
        <f>HYPERLINK("https://www.suredividend.com/sure-analysis-research-database/","Turning Point Brands Inc")</f>
        <v>Turning Point Brands Inc</v>
      </c>
      <c r="C1587" s="5">
        <v>-0.025455927051671</v>
      </c>
      <c r="D1587" s="5">
        <v>0.296200842909553</v>
      </c>
      <c r="E1587" s="5">
        <v>0.08705786623043</v>
      </c>
      <c r="F1587" s="5">
        <v>-0.025455927051671</v>
      </c>
      <c r="G1587" s="5">
        <v>0.13824457392377</v>
      </c>
      <c r="H1587" s="5">
        <v>-0.238329967929682</v>
      </c>
      <c r="I1587" s="5">
        <v>-0.178040050118727</v>
      </c>
    </row>
    <row r="1588">
      <c r="A1588" s="2" t="s">
        <v>1613</v>
      </c>
      <c r="B1588" s="8" t="str">
        <f>HYPERLINK("https://www.suredividend.com/sure-analysis-research-database/","Tutor Perini Corp")</f>
        <v>Tutor Perini Corp</v>
      </c>
      <c r="C1588" s="5">
        <v>-0.004395604395604</v>
      </c>
      <c r="D1588" s="5">
        <v>0.294285714285714</v>
      </c>
      <c r="E1588" s="5">
        <v>0.09552599758162</v>
      </c>
      <c r="F1588" s="5">
        <v>-0.004395604395604</v>
      </c>
      <c r="G1588" s="5">
        <v>0.0</v>
      </c>
      <c r="H1588" s="5">
        <v>-0.252475247524752</v>
      </c>
      <c r="I1588" s="5">
        <v>-0.473867595818815</v>
      </c>
    </row>
    <row r="1589">
      <c r="A1589" s="2" t="s">
        <v>1614</v>
      </c>
      <c r="B1589" s="8" t="str">
        <f>HYPERLINK("https://www.suredividend.com/sure-analysis-research-database/","Tri Pointe Homes Inc.")</f>
        <v>Tri Pointe Homes Inc.</v>
      </c>
      <c r="C1589" s="5">
        <v>-0.005367231638418</v>
      </c>
      <c r="D1589" s="5">
        <v>0.440671031096562</v>
      </c>
      <c r="E1589" s="5">
        <v>0.133612363168061</v>
      </c>
      <c r="F1589" s="5">
        <v>-0.005367231638418</v>
      </c>
      <c r="G1589" s="5">
        <v>0.632359758924432</v>
      </c>
      <c r="H1589" s="5">
        <v>0.472605604349644</v>
      </c>
      <c r="I1589" s="5">
        <v>1.82811244979919</v>
      </c>
    </row>
    <row r="1590">
      <c r="A1590" s="2" t="s">
        <v>1615</v>
      </c>
      <c r="B1590" s="8" t="str">
        <f>HYPERLINK("https://www.suredividend.com/sure-analysis-research-database/","TPI Composites Inc")</f>
        <v>TPI Composites Inc</v>
      </c>
      <c r="C1590" s="5">
        <v>-0.256038647342995</v>
      </c>
      <c r="D1590" s="5">
        <v>0.425925925925925</v>
      </c>
      <c r="E1590" s="5">
        <v>-0.482787573467674</v>
      </c>
      <c r="F1590" s="5">
        <v>-0.256038647342995</v>
      </c>
      <c r="G1590" s="5">
        <v>-0.777777777777777</v>
      </c>
      <c r="H1590" s="5">
        <v>-0.726222222222222</v>
      </c>
      <c r="I1590" s="5">
        <v>-0.89441206719232</v>
      </c>
    </row>
    <row r="1591">
      <c r="A1591" s="2" t="s">
        <v>1616</v>
      </c>
      <c r="B1591" s="8" t="str">
        <f>HYPERLINK("https://www.suredividend.com/sure-analysis-TR/","Tootsie Roll Industries, Inc.")</f>
        <v>Tootsie Roll Industries, Inc.</v>
      </c>
      <c r="C1591" s="5">
        <v>-0.006016847172081</v>
      </c>
      <c r="D1591" s="5">
        <v>0.093369955490841</v>
      </c>
      <c r="E1591" s="5">
        <v>-0.018454481717823</v>
      </c>
      <c r="F1591" s="5">
        <v>-0.006016847172081</v>
      </c>
      <c r="G1591" s="5">
        <v>-0.213224683408661</v>
      </c>
      <c r="H1591" s="5">
        <v>0.063165685233452</v>
      </c>
      <c r="I1591" s="5">
        <v>0.115937231908239</v>
      </c>
    </row>
    <row r="1592">
      <c r="A1592" s="2" t="s">
        <v>1617</v>
      </c>
      <c r="B1592" s="8" t="str">
        <f>HYPERLINK("https://www.suredividend.com/sure-analysis-research-database/","Tejon Ranch Co.")</f>
        <v>Tejon Ranch Co.</v>
      </c>
      <c r="C1592" s="5">
        <v>-0.05406976744186</v>
      </c>
      <c r="D1592" s="5">
        <v>0.059934853420195</v>
      </c>
      <c r="E1592" s="5">
        <v>-0.07766439909297</v>
      </c>
      <c r="F1592" s="5">
        <v>-0.05406976744186</v>
      </c>
      <c r="G1592" s="5">
        <v>-0.179939516129032</v>
      </c>
      <c r="H1592" s="5">
        <v>-0.038984051978736</v>
      </c>
      <c r="I1592" s="5">
        <v>-0.128548473486877</v>
      </c>
    </row>
    <row r="1593">
      <c r="A1593" s="2" t="s">
        <v>1618</v>
      </c>
      <c r="B1593" s="8" t="str">
        <f>HYPERLINK("https://www.suredividend.com/sure-analysis-research-database/","LendingTree Inc.")</f>
        <v>LendingTree Inc.</v>
      </c>
      <c r="C1593" s="5">
        <v>0.137532981530343</v>
      </c>
      <c r="D1593" s="5">
        <v>2.26609848484848</v>
      </c>
      <c r="E1593" s="5">
        <v>0.422268041237113</v>
      </c>
      <c r="F1593" s="5">
        <v>0.137532981530343</v>
      </c>
      <c r="G1593" s="5">
        <v>-0.099947807933194</v>
      </c>
      <c r="H1593" s="5">
        <v>-0.699616791499738</v>
      </c>
      <c r="I1593" s="5">
        <v>-0.880055642496957</v>
      </c>
    </row>
    <row r="1594">
      <c r="A1594" s="2" t="s">
        <v>1619</v>
      </c>
      <c r="B1594" s="8" t="str">
        <f>HYPERLINK("https://www.suredividend.com/sure-analysis-research-database/","Trustmark Corp.")</f>
        <v>Trustmark Corp.</v>
      </c>
      <c r="C1594" s="5">
        <v>0.02403156384505</v>
      </c>
      <c r="D1594" s="5">
        <v>0.496017606371829</v>
      </c>
      <c r="E1594" s="5">
        <v>0.141388215916268</v>
      </c>
      <c r="F1594" s="5">
        <v>0.02403156384505</v>
      </c>
      <c r="G1594" s="5">
        <v>0.068644001182807</v>
      </c>
      <c r="H1594" s="5">
        <v>-0.025277906754431</v>
      </c>
      <c r="I1594" s="5">
        <v>0.103407228766657</v>
      </c>
    </row>
    <row r="1595">
      <c r="A1595" s="2" t="s">
        <v>1620</v>
      </c>
      <c r="B1595" s="8" t="str">
        <f>HYPERLINK("https://www.suredividend.com/sure-analysis-TRN/","Trinity Industries, Inc.")</f>
        <v>Trinity Industries, Inc.</v>
      </c>
      <c r="C1595" s="5">
        <v>-0.014317494723632</v>
      </c>
      <c r="D1595" s="5">
        <v>0.291730829608145</v>
      </c>
      <c r="E1595" s="5">
        <v>0.028094099168243</v>
      </c>
      <c r="F1595" s="5">
        <v>-0.014317494723632</v>
      </c>
      <c r="G1595" s="5">
        <v>-0.043725927128373</v>
      </c>
      <c r="H1595" s="5">
        <v>-0.016120889590695</v>
      </c>
      <c r="I1595" s="5">
        <v>0.361544764986447</v>
      </c>
    </row>
    <row r="1596">
      <c r="A1596" s="2" t="s">
        <v>1621</v>
      </c>
      <c r="B1596" s="8" t="str">
        <f>HYPERLINK("https://www.suredividend.com/sure-analysis-research-database/","Terreno Realty Corp")</f>
        <v>Terreno Realty Corp</v>
      </c>
      <c r="C1596" s="5">
        <v>-0.035423647678314</v>
      </c>
      <c r="D1596" s="5">
        <v>0.195743982213184</v>
      </c>
      <c r="E1596" s="5">
        <v>0.041090794484027</v>
      </c>
      <c r="F1596" s="5">
        <v>-0.035423647678314</v>
      </c>
      <c r="G1596" s="5">
        <v>-0.031762048916438</v>
      </c>
      <c r="H1596" s="5">
        <v>-0.128230199144237</v>
      </c>
      <c r="I1596" s="5">
        <v>0.69912668542405</v>
      </c>
    </row>
    <row r="1597">
      <c r="A1597" s="2" t="s">
        <v>1622</v>
      </c>
      <c r="B1597" s="8" t="str">
        <f>HYPERLINK("https://www.suredividend.com/sure-analysis-research-database/","Transcat Inc")</f>
        <v>Transcat Inc</v>
      </c>
      <c r="C1597" s="5">
        <v>-0.067319125583097</v>
      </c>
      <c r="D1597" s="5">
        <v>0.114304447601355</v>
      </c>
      <c r="E1597" s="5">
        <v>0.218279569892473</v>
      </c>
      <c r="F1597" s="5">
        <v>-0.067319125583097</v>
      </c>
      <c r="G1597" s="5">
        <v>0.253164556962025</v>
      </c>
      <c r="H1597" s="5">
        <v>0.098696261178752</v>
      </c>
      <c r="I1597" s="5">
        <v>3.635</v>
      </c>
    </row>
    <row r="1598">
      <c r="A1598" s="2" t="s">
        <v>1623</v>
      </c>
      <c r="B1598" s="8" t="str">
        <f>HYPERLINK("https://www.suredividend.com/sure-analysis-research-database/","Tronox Holdings plc")</f>
        <v>Tronox Holdings plc</v>
      </c>
      <c r="C1598" s="5">
        <v>0.019774011299434</v>
      </c>
      <c r="D1598" s="5">
        <v>0.433392892594798</v>
      </c>
      <c r="E1598" s="5">
        <v>0.085714285714285</v>
      </c>
      <c r="F1598" s="5">
        <v>0.019774011299434</v>
      </c>
      <c r="G1598" s="5">
        <v>-0.102135226891174</v>
      </c>
      <c r="H1598" s="5">
        <v>-0.28458184700753</v>
      </c>
      <c r="I1598" s="5">
        <v>0.952406706327744</v>
      </c>
    </row>
    <row r="1599">
      <c r="A1599" s="2" t="s">
        <v>1624</v>
      </c>
      <c r="B1599" s="8" t="str">
        <f>HYPERLINK("https://www.suredividend.com/sure-analysis-research-database/","Trimas Corporation")</f>
        <v>Trimas Corporation</v>
      </c>
      <c r="C1599" s="5">
        <v>-0.001579155151993</v>
      </c>
      <c r="D1599" s="5">
        <v>0.070172691765721</v>
      </c>
      <c r="E1599" s="5">
        <v>-0.068343574554617</v>
      </c>
      <c r="F1599" s="5">
        <v>-0.001579155151993</v>
      </c>
      <c r="G1599" s="5">
        <v>-0.140047469107675</v>
      </c>
      <c r="H1599" s="5">
        <v>-0.252365734759819</v>
      </c>
      <c r="I1599" s="5">
        <v>-0.095826644690975</v>
      </c>
    </row>
    <row r="1600">
      <c r="A1600" s="2" t="s">
        <v>1625</v>
      </c>
      <c r="B1600" s="8" t="str">
        <f>HYPERLINK("https://www.suredividend.com/sure-analysis-TRST/","Trustco Bank Corp.")</f>
        <v>Trustco Bank Corp.</v>
      </c>
      <c r="C1600" s="5">
        <v>-0.023510466988727</v>
      </c>
      <c r="D1600" s="5">
        <v>0.230939118855454</v>
      </c>
      <c r="E1600" s="5">
        <v>0.041094385232391</v>
      </c>
      <c r="F1600" s="5">
        <v>-0.023510466988727</v>
      </c>
      <c r="G1600" s="5">
        <v>-0.041807166852595</v>
      </c>
      <c r="H1600" s="5">
        <v>0.011577086044106</v>
      </c>
      <c r="I1600" s="5">
        <v>-0.004301993366391</v>
      </c>
    </row>
    <row r="1601">
      <c r="A1601" s="2" t="s">
        <v>1626</v>
      </c>
      <c r="B1601" s="8" t="str">
        <f>HYPERLINK("https://www.suredividend.com/sure-analysis-research-database/","Triton International Ltd")</f>
        <v>Triton International Ltd</v>
      </c>
      <c r="C1601" s="5">
        <v>-0.036993725629767</v>
      </c>
      <c r="D1601" s="5">
        <v>-0.035835877571154</v>
      </c>
      <c r="E1601" s="5">
        <v>0.301352719753569</v>
      </c>
      <c r="F1601" s="5">
        <v>0.188642228401601</v>
      </c>
      <c r="G1601" s="5">
        <v>0.505690582951153</v>
      </c>
      <c r="H1601" s="5">
        <v>0.624782477267342</v>
      </c>
      <c r="I1601" s="5">
        <v>1.73748688036614</v>
      </c>
    </row>
    <row r="1602">
      <c r="A1602" s="2" t="s">
        <v>1627</v>
      </c>
      <c r="B1602" s="8" t="str">
        <f>HYPERLINK("https://www.suredividend.com/sure-analysis-research-database/","TPG RE Finance Trust Inc")</f>
        <v>TPG RE Finance Trust Inc</v>
      </c>
      <c r="C1602" s="5">
        <v>0.024615384615384</v>
      </c>
      <c r="D1602" s="5">
        <v>0.238010260985946</v>
      </c>
      <c r="E1602" s="5">
        <v>-0.080631134302397</v>
      </c>
      <c r="F1602" s="5">
        <v>0.024615384615384</v>
      </c>
      <c r="G1602" s="5">
        <v>-0.105199516324062</v>
      </c>
      <c r="H1602" s="5">
        <v>-0.320165365181442</v>
      </c>
      <c r="I1602" s="5">
        <v>-0.344100846956864</v>
      </c>
    </row>
    <row r="1603">
      <c r="A1603" s="2" t="b">
        <v>1</v>
      </c>
      <c r="B1603" s="8" t="str">
        <f>HYPERLINK("https://www.suredividend.com/sure-analysis-research-database/","Truecar Inc")</f>
        <v>Truecar Inc</v>
      </c>
      <c r="C1603" s="5">
        <v>0.057803468208092</v>
      </c>
      <c r="D1603" s="5">
        <v>1.05617977528089</v>
      </c>
      <c r="E1603" s="5">
        <v>0.557446808510638</v>
      </c>
      <c r="F1603" s="5">
        <v>0.057803468208092</v>
      </c>
      <c r="G1603" s="5">
        <v>0.207920792079208</v>
      </c>
      <c r="H1603" s="5">
        <v>0.079646017699114</v>
      </c>
      <c r="I1603" s="5">
        <v>-0.606027987082884</v>
      </c>
    </row>
    <row r="1604">
      <c r="A1604" s="2" t="s">
        <v>1628</v>
      </c>
      <c r="B1604" s="8" t="str">
        <f>HYPERLINK("https://www.suredividend.com/sure-analysis-research-database/","Trupanion Inc")</f>
        <v>Trupanion Inc</v>
      </c>
      <c r="C1604" s="5">
        <v>-0.058013765978367</v>
      </c>
      <c r="D1604" s="5">
        <v>0.389076848719187</v>
      </c>
      <c r="E1604" s="5">
        <v>-0.028725920919229</v>
      </c>
      <c r="F1604" s="5">
        <v>-0.058013765978367</v>
      </c>
      <c r="G1604" s="5">
        <v>-0.498516838248124</v>
      </c>
      <c r="H1604" s="5">
        <v>-0.67407575413926</v>
      </c>
      <c r="I1604" s="5">
        <v>0.158403869407496</v>
      </c>
    </row>
    <row r="1605">
      <c r="A1605" s="2" t="s">
        <v>1629</v>
      </c>
      <c r="B1605" s="8" t="str">
        <f>HYPERLINK("https://www.suredividend.com/sure-analysis-research-database/","Trinseo PLC")</f>
        <v>Trinseo PLC</v>
      </c>
      <c r="C1605" s="5">
        <v>-0.168670231217329</v>
      </c>
      <c r="D1605" s="5">
        <v>0.161644018786875</v>
      </c>
      <c r="E1605" s="5">
        <v>-0.605064269397311</v>
      </c>
      <c r="F1605" s="5">
        <v>-0.168670231217329</v>
      </c>
      <c r="G1605" s="5">
        <v>-0.734844149402922</v>
      </c>
      <c r="H1605" s="5">
        <v>-0.861844132351333</v>
      </c>
      <c r="I1605" s="5">
        <v>-0.866557352497873</v>
      </c>
    </row>
    <row r="1606">
      <c r="A1606" s="2" t="s">
        <v>1630</v>
      </c>
      <c r="B1606" s="8" t="str">
        <f>HYPERLINK("https://www.suredividend.com/sure-analysis-research-database/","TuSimple Holdings Inc")</f>
        <v>TuSimple Holdings Inc</v>
      </c>
      <c r="C1606" s="5">
        <v>-0.629756208703577</v>
      </c>
      <c r="D1606" s="5">
        <v>-0.684466019417475</v>
      </c>
      <c r="E1606" s="5">
        <v>-0.85091743119266</v>
      </c>
      <c r="F1606" s="5">
        <v>-0.629756208703577</v>
      </c>
      <c r="G1606" s="5">
        <v>-0.845238095238095</v>
      </c>
      <c r="H1606" s="5">
        <v>-0.980550568521843</v>
      </c>
      <c r="I1606" s="5">
        <v>-0.991875</v>
      </c>
    </row>
    <row r="1607">
      <c r="A1607" s="2" t="s">
        <v>1631</v>
      </c>
      <c r="B1607" s="8" t="str">
        <f>HYPERLINK("https://www.suredividend.com/sure-analysis-research-database/","2seventy bio Inc")</f>
        <v>2seventy bio Inc</v>
      </c>
      <c r="C1607" s="5">
        <v>-0.182669789227166</v>
      </c>
      <c r="D1607" s="5">
        <v>0.623255813953488</v>
      </c>
      <c r="E1607" s="5">
        <v>-0.553708439897698</v>
      </c>
      <c r="F1607" s="5">
        <v>-0.182669789227166</v>
      </c>
      <c r="G1607" s="5">
        <v>-0.736603773584905</v>
      </c>
      <c r="H1607" s="5">
        <v>-0.778412698412698</v>
      </c>
      <c r="I1607" s="5">
        <v>-0.896192742415229</v>
      </c>
    </row>
    <row r="1608">
      <c r="A1608" s="2" t="s">
        <v>1632</v>
      </c>
      <c r="B1608" s="8" t="str">
        <f>HYPERLINK("https://www.suredividend.com/sure-analysis-research-database/","Tattooed Chef Inc")</f>
        <v>Tattooed Chef Inc</v>
      </c>
      <c r="C1608" s="5">
        <v>0.0</v>
      </c>
      <c r="D1608" s="5">
        <v>0.0</v>
      </c>
      <c r="E1608" s="5">
        <v>0.0</v>
      </c>
      <c r="F1608" s="5">
        <v>0.0</v>
      </c>
      <c r="G1608" s="5">
        <v>0.0</v>
      </c>
      <c r="H1608" s="5">
        <v>0.0</v>
      </c>
      <c r="I1608" s="5">
        <v>0.0</v>
      </c>
    </row>
    <row r="1609">
      <c r="A1609" s="2" t="s">
        <v>1633</v>
      </c>
      <c r="B1609" s="8" t="str">
        <f>HYPERLINK("https://www.suredividend.com/sure-analysis-research-database/","TTEC Holdings Inc")</f>
        <v>TTEC Holdings Inc</v>
      </c>
      <c r="C1609" s="5">
        <v>0.013382556529764</v>
      </c>
      <c r="D1609" s="5">
        <v>0.084444444444444</v>
      </c>
      <c r="E1609" s="5">
        <v>-0.300119833762525</v>
      </c>
      <c r="F1609" s="5">
        <v>0.013382556529764</v>
      </c>
      <c r="G1609" s="5">
        <v>-0.522095467741444</v>
      </c>
      <c r="H1609" s="5">
        <v>-0.694068182673058</v>
      </c>
      <c r="I1609" s="5">
        <v>-0.220793045329548</v>
      </c>
    </row>
    <row r="1610">
      <c r="A1610" s="2" t="s">
        <v>1634</v>
      </c>
      <c r="B1610" s="8" t="str">
        <f>HYPERLINK("https://www.suredividend.com/sure-analysis-research-database/","Techtarget Inc.")</f>
        <v>Techtarget Inc.</v>
      </c>
      <c r="C1610" s="5">
        <v>-0.005163511187607</v>
      </c>
      <c r="D1610" s="5">
        <v>0.3729216152019</v>
      </c>
      <c r="E1610" s="5">
        <v>0.065765212046711</v>
      </c>
      <c r="F1610" s="5">
        <v>-0.005163511187607</v>
      </c>
      <c r="G1610" s="5">
        <v>-0.312722948870392</v>
      </c>
      <c r="H1610" s="5">
        <v>-0.557653061224489</v>
      </c>
      <c r="I1610" s="5">
        <v>1.42517482517482</v>
      </c>
    </row>
    <row r="1611">
      <c r="A1611" s="2" t="s">
        <v>1635</v>
      </c>
      <c r="B1611" s="8" t="str">
        <f>HYPERLINK("https://www.suredividend.com/sure-analysis-research-database/","Tetra Technologies, Inc.")</f>
        <v>Tetra Technologies, Inc.</v>
      </c>
      <c r="C1611" s="5">
        <v>0.006637168141592</v>
      </c>
      <c r="D1611" s="5">
        <v>-0.18018018018018</v>
      </c>
      <c r="E1611" s="5">
        <v>0.038812785388127</v>
      </c>
      <c r="F1611" s="5">
        <v>0.006637168141592</v>
      </c>
      <c r="G1611" s="5">
        <v>0.148989898989899</v>
      </c>
      <c r="H1611" s="5">
        <v>0.516666666666666</v>
      </c>
      <c r="I1611" s="5">
        <v>1.06818181818181</v>
      </c>
    </row>
    <row r="1612">
      <c r="A1612" s="2" t="s">
        <v>1636</v>
      </c>
      <c r="B1612" s="8" t="str">
        <f>HYPERLINK("https://www.suredividend.com/sure-analysis-research-database/","TTM Technologies Inc")</f>
        <v>TTM Technologies Inc</v>
      </c>
      <c r="C1612" s="5">
        <v>-0.09740670461733</v>
      </c>
      <c r="D1612" s="5">
        <v>0.238715277777777</v>
      </c>
      <c r="E1612" s="5">
        <v>0.015658362989323</v>
      </c>
      <c r="F1612" s="5">
        <v>-0.09740670461733</v>
      </c>
      <c r="G1612" s="5">
        <v>-0.072774528914879</v>
      </c>
      <c r="H1612" s="5">
        <v>0.08434650455927</v>
      </c>
      <c r="I1612" s="5">
        <v>0.272970561998215</v>
      </c>
    </row>
    <row r="1613">
      <c r="A1613" s="2" t="s">
        <v>1637</v>
      </c>
      <c r="B1613" s="8" t="str">
        <f>HYPERLINK("https://www.suredividend.com/sure-analysis-research-database/","Tile Shop Hldgs Inc")</f>
        <v>Tile Shop Hldgs Inc</v>
      </c>
      <c r="C1613" s="5">
        <v>-0.11820652173913</v>
      </c>
      <c r="D1613" s="5">
        <v>0.335390946502057</v>
      </c>
      <c r="E1613" s="5">
        <v>0.038399999999999</v>
      </c>
      <c r="F1613" s="5">
        <v>-0.11820652173913</v>
      </c>
      <c r="G1613" s="5">
        <v>0.308467741935484</v>
      </c>
      <c r="H1613" s="5">
        <v>0.010903426791277</v>
      </c>
      <c r="I1613" s="5">
        <v>-0.091201882010278</v>
      </c>
    </row>
    <row r="1614">
      <c r="A1614" s="2" t="s">
        <v>1638</v>
      </c>
      <c r="B1614" s="8" t="str">
        <f>HYPERLINK("https://www.suredividend.com/sure-analysis-research-database/","Tupperware Brands Corporation")</f>
        <v>Tupperware Brands Corporation</v>
      </c>
      <c r="C1614" s="5">
        <v>-0.05</v>
      </c>
      <c r="D1614" s="5">
        <v>0.233766233766233</v>
      </c>
      <c r="E1614" s="5">
        <v>-0.383116883116883</v>
      </c>
      <c r="F1614" s="5">
        <v>-0.05</v>
      </c>
      <c r="G1614" s="5">
        <v>-0.53883495145631</v>
      </c>
      <c r="H1614" s="5">
        <v>-0.87136086662153</v>
      </c>
      <c r="I1614" s="5">
        <v>-0.948106572712251</v>
      </c>
    </row>
    <row r="1615">
      <c r="A1615" s="2" t="s">
        <v>1639</v>
      </c>
      <c r="B1615" s="8" t="str">
        <f>HYPERLINK("https://www.suredividend.com/sure-analysis-research-database/","Travere Therapeutics Inc")</f>
        <v>Travere Therapeutics Inc</v>
      </c>
      <c r="C1615" s="5">
        <v>0.03670745272525</v>
      </c>
      <c r="D1615" s="5">
        <v>0.370588235294117</v>
      </c>
      <c r="E1615" s="5">
        <v>-0.459710144927536</v>
      </c>
      <c r="F1615" s="5">
        <v>0.03670745272525</v>
      </c>
      <c r="G1615" s="5">
        <v>-0.574040219378427</v>
      </c>
      <c r="H1615" s="5">
        <v>-0.641262509622786</v>
      </c>
      <c r="I1615" s="5">
        <v>-0.54291319274154</v>
      </c>
    </row>
    <row r="1616">
      <c r="A1616" s="2" t="s">
        <v>1640</v>
      </c>
      <c r="B1616" s="8" t="str">
        <f>HYPERLINK("https://www.suredividend.com/sure-analysis-research-database/","Titan International, Inc.")</f>
        <v>Titan International, Inc.</v>
      </c>
      <c r="C1616" s="5">
        <v>0.016129032258064</v>
      </c>
      <c r="D1616" s="5">
        <v>0.346393588601958</v>
      </c>
      <c r="E1616" s="5">
        <v>0.241379310344827</v>
      </c>
      <c r="F1616" s="5">
        <v>0.016129032258064</v>
      </c>
      <c r="G1616" s="5">
        <v>-0.078610603290676</v>
      </c>
      <c r="H1616" s="5">
        <v>0.565217391304347</v>
      </c>
      <c r="I1616" s="5">
        <v>1.81218613993973</v>
      </c>
    </row>
    <row r="1617">
      <c r="A1617" s="2" t="s">
        <v>1641</v>
      </c>
      <c r="B1617" s="8" t="str">
        <f>HYPERLINK("https://www.suredividend.com/sure-analysis-research-database/","Hostess Brands Inc")</f>
        <v>Hostess Brands Inc</v>
      </c>
      <c r="C1617" s="5">
        <v>0.0</v>
      </c>
      <c r="D1617" s="5">
        <v>0.0</v>
      </c>
      <c r="E1617" s="5">
        <v>0.0</v>
      </c>
      <c r="F1617" s="5">
        <v>0.0</v>
      </c>
      <c r="G1617" s="5">
        <v>0.0</v>
      </c>
      <c r="H1617" s="5">
        <v>0.0</v>
      </c>
      <c r="I1617" s="5">
        <v>0.0</v>
      </c>
    </row>
    <row r="1618">
      <c r="A1618" s="2" t="s">
        <v>1642</v>
      </c>
      <c r="B1618" s="8" t="str">
        <f>HYPERLINK("https://www.suredividend.com/sure-analysis-TWO/","Two Harbors Investment Corp")</f>
        <v>Two Harbors Investment Corp</v>
      </c>
      <c r="C1618" s="5">
        <v>0.012348425853821</v>
      </c>
      <c r="D1618" s="5">
        <v>0.417283591697729</v>
      </c>
      <c r="E1618" s="5">
        <v>0.073391681804241</v>
      </c>
      <c r="F1618" s="5">
        <v>0.012348425853821</v>
      </c>
      <c r="G1618" s="5">
        <v>-0.121785509782601</v>
      </c>
      <c r="H1618" s="5">
        <v>-0.176560011582452</v>
      </c>
      <c r="I1618" s="5">
        <v>-0.567530233280211</v>
      </c>
    </row>
    <row r="1619">
      <c r="A1619" s="2" t="s">
        <v>1643</v>
      </c>
      <c r="B1619" s="8" t="str">
        <f>HYPERLINK("https://www.suredividend.com/sure-analysis-research-database/","2U Inc")</f>
        <v>2U Inc</v>
      </c>
      <c r="C1619" s="5">
        <v>-0.065040650406504</v>
      </c>
      <c r="D1619" s="5">
        <v>-0.404145077720207</v>
      </c>
      <c r="E1619" s="5">
        <v>-0.71813725490196</v>
      </c>
      <c r="F1619" s="5">
        <v>-0.065040650406504</v>
      </c>
      <c r="G1619" s="5">
        <v>-0.865967365967366</v>
      </c>
      <c r="H1619" s="5">
        <v>-0.921286789869952</v>
      </c>
      <c r="I1619" s="5">
        <v>-0.979500891265597</v>
      </c>
    </row>
    <row r="1620">
      <c r="A1620" s="2" t="s">
        <v>1644</v>
      </c>
      <c r="B1620" s="8" t="str">
        <f>HYPERLINK("https://www.suredividend.com/sure-analysis-research-database/","Twist Bioscience Corp")</f>
        <v>Twist Bioscience Corp</v>
      </c>
      <c r="C1620" s="5">
        <v>-0.056701030927834</v>
      </c>
      <c r="D1620" s="5">
        <v>1.30112508272667</v>
      </c>
      <c r="E1620" s="5">
        <v>0.391356542617047</v>
      </c>
      <c r="F1620" s="5">
        <v>-0.056701030927834</v>
      </c>
      <c r="G1620" s="5">
        <v>0.192795883361921</v>
      </c>
      <c r="H1620" s="5">
        <v>-0.333652740513606</v>
      </c>
      <c r="I1620" s="5">
        <v>0.507805724197745</v>
      </c>
    </row>
    <row r="1621">
      <c r="A1621" s="2" t="s">
        <v>1645</v>
      </c>
      <c r="B1621" s="8" t="str">
        <f>HYPERLINK("https://www.suredividend.com/sure-analysis-research-database/","Texas Roadhouse Inc")</f>
        <v>Texas Roadhouse Inc</v>
      </c>
      <c r="C1621" s="5">
        <v>0.032397938313016</v>
      </c>
      <c r="D1621" s="5">
        <v>0.297712985254056</v>
      </c>
      <c r="E1621" s="5">
        <v>0.169069996896438</v>
      </c>
      <c r="F1621" s="5">
        <v>0.032397938313016</v>
      </c>
      <c r="G1621" s="5">
        <v>0.315081912543248</v>
      </c>
      <c r="H1621" s="5">
        <v>0.604894935913578</v>
      </c>
      <c r="I1621" s="5">
        <v>1.2583652935839</v>
      </c>
    </row>
    <row r="1622">
      <c r="A1622" s="2" t="s">
        <v>1646</v>
      </c>
      <c r="B1622" s="8" t="str">
        <f>HYPERLINK("https://www.suredividend.com/sure-analysis-research-database/","Tyra Biosciences Inc")</f>
        <v>Tyra Biosciences Inc</v>
      </c>
      <c r="C1622" s="5">
        <v>0.0</v>
      </c>
      <c r="D1622" s="5">
        <v>0.255666364460562</v>
      </c>
      <c r="E1622" s="5">
        <v>-0.034843205574912</v>
      </c>
      <c r="F1622" s="5">
        <v>0.0</v>
      </c>
      <c r="G1622" s="5">
        <v>0.614219114219114</v>
      </c>
      <c r="H1622" s="5">
        <v>0.135245901639344</v>
      </c>
      <c r="I1622" s="5">
        <v>-0.467307692307692</v>
      </c>
    </row>
    <row r="1623">
      <c r="A1623" s="2" t="s">
        <v>1647</v>
      </c>
      <c r="B1623" s="8" t="str">
        <f>HYPERLINK("https://www.suredividend.com/sure-analysis-research-database/","Urstadt Biddle Properties, Inc.")</f>
        <v>Urstadt Biddle Properties, Inc.</v>
      </c>
      <c r="C1623" s="5">
        <v>-0.041704442429737</v>
      </c>
      <c r="D1623" s="5">
        <v>0.259743045789335</v>
      </c>
      <c r="E1623" s="5">
        <v>0.192847429509713</v>
      </c>
      <c r="F1623" s="5">
        <v>0.158235580953215</v>
      </c>
      <c r="G1623" s="5">
        <v>0.21746141442064</v>
      </c>
      <c r="H1623" s="5">
        <v>0.235253215222713</v>
      </c>
      <c r="I1623" s="5">
        <v>0.199242106218586</v>
      </c>
    </row>
    <row r="1624">
      <c r="A1624" s="2" t="s">
        <v>1648</v>
      </c>
      <c r="B1624" s="8" t="str">
        <f>HYPERLINK("https://www.suredividend.com/sure-analysis-UBSI/","United Bankshares, Inc.")</f>
        <v>United Bankshares, Inc.</v>
      </c>
      <c r="C1624" s="5">
        <v>5.32623169107E-4</v>
      </c>
      <c r="D1624" s="5">
        <v>0.390199408693464</v>
      </c>
      <c r="E1624" s="5">
        <v>0.190001076924051</v>
      </c>
      <c r="F1624" s="5">
        <v>5.32623169107E-4</v>
      </c>
      <c r="G1624" s="5">
        <v>0.03064219680136</v>
      </c>
      <c r="H1624" s="5">
        <v>0.199794339218936</v>
      </c>
      <c r="I1624" s="5">
        <v>0.362337549315386</v>
      </c>
    </row>
    <row r="1625">
      <c r="A1625" s="2" t="s">
        <v>1649</v>
      </c>
      <c r="B1625" s="8" t="str">
        <f>HYPERLINK("https://www.suredividend.com/sure-analysis-research-database/","United Community Banks Inc")</f>
        <v>United Community Banks Inc</v>
      </c>
      <c r="C1625" s="5">
        <v>-0.008202323991797</v>
      </c>
      <c r="D1625" s="5">
        <v>0.338814074617432</v>
      </c>
      <c r="E1625" s="5">
        <v>0.03550401427297</v>
      </c>
      <c r="F1625" s="5">
        <v>-0.008202323991797</v>
      </c>
      <c r="G1625" s="5">
        <v>-0.043979575028825</v>
      </c>
      <c r="H1625" s="5">
        <v>-0.104580769776669</v>
      </c>
      <c r="I1625" s="5">
        <v>0.304468997509731</v>
      </c>
    </row>
    <row r="1626">
      <c r="A1626" s="2" t="s">
        <v>1650</v>
      </c>
      <c r="B1626" s="8" t="str">
        <f>HYPERLINK("https://www.suredividend.com/sure-analysis-research-database/","Ultra Clean Hldgs Inc")</f>
        <v>Ultra Clean Hldgs Inc</v>
      </c>
      <c r="C1626" s="5">
        <v>0.135325131810193</v>
      </c>
      <c r="D1626" s="5">
        <v>0.636824324324324</v>
      </c>
      <c r="E1626" s="5">
        <v>0.072792693052864</v>
      </c>
      <c r="F1626" s="5">
        <v>0.135325131810193</v>
      </c>
      <c r="G1626" s="5">
        <v>0.161174355901737</v>
      </c>
      <c r="H1626" s="5">
        <v>-0.163934426229508</v>
      </c>
      <c r="I1626" s="5">
        <v>2.52043596730245</v>
      </c>
    </row>
    <row r="1627">
      <c r="A1627" s="2" t="s">
        <v>1651</v>
      </c>
      <c r="B1627" s="8" t="str">
        <f>HYPERLINK("https://www.suredividend.com/sure-analysis-research-database/","Udemy Inc")</f>
        <v>Udemy Inc</v>
      </c>
      <c r="C1627" s="5">
        <v>-0.01968771215207</v>
      </c>
      <c r="D1627" s="5">
        <v>0.646522234891676</v>
      </c>
      <c r="E1627" s="5">
        <v>0.272246696035242</v>
      </c>
      <c r="F1627" s="5">
        <v>-0.01968771215207</v>
      </c>
      <c r="G1627" s="5">
        <v>0.169230769230769</v>
      </c>
      <c r="H1627" s="5">
        <v>-0.03475935828877</v>
      </c>
      <c r="I1627" s="5">
        <v>-0.47490909090909</v>
      </c>
    </row>
    <row r="1628">
      <c r="A1628" s="2" t="s">
        <v>1652</v>
      </c>
      <c r="B1628" s="8" t="str">
        <f>HYPERLINK("https://www.suredividend.com/sure-analysis-UE/","Urban Edge Properties")</f>
        <v>Urban Edge Properties</v>
      </c>
      <c r="C1628" s="5">
        <v>-0.030054644808743</v>
      </c>
      <c r="D1628" s="5">
        <v>0.237632391803038</v>
      </c>
      <c r="E1628" s="5">
        <v>0.075249276099783</v>
      </c>
      <c r="F1628" s="5">
        <v>-0.030054644808743</v>
      </c>
      <c r="G1628" s="5">
        <v>0.170411985018726</v>
      </c>
      <c r="H1628" s="5">
        <v>0.046512313470234</v>
      </c>
      <c r="I1628" s="5">
        <v>0.076527455998835</v>
      </c>
    </row>
    <row r="1629">
      <c r="A1629" s="2" t="s">
        <v>1653</v>
      </c>
      <c r="B1629" s="8" t="str">
        <f>HYPERLINK("https://www.suredividend.com/sure-analysis-research-database/","Uranium Energy Corp")</f>
        <v>Uranium Energy Corp</v>
      </c>
      <c r="C1629" s="5">
        <v>0.160937499999999</v>
      </c>
      <c r="D1629" s="5">
        <v>0.35090909090909</v>
      </c>
      <c r="E1629" s="5">
        <v>1.23795180722891</v>
      </c>
      <c r="F1629" s="5">
        <v>0.160937499999999</v>
      </c>
      <c r="G1629" s="5">
        <v>0.825552825552825</v>
      </c>
      <c r="H1629" s="5">
        <v>1.98393574297188</v>
      </c>
      <c r="I1629" s="5">
        <v>4.8503937007874</v>
      </c>
    </row>
    <row r="1630">
      <c r="A1630" s="2" t="s">
        <v>1654</v>
      </c>
      <c r="B1630" s="8" t="str">
        <f>HYPERLINK("https://www.suredividend.com/sure-analysis-research-database/","Universal Electronics Inc.")</f>
        <v>Universal Electronics Inc.</v>
      </c>
      <c r="C1630" s="5">
        <v>-0.034078807241746</v>
      </c>
      <c r="D1630" s="5">
        <v>0.202917771883289</v>
      </c>
      <c r="E1630" s="5">
        <v>-0.206474190726159</v>
      </c>
      <c r="F1630" s="5">
        <v>-0.034078807241746</v>
      </c>
      <c r="G1630" s="5">
        <v>-0.600616468516072</v>
      </c>
      <c r="H1630" s="5">
        <v>-0.73770965876229</v>
      </c>
      <c r="I1630" s="5">
        <v>-0.66800878477306</v>
      </c>
    </row>
    <row r="1631">
      <c r="A1631" s="2" t="s">
        <v>1655</v>
      </c>
      <c r="B1631" s="8" t="str">
        <f>HYPERLINK("https://www.suredividend.com/sure-analysis-research-database/","United Fire Group Inc")</f>
        <v>United Fire Group Inc</v>
      </c>
      <c r="C1631" s="5">
        <v>0.138170974155069</v>
      </c>
      <c r="D1631" s="5">
        <v>0.176331591951631</v>
      </c>
      <c r="E1631" s="5">
        <v>-0.012905506176884</v>
      </c>
      <c r="F1631" s="5">
        <v>0.138170974155069</v>
      </c>
      <c r="G1631" s="5">
        <v>-0.204946689766032</v>
      </c>
      <c r="H1631" s="5">
        <v>0.010417448012036</v>
      </c>
      <c r="I1631" s="5">
        <v>-0.463876012548578</v>
      </c>
    </row>
    <row r="1632">
      <c r="A1632" s="2" t="s">
        <v>1656</v>
      </c>
      <c r="B1632" s="8" t="str">
        <f>HYPERLINK("https://www.suredividend.com/sure-analysis-research-database/","UNIFI, Inc.")</f>
        <v>UNIFI, Inc.</v>
      </c>
      <c r="C1632" s="5">
        <v>-0.015015015015015</v>
      </c>
      <c r="D1632" s="5">
        <v>0.001526717557251</v>
      </c>
      <c r="E1632" s="5">
        <v>-0.197062423500612</v>
      </c>
      <c r="F1632" s="5">
        <v>-0.015015015015015</v>
      </c>
      <c r="G1632" s="5">
        <v>-0.208685162846803</v>
      </c>
      <c r="H1632" s="5">
        <v>-0.650319829424307</v>
      </c>
      <c r="I1632" s="5">
        <v>-0.690273843248347</v>
      </c>
    </row>
    <row r="1633">
      <c r="A1633" s="2" t="s">
        <v>1657</v>
      </c>
      <c r="B1633" s="8" t="str">
        <f>HYPERLINK("https://www.suredividend.com/sure-analysis-research-database/","UFP Industries Inc")</f>
        <v>UFP Industries Inc</v>
      </c>
      <c r="C1633" s="5">
        <v>-0.074074074074074</v>
      </c>
      <c r="D1633" s="5">
        <v>0.239594074260482</v>
      </c>
      <c r="E1633" s="5">
        <v>0.154447727103453</v>
      </c>
      <c r="F1633" s="5">
        <v>-0.074074074074074</v>
      </c>
      <c r="G1633" s="5">
        <v>0.303758300594513</v>
      </c>
      <c r="H1633" s="5">
        <v>0.500425927360024</v>
      </c>
      <c r="I1633" s="5">
        <v>3.22424663059553</v>
      </c>
    </row>
    <row r="1634">
      <c r="A1634" s="2" t="s">
        <v>1658</v>
      </c>
      <c r="B1634" s="8" t="str">
        <f>HYPERLINK("https://www.suredividend.com/sure-analysis-research-database/","UFP Technologies Inc.")</f>
        <v>UFP Technologies Inc.</v>
      </c>
      <c r="C1634" s="5">
        <v>0.001278772378516</v>
      </c>
      <c r="D1634" s="5">
        <v>0.129055515501081</v>
      </c>
      <c r="E1634" s="5">
        <v>-0.099388299262822</v>
      </c>
      <c r="F1634" s="5">
        <v>0.001278772378516</v>
      </c>
      <c r="G1634" s="5">
        <v>0.629244301522746</v>
      </c>
      <c r="H1634" s="5">
        <v>1.56224899598393</v>
      </c>
      <c r="I1634" s="5">
        <v>4.38986232790988</v>
      </c>
    </row>
    <row r="1635">
      <c r="A1635" s="2" t="s">
        <v>1659</v>
      </c>
      <c r="B1635" s="8" t="str">
        <f>HYPERLINK("https://www.suredividend.com/sure-analysis-UHT/","Universal Health Realty Income Trust")</f>
        <v>Universal Health Realty Income Trust</v>
      </c>
      <c r="C1635" s="5">
        <v>-0.026127167630057</v>
      </c>
      <c r="D1635" s="5">
        <v>0.125393767584277</v>
      </c>
      <c r="E1635" s="5">
        <v>-0.080594252186098</v>
      </c>
      <c r="F1635" s="5">
        <v>-0.026127167630057</v>
      </c>
      <c r="G1635" s="5">
        <v>-0.172737253731226</v>
      </c>
      <c r="H1635" s="5">
        <v>-0.182897493598199</v>
      </c>
      <c r="I1635" s="5">
        <v>-0.223445600631273</v>
      </c>
    </row>
    <row r="1636">
      <c r="A1636" s="2" t="s">
        <v>1660</v>
      </c>
      <c r="B1636" s="8" t="str">
        <f>HYPERLINK("https://www.suredividend.com/sure-analysis-research-database/","Unisys Corp.")</f>
        <v>Unisys Corp.</v>
      </c>
      <c r="C1636" s="5">
        <v>0.318505338078291</v>
      </c>
      <c r="D1636" s="5">
        <v>1.68478260869565</v>
      </c>
      <c r="E1636" s="5">
        <v>0.3646408839779</v>
      </c>
      <c r="F1636" s="5">
        <v>0.318505338078291</v>
      </c>
      <c r="G1636" s="5">
        <v>0.377323420074349</v>
      </c>
      <c r="H1636" s="5">
        <v>-0.573647871116225</v>
      </c>
      <c r="I1636" s="5">
        <v>-0.412371134020618</v>
      </c>
    </row>
    <row r="1637">
      <c r="A1637" s="2" t="s">
        <v>1661</v>
      </c>
      <c r="B1637" s="8" t="str">
        <f>HYPERLINK("https://www.suredividend.com/sure-analysis-research-database/","Frontier Group Holdings Inc")</f>
        <v>Frontier Group Holdings Inc</v>
      </c>
      <c r="C1637" s="5">
        <v>0.005494505494505</v>
      </c>
      <c r="D1637" s="5">
        <v>0.444736842105263</v>
      </c>
      <c r="E1637" s="5">
        <v>-0.405200433369447</v>
      </c>
      <c r="F1637" s="5">
        <v>0.005494505494505</v>
      </c>
      <c r="G1637" s="5">
        <v>-0.551836734693877</v>
      </c>
      <c r="H1637" s="5">
        <v>-0.557971014492753</v>
      </c>
      <c r="I1637" s="5">
        <v>-0.708753315649867</v>
      </c>
    </row>
    <row r="1638">
      <c r="A1638" s="2" t="s">
        <v>1662</v>
      </c>
      <c r="B1638" s="8" t="str">
        <f>HYPERLINK("https://www.suredividend.com/sure-analysis-research-database/","Universal Logistics Holdings Inc")</f>
        <v>Universal Logistics Holdings Inc</v>
      </c>
      <c r="C1638" s="5">
        <v>0.062098501070663</v>
      </c>
      <c r="D1638" s="5">
        <v>0.417230590465124</v>
      </c>
      <c r="E1638" s="5">
        <v>-0.008601448454604</v>
      </c>
      <c r="F1638" s="5">
        <v>0.062098501070663</v>
      </c>
      <c r="G1638" s="5">
        <v>-0.143427040189274</v>
      </c>
      <c r="H1638" s="5">
        <v>0.882424380431895</v>
      </c>
      <c r="I1638" s="5">
        <v>0.62574977875381</v>
      </c>
    </row>
    <row r="1639">
      <c r="A1639" s="2" t="s">
        <v>1663</v>
      </c>
      <c r="B1639" s="8" t="str">
        <f>HYPERLINK("https://www.suredividend.com/sure-analysis-UMBF/","UMB Financial Corp.")</f>
        <v>UMB Financial Corp.</v>
      </c>
      <c r="C1639" s="5">
        <v>-9.5751047277E-4</v>
      </c>
      <c r="D1639" s="5">
        <v>0.35821633829952</v>
      </c>
      <c r="E1639" s="5">
        <v>0.208480647225576</v>
      </c>
      <c r="F1639" s="5">
        <v>-9.5751047277E-4</v>
      </c>
      <c r="G1639" s="5">
        <v>-0.012354151555775</v>
      </c>
      <c r="H1639" s="5">
        <v>-0.101877266960983</v>
      </c>
      <c r="I1639" s="5">
        <v>0.364007013679289</v>
      </c>
    </row>
    <row r="1640">
      <c r="A1640" s="2" t="s">
        <v>1664</v>
      </c>
      <c r="B1640" s="8" t="str">
        <f>HYPERLINK("https://www.suredividend.com/sure-analysis-UMH/","UMH Properties Inc")</f>
        <v>UMH Properties Inc</v>
      </c>
      <c r="C1640" s="5">
        <v>0.017624020887728</v>
      </c>
      <c r="D1640" s="5">
        <v>0.169252923132307</v>
      </c>
      <c r="E1640" s="5">
        <v>-0.009510981784913</v>
      </c>
      <c r="F1640" s="5">
        <v>0.017624020887728</v>
      </c>
      <c r="G1640" s="5">
        <v>-0.046022237044198</v>
      </c>
      <c r="H1640" s="5">
        <v>-0.264469984336371</v>
      </c>
      <c r="I1640" s="5">
        <v>0.432838564404209</v>
      </c>
    </row>
    <row r="1641">
      <c r="A1641" s="2" t="s">
        <v>1665</v>
      </c>
      <c r="B1641" s="8" t="str">
        <f>HYPERLINK("https://www.suredividend.com/sure-analysis-UNF/","Unifirst Corp.")</f>
        <v>Unifirst Corp.</v>
      </c>
      <c r="C1641" s="5">
        <v>-0.050899349406812</v>
      </c>
      <c r="D1641" s="5">
        <v>0.084707806834533</v>
      </c>
      <c r="E1641" s="5">
        <v>0.110805397899963</v>
      </c>
      <c r="F1641" s="5">
        <v>-0.050899349406812</v>
      </c>
      <c r="G1641" s="5">
        <v>-0.110218140068886</v>
      </c>
      <c r="H1641" s="5">
        <v>-0.067386183240349</v>
      </c>
      <c r="I1641" s="5">
        <v>0.315812411840189</v>
      </c>
    </row>
    <row r="1642">
      <c r="A1642" s="2" t="s">
        <v>1666</v>
      </c>
      <c r="B1642" s="8" t="str">
        <f>HYPERLINK("https://www.suredividend.com/sure-analysis-research-database/","United Natural Foods Inc.")</f>
        <v>United Natural Foods Inc.</v>
      </c>
      <c r="C1642" s="5">
        <v>-0.069008009858287</v>
      </c>
      <c r="D1642" s="5">
        <v>0.068599717114568</v>
      </c>
      <c r="E1642" s="5">
        <v>-0.270752895752895</v>
      </c>
      <c r="F1642" s="5">
        <v>-0.069008009858287</v>
      </c>
      <c r="G1642" s="5">
        <v>-0.628655689358564</v>
      </c>
      <c r="H1642" s="5">
        <v>-0.599841101694915</v>
      </c>
      <c r="I1642" s="5">
        <v>0.162307692307692</v>
      </c>
    </row>
    <row r="1643">
      <c r="A1643" s="2" t="s">
        <v>1667</v>
      </c>
      <c r="B1643" s="8" t="str">
        <f>HYPERLINK("https://www.suredividend.com/sure-analysis-UNIT/","Uniti Group Inc")</f>
        <v>Uniti Group Inc</v>
      </c>
      <c r="C1643" s="5">
        <v>-0.053633217993079</v>
      </c>
      <c r="D1643" s="5">
        <v>0.353390899868867</v>
      </c>
      <c r="E1643" s="5">
        <v>0.061332195036768</v>
      </c>
      <c r="F1643" s="5">
        <v>-0.053633217993079</v>
      </c>
      <c r="G1643" s="5">
        <v>-0.007655745437393</v>
      </c>
      <c r="H1643" s="5">
        <v>-0.41125820686686</v>
      </c>
      <c r="I1643" s="5">
        <v>-0.589231404648368</v>
      </c>
    </row>
    <row r="1644">
      <c r="A1644" s="2" t="s">
        <v>1668</v>
      </c>
      <c r="B1644" s="8" t="str">
        <f>HYPERLINK("https://www.suredividend.com/sure-analysis-research-database/","Unity Bancorp, Inc.")</f>
        <v>Unity Bancorp, Inc.</v>
      </c>
      <c r="C1644" s="5">
        <v>0.013518080432578</v>
      </c>
      <c r="D1644" s="5">
        <v>0.315466268970962</v>
      </c>
      <c r="E1644" s="5">
        <v>0.167712117495434</v>
      </c>
      <c r="F1644" s="5">
        <v>0.013518080432578</v>
      </c>
      <c r="G1644" s="5">
        <v>0.181224865984741</v>
      </c>
      <c r="H1644" s="5">
        <v>0.06336582408192</v>
      </c>
      <c r="I1644" s="5">
        <v>0.658729763662811</v>
      </c>
    </row>
    <row r="1645">
      <c r="A1645" s="2" t="s">
        <v>1669</v>
      </c>
      <c r="B1645" s="8" t="str">
        <f t="shared" ref="B1645:B1646" si="4">HYPERLINK("https://www.suredividend.com/sure-analysis-research-database/","Urban One Inc")</f>
        <v>Urban One Inc</v>
      </c>
      <c r="C1645" s="5">
        <v>-0.002481389578163</v>
      </c>
      <c r="D1645" s="5">
        <v>-0.23574144486692</v>
      </c>
      <c r="E1645" s="5">
        <v>-0.300869565217391</v>
      </c>
      <c r="F1645" s="5">
        <v>-0.002481389578163</v>
      </c>
      <c r="G1645" s="5">
        <v>-0.41399416909621</v>
      </c>
      <c r="H1645" s="5">
        <v>-0.222437137330754</v>
      </c>
      <c r="I1645" s="5">
        <v>0.896226415094339</v>
      </c>
    </row>
    <row r="1646">
      <c r="A1646" s="2" t="s">
        <v>1670</v>
      </c>
      <c r="B1646" s="8" t="str">
        <f t="shared" si="4"/>
        <v>Urban One Inc</v>
      </c>
      <c r="C1646" s="5">
        <v>0.093484419263456</v>
      </c>
      <c r="D1646" s="5">
        <v>-0.24756335282651</v>
      </c>
      <c r="E1646" s="5">
        <v>-0.322807017543859</v>
      </c>
      <c r="F1646" s="5">
        <v>0.093484419263456</v>
      </c>
      <c r="G1646" s="5">
        <v>-0.221774193548387</v>
      </c>
      <c r="H1646" s="5">
        <v>-0.089622641509434</v>
      </c>
      <c r="I1646" s="5">
        <v>0.882926829268292</v>
      </c>
    </row>
    <row r="1647">
      <c r="A1647" s="2" t="s">
        <v>1671</v>
      </c>
      <c r="B1647" s="8" t="str">
        <f>HYPERLINK("https://www.suredividend.com/sure-analysis-research-database/","Wheels Up Experience Inc")</f>
        <v>Wheels Up Experience Inc</v>
      </c>
      <c r="C1647" s="5">
        <v>-0.014577259475218</v>
      </c>
      <c r="D1647" s="5">
        <v>1.41428571428571</v>
      </c>
      <c r="E1647" s="5">
        <v>0.502222222222222</v>
      </c>
      <c r="F1647" s="5">
        <v>-0.014577259475218</v>
      </c>
      <c r="G1647" s="5">
        <v>-0.743939393939393</v>
      </c>
      <c r="H1647" s="5">
        <v>-0.900294985250737</v>
      </c>
      <c r="I1647" s="5">
        <v>-0.649740932642487</v>
      </c>
    </row>
    <row r="1648">
      <c r="A1648" s="2" t="s">
        <v>1672</v>
      </c>
      <c r="B1648" s="8" t="str">
        <f>HYPERLINK("https://www.suredividend.com/sure-analysis-research-database/","Upbound Group Inc")</f>
        <v>Upbound Group Inc</v>
      </c>
      <c r="C1648" s="5">
        <v>0.026493965263467</v>
      </c>
      <c r="D1648" s="5">
        <v>0.411158145219382</v>
      </c>
      <c r="E1648" s="5">
        <v>0.060978095837935</v>
      </c>
      <c r="F1648" s="5">
        <v>0.026493965263467</v>
      </c>
      <c r="G1648" s="5">
        <v>0.327875095201827</v>
      </c>
      <c r="H1648" s="5">
        <v>-0.140266919137752</v>
      </c>
      <c r="I1648" s="5">
        <v>1.31572795675359</v>
      </c>
    </row>
    <row r="1649">
      <c r="A1649" s="2" t="s">
        <v>1673</v>
      </c>
      <c r="B1649" s="8" t="str">
        <f>HYPERLINK("https://www.suredividend.com/sure-analysis-research-database/","Upland Software Inc")</f>
        <v>Upland Software Inc</v>
      </c>
      <c r="C1649" s="5">
        <v>0.01418439716312</v>
      </c>
      <c r="D1649" s="5">
        <v>0.276785714285714</v>
      </c>
      <c r="E1649" s="5">
        <v>0.143999999999999</v>
      </c>
      <c r="F1649" s="5">
        <v>0.01418439716312</v>
      </c>
      <c r="G1649" s="5">
        <v>-0.50632911392405</v>
      </c>
      <c r="H1649" s="5">
        <v>-0.770710849812934</v>
      </c>
      <c r="I1649" s="5">
        <v>-0.853082191780821</v>
      </c>
    </row>
    <row r="1650">
      <c r="A1650" s="2" t="s">
        <v>1674</v>
      </c>
      <c r="B1650" s="8" t="str">
        <f>HYPERLINK("https://www.suredividend.com/sure-analysis-research-database/","Upwork Inc")</f>
        <v>Upwork Inc</v>
      </c>
      <c r="C1650" s="5">
        <v>-0.018829858776059</v>
      </c>
      <c r="D1650" s="5">
        <v>0.415130940834141</v>
      </c>
      <c r="E1650" s="5">
        <v>0.408301158301158</v>
      </c>
      <c r="F1650" s="5">
        <v>-0.018829858776059</v>
      </c>
      <c r="G1650" s="5">
        <v>0.113740458015267</v>
      </c>
      <c r="H1650" s="5">
        <v>-0.405702647657841</v>
      </c>
      <c r="I1650" s="5">
        <v>-0.227224576271186</v>
      </c>
    </row>
    <row r="1651">
      <c r="A1651" s="2" t="s">
        <v>1675</v>
      </c>
      <c r="B1651" s="8" t="str">
        <f>HYPERLINK("https://www.suredividend.com/sure-analysis-research-database/","Urban Outfitters, Inc.")</f>
        <v>Urban Outfitters, Inc.</v>
      </c>
      <c r="C1651" s="5">
        <v>0.095544970579994</v>
      </c>
      <c r="D1651" s="5">
        <v>0.156120638675339</v>
      </c>
      <c r="E1651" s="5">
        <v>0.091264303656154</v>
      </c>
      <c r="F1651" s="5">
        <v>0.095544970579994</v>
      </c>
      <c r="G1651" s="5">
        <v>0.461136023916292</v>
      </c>
      <c r="H1651" s="5">
        <v>0.391459074733096</v>
      </c>
      <c r="I1651" s="5">
        <v>0.220730565095223</v>
      </c>
    </row>
    <row r="1652">
      <c r="A1652" s="2" t="s">
        <v>1676</v>
      </c>
      <c r="B1652" s="8" t="str">
        <f>HYPERLINK("https://www.suredividend.com/sure-analysis-research-database/","Ur-Energy Inc.")</f>
        <v>Ur-Energy Inc.</v>
      </c>
      <c r="C1652" s="5">
        <v>0.142857142857142</v>
      </c>
      <c r="D1652" s="5">
        <v>0.173333333333333</v>
      </c>
      <c r="E1652" s="5">
        <v>0.742574257425742</v>
      </c>
      <c r="F1652" s="5">
        <v>0.142857142857142</v>
      </c>
      <c r="G1652" s="5">
        <v>0.375</v>
      </c>
      <c r="H1652" s="5">
        <v>0.585585585585585</v>
      </c>
      <c r="I1652" s="5">
        <v>1.53638852860642</v>
      </c>
    </row>
    <row r="1653">
      <c r="A1653" s="2" t="s">
        <v>1677</v>
      </c>
      <c r="B1653" s="8" t="str">
        <f>HYPERLINK("https://www.suredividend.com/sure-analysis-research-database/","USCB Financial Holdings Inc")</f>
        <v>USCB Financial Holdings Inc</v>
      </c>
      <c r="C1653" s="5">
        <v>-0.008163265306122</v>
      </c>
      <c r="D1653" s="5">
        <v>0.201780415430267</v>
      </c>
      <c r="E1653" s="5">
        <v>0.112637362637362</v>
      </c>
      <c r="F1653" s="5">
        <v>-0.008163265306122</v>
      </c>
      <c r="G1653" s="5">
        <v>-0.005728314238952</v>
      </c>
      <c r="H1653" s="5">
        <v>-0.107274063188831</v>
      </c>
      <c r="I1653" s="5">
        <v>-0.127155172413793</v>
      </c>
    </row>
    <row r="1654">
      <c r="A1654" s="2" t="s">
        <v>1678</v>
      </c>
      <c r="B1654" s="8" t="str">
        <f>HYPERLINK("https://www.suredividend.com/sure-analysis-research-database/","United States Lime &amp; Minerals Inc.")</f>
        <v>United States Lime &amp; Minerals Inc.</v>
      </c>
      <c r="C1654" s="5">
        <v>0.079379205556761</v>
      </c>
      <c r="D1654" s="5">
        <v>0.296688694059487</v>
      </c>
      <c r="E1654" s="5">
        <v>0.225491766554501</v>
      </c>
      <c r="F1654" s="5">
        <v>0.079379205556761</v>
      </c>
      <c r="G1654" s="5">
        <v>0.642154499305848</v>
      </c>
      <c r="H1654" s="5">
        <v>0.993110867418266</v>
      </c>
      <c r="I1654" s="5">
        <v>2.91912851860141</v>
      </c>
    </row>
    <row r="1655">
      <c r="A1655" s="2" t="s">
        <v>1679</v>
      </c>
      <c r="B1655" s="8" t="str">
        <f>HYPERLINK("https://www.suredividend.com/sure-analysis-research-database/","United States Cellular Corporation")</f>
        <v>United States Cellular Corporation</v>
      </c>
      <c r="C1655" s="5">
        <v>0.068849301877708</v>
      </c>
      <c r="D1655" s="5">
        <v>0.072722879922686</v>
      </c>
      <c r="E1655" s="5">
        <v>1.48322147651006</v>
      </c>
      <c r="F1655" s="5">
        <v>0.068849301877708</v>
      </c>
      <c r="G1655" s="5">
        <v>0.812244897959183</v>
      </c>
      <c r="H1655" s="5">
        <v>0.438755670771224</v>
      </c>
      <c r="I1655" s="5">
        <v>-0.207284413497589</v>
      </c>
    </row>
    <row r="1656">
      <c r="A1656" s="2" t="s">
        <v>1680</v>
      </c>
      <c r="B1656" s="8" t="str">
        <f>HYPERLINK("https://www.suredividend.com/sure-analysis-research-database/","Usana Health Sciences Inc")</f>
        <v>Usana Health Sciences Inc</v>
      </c>
      <c r="C1656" s="5">
        <v>-0.102425373134328</v>
      </c>
      <c r="D1656" s="5">
        <v>0.071253618347806</v>
      </c>
      <c r="E1656" s="5">
        <v>-0.261323506832488</v>
      </c>
      <c r="F1656" s="5">
        <v>-0.102425373134328</v>
      </c>
      <c r="G1656" s="5">
        <v>-0.142577080734272</v>
      </c>
      <c r="H1656" s="5">
        <v>-0.496493982208267</v>
      </c>
      <c r="I1656" s="5">
        <v>-0.583318898319764</v>
      </c>
    </row>
    <row r="1657">
      <c r="A1657" s="2" t="s">
        <v>1681</v>
      </c>
      <c r="B1657" s="8" t="str">
        <f>HYPERLINK("https://www.suredividend.com/sure-analysis-research-database/","U.S. Physical Therapy, Inc.")</f>
        <v>U.S. Physical Therapy, Inc.</v>
      </c>
      <c r="C1657" s="5">
        <v>0.028451792999785</v>
      </c>
      <c r="D1657" s="5">
        <v>0.139226054131968</v>
      </c>
      <c r="E1657" s="5">
        <v>-0.172370533315131</v>
      </c>
      <c r="F1657" s="5">
        <v>0.028451792999785</v>
      </c>
      <c r="G1657" s="5">
        <v>0.021776348421574</v>
      </c>
      <c r="H1657" s="5">
        <v>0.042482891918717</v>
      </c>
      <c r="I1657" s="5">
        <v>-0.035816415580336</v>
      </c>
    </row>
    <row r="1658">
      <c r="A1658" s="2" t="s">
        <v>1682</v>
      </c>
      <c r="B1658" s="8" t="str">
        <f>HYPERLINK("https://www.suredividend.com/sure-analysis-research-database/","Universal Technical Institute Inc")</f>
        <v>Universal Technical Institute Inc</v>
      </c>
      <c r="C1658" s="5">
        <v>0.166932907348242</v>
      </c>
      <c r="D1658" s="5">
        <v>0.737217598097502</v>
      </c>
      <c r="E1658" s="5">
        <v>1.05196629213483</v>
      </c>
      <c r="F1658" s="5">
        <v>0.166932907348242</v>
      </c>
      <c r="G1658" s="5">
        <v>0.935099337748344</v>
      </c>
      <c r="H1658" s="5">
        <v>1.01239669421487</v>
      </c>
      <c r="I1658" s="5">
        <v>2.91689008042895</v>
      </c>
    </row>
    <row r="1659">
      <c r="A1659" s="2" t="s">
        <v>1683</v>
      </c>
      <c r="B1659" s="8" t="str">
        <f>HYPERLINK("https://www.suredividend.com/sure-analysis-research-database/","Unitil Corp.")</f>
        <v>Unitil Corp.</v>
      </c>
      <c r="C1659" s="5">
        <v>-0.06315389005136</v>
      </c>
      <c r="D1659" s="5">
        <v>0.084197572718286</v>
      </c>
      <c r="E1659" s="5">
        <v>-0.037990112296341</v>
      </c>
      <c r="F1659" s="5">
        <v>-0.06315389005136</v>
      </c>
      <c r="G1659" s="5">
        <v>-0.004600061441945</v>
      </c>
      <c r="H1659" s="5">
        <v>0.125354172379124</v>
      </c>
      <c r="I1659" s="5">
        <v>0.180050556480693</v>
      </c>
    </row>
    <row r="1660">
      <c r="A1660" s="2" t="s">
        <v>1684</v>
      </c>
      <c r="B1660" s="8" t="str">
        <f>HYPERLINK("https://www.suredividend.com/sure-analysis-research-database/","Utah Medical Products, Inc.")</f>
        <v>Utah Medical Products, Inc.</v>
      </c>
      <c r="C1660" s="5">
        <v>-0.01745428639278</v>
      </c>
      <c r="D1660" s="5">
        <v>0.081461848901156</v>
      </c>
      <c r="E1660" s="5">
        <v>-0.125173643781279</v>
      </c>
      <c r="F1660" s="5">
        <v>-0.01745428639278</v>
      </c>
      <c r="G1660" s="5">
        <v>-0.051669405651706</v>
      </c>
      <c r="H1660" s="5">
        <v>-0.091728306575448</v>
      </c>
      <c r="I1660" s="5">
        <v>0.002973163953083</v>
      </c>
    </row>
    <row r="1661">
      <c r="A1661" s="2" t="s">
        <v>1685</v>
      </c>
      <c r="B1661" s="8" t="str">
        <f>HYPERLINK("https://www.suredividend.com/sure-analysis-research-database/","Utz Brands Inc")</f>
        <v>Utz Brands Inc</v>
      </c>
      <c r="C1661" s="5">
        <v>0.070812807881773</v>
      </c>
      <c r="D1661" s="5">
        <v>0.422890619886103</v>
      </c>
      <c r="E1661" s="5">
        <v>0.046405275952535</v>
      </c>
      <c r="F1661" s="5">
        <v>0.070812807881773</v>
      </c>
      <c r="G1661" s="5">
        <v>0.082551559708414</v>
      </c>
      <c r="H1661" s="5">
        <v>0.154553481918192</v>
      </c>
      <c r="I1661" s="5">
        <v>0.779938587512794</v>
      </c>
    </row>
    <row r="1662">
      <c r="A1662" s="2" t="s">
        <v>1686</v>
      </c>
      <c r="B1662" s="8" t="str">
        <f>HYPERLINK("https://www.suredividend.com/sure-analysis-research-database/","Energy Fuels Inc")</f>
        <v>Energy Fuels Inc</v>
      </c>
      <c r="C1662" s="5">
        <v>0.025034770514603</v>
      </c>
      <c r="D1662" s="5">
        <v>-0.019946808510638</v>
      </c>
      <c r="E1662" s="5">
        <v>0.228333333333333</v>
      </c>
      <c r="F1662" s="5">
        <v>0.025034770514603</v>
      </c>
      <c r="G1662" s="5">
        <v>-0.022546419098143</v>
      </c>
      <c r="H1662" s="5">
        <v>0.270689655172413</v>
      </c>
      <c r="I1662" s="5">
        <v>1.55902777777777</v>
      </c>
    </row>
    <row r="1663">
      <c r="A1663" s="2" t="s">
        <v>1687</v>
      </c>
      <c r="B1663" s="8" t="str">
        <f>HYPERLINK("https://www.suredividend.com/sure-analysis-research-database/","Universal Insurance Holdings Inc")</f>
        <v>Universal Insurance Holdings Inc</v>
      </c>
      <c r="C1663" s="5">
        <v>0.060700876095118</v>
      </c>
      <c r="D1663" s="5">
        <v>0.211648986360907</v>
      </c>
      <c r="E1663" s="5">
        <v>0.152802432107078</v>
      </c>
      <c r="F1663" s="5">
        <v>0.060700876095118</v>
      </c>
      <c r="G1663" s="5">
        <v>0.4561730569325</v>
      </c>
      <c r="H1663" s="5">
        <v>0.089317618025475</v>
      </c>
      <c r="I1663" s="5">
        <v>-0.451913935936984</v>
      </c>
    </row>
    <row r="1664">
      <c r="A1664" s="2" t="s">
        <v>1688</v>
      </c>
      <c r="B1664" s="8" t="str">
        <f>HYPERLINK("https://www.suredividend.com/sure-analysis-research-database/","Univest Financial Corp")</f>
        <v>Univest Financial Corp</v>
      </c>
      <c r="C1664" s="5">
        <v>-0.007716749886518</v>
      </c>
      <c r="D1664" s="5">
        <v>0.380233490551146</v>
      </c>
      <c r="E1664" s="5">
        <v>0.164568560910771</v>
      </c>
      <c r="F1664" s="5">
        <v>-0.007716749886518</v>
      </c>
      <c r="G1664" s="5">
        <v>-0.115488261809</v>
      </c>
      <c r="H1664" s="5">
        <v>-0.189989365368154</v>
      </c>
      <c r="I1664" s="5">
        <v>0.127443395739852</v>
      </c>
    </row>
    <row r="1665">
      <c r="A1665" s="2" t="s">
        <v>1689</v>
      </c>
      <c r="B1665" s="8" t="str">
        <f>HYPERLINK("https://www.suredividend.com/sure-analysis-UVV/","Universal Corp.")</f>
        <v>Universal Corp.</v>
      </c>
      <c r="C1665" s="5">
        <v>-0.125638025572155</v>
      </c>
      <c r="D1665" s="5">
        <v>0.322147910465071</v>
      </c>
      <c r="E1665" s="5">
        <v>0.210697619211234</v>
      </c>
      <c r="F1665" s="5">
        <v>-0.125638025572155</v>
      </c>
      <c r="G1665" s="5">
        <v>0.177616774253659</v>
      </c>
      <c r="H1665" s="5">
        <v>0.195555838873455</v>
      </c>
      <c r="I1665" s="5">
        <v>0.409492131911396</v>
      </c>
    </row>
    <row r="1666">
      <c r="A1666" s="2" t="s">
        <v>1690</v>
      </c>
      <c r="B1666" s="8" t="str">
        <f>HYPERLINK("https://www.suredividend.com/sure-analysis-research-database/","Valaris Ltd")</f>
        <v>Valaris Ltd</v>
      </c>
      <c r="C1666" s="5">
        <v>-7.29181857955E-4</v>
      </c>
      <c r="D1666" s="5">
        <v>0.033484162895927</v>
      </c>
      <c r="E1666" s="5">
        <v>-0.095326115658832</v>
      </c>
      <c r="F1666" s="5">
        <v>-7.29181857955E-4</v>
      </c>
      <c r="G1666" s="5">
        <v>-0.077171717171717</v>
      </c>
      <c r="H1666" s="5">
        <v>0.6889327088982</v>
      </c>
      <c r="I1666" s="5">
        <v>1.89113924050632</v>
      </c>
    </row>
    <row r="1667">
      <c r="A1667" s="2" t="s">
        <v>1691</v>
      </c>
      <c r="B1667" s="8" t="str">
        <f>HYPERLINK("https://www.suredividend.com/sure-analysis-research-database/","Value Line, Inc.")</f>
        <v>Value Line, Inc.</v>
      </c>
      <c r="C1667" s="5">
        <v>0.038057255085961</v>
      </c>
      <c r="D1667" s="5">
        <v>0.314423165393866</v>
      </c>
      <c r="E1667" s="5">
        <v>-0.047981721249048</v>
      </c>
      <c r="F1667" s="5">
        <v>0.038057255085961</v>
      </c>
      <c r="G1667" s="5">
        <v>-0.017426916214028</v>
      </c>
      <c r="H1667" s="5">
        <v>-0.022906969018334</v>
      </c>
      <c r="I1667" s="5">
        <v>1.82779838928603</v>
      </c>
    </row>
    <row r="1668">
      <c r="A1668" s="2" t="s">
        <v>1692</v>
      </c>
      <c r="B1668" s="8" t="str">
        <f>HYPERLINK("https://www.suredividend.com/sure-analysis-research-database/","VBI Vaccines Inc.")</f>
        <v>VBI Vaccines Inc.</v>
      </c>
      <c r="C1668" s="5">
        <v>0.146212765957446</v>
      </c>
      <c r="D1668" s="5">
        <v>0.147189097103918</v>
      </c>
      <c r="E1668" s="5">
        <v>-0.489848484848484</v>
      </c>
      <c r="F1668" s="5">
        <v>0.146212765957446</v>
      </c>
      <c r="G1668" s="5">
        <v>-0.962463768115942</v>
      </c>
      <c r="H1668" s="5">
        <v>-0.985970833333333</v>
      </c>
      <c r="I1668" s="5">
        <v>-0.985970833333333</v>
      </c>
    </row>
    <row r="1669">
      <c r="A1669" s="2" t="s">
        <v>1693</v>
      </c>
      <c r="B1669" s="8" t="str">
        <f>HYPERLINK("https://www.suredividend.com/sure-analysis-research-database/","Veritex Holdings Inc")</f>
        <v>Veritex Holdings Inc</v>
      </c>
      <c r="C1669" s="5">
        <v>-0.039965620971207</v>
      </c>
      <c r="D1669" s="5">
        <v>0.328251808955295</v>
      </c>
      <c r="E1669" s="5">
        <v>0.075859146247495</v>
      </c>
      <c r="F1669" s="5">
        <v>-0.039965620971207</v>
      </c>
      <c r="G1669" s="5">
        <v>-0.133083684200314</v>
      </c>
      <c r="H1669" s="5">
        <v>-0.380765478091183</v>
      </c>
      <c r="I1669" s="5">
        <v>0.034388557828987</v>
      </c>
    </row>
    <row r="1670">
      <c r="A1670" s="2" t="s">
        <v>1694</v>
      </c>
      <c r="B1670" s="8" t="str">
        <f>HYPERLINK("https://www.suredividend.com/sure-analysis-research-database/","Visteon Corp.")</f>
        <v>Visteon Corp.</v>
      </c>
      <c r="C1670" s="5">
        <v>-0.037790232185748</v>
      </c>
      <c r="D1670" s="5">
        <v>0.006954335986594</v>
      </c>
      <c r="E1670" s="5">
        <v>-0.211158516573678</v>
      </c>
      <c r="F1670" s="5">
        <v>-0.037790232185748</v>
      </c>
      <c r="G1670" s="5">
        <v>-0.198532844281427</v>
      </c>
      <c r="H1670" s="5">
        <v>0.225451208320587</v>
      </c>
      <c r="I1670" s="5">
        <v>0.596652052610602</v>
      </c>
    </row>
    <row r="1671">
      <c r="A1671" s="2" t="s">
        <v>1695</v>
      </c>
      <c r="B1671" s="8" t="str">
        <f>HYPERLINK("https://www.suredividend.com/sure-analysis-research-database/","Vericel Corp")</f>
        <v>Vericel Corp</v>
      </c>
      <c r="C1671" s="5">
        <v>0.251333894973322</v>
      </c>
      <c r="D1671" s="5">
        <v>0.357708714198659</v>
      </c>
      <c r="E1671" s="5">
        <v>0.179460031762837</v>
      </c>
      <c r="F1671" s="5">
        <v>0.251333894973322</v>
      </c>
      <c r="G1671" s="5">
        <v>0.561864703820539</v>
      </c>
      <c r="H1671" s="5">
        <v>0.338942307692307</v>
      </c>
      <c r="I1671" s="5">
        <v>1.69733656174334</v>
      </c>
    </row>
    <row r="1672">
      <c r="A1672" s="2" t="s">
        <v>1696</v>
      </c>
      <c r="B1672" s="8" t="str">
        <f>HYPERLINK("https://www.suredividend.com/sure-analysis-research-database/","Vacasa Inc")</f>
        <v>Vacasa Inc</v>
      </c>
      <c r="C1672" s="5">
        <v>0.020731707317073</v>
      </c>
      <c r="D1672" s="5">
        <v>0.177215189873417</v>
      </c>
      <c r="E1672" s="5">
        <v>-0.41056338028169</v>
      </c>
      <c r="F1672" s="5">
        <v>0.020731707317073</v>
      </c>
      <c r="G1672" s="5">
        <v>-0.763559322033898</v>
      </c>
      <c r="H1672" s="5">
        <v>-0.930133555926544</v>
      </c>
      <c r="I1672" s="5">
        <v>-0.172106824925816</v>
      </c>
    </row>
    <row r="1673">
      <c r="A1673" s="2" t="s">
        <v>1697</v>
      </c>
      <c r="B1673" s="8" t="str">
        <f>HYPERLINK("https://www.suredividend.com/sure-analysis-research-database/","Victory Capital Holdings Inc")</f>
        <v>Victory Capital Holdings Inc</v>
      </c>
      <c r="C1673" s="5">
        <v>0.001451800232288</v>
      </c>
      <c r="D1673" s="5">
        <v>0.200036185492401</v>
      </c>
      <c r="E1673" s="5">
        <v>0.078786779310064</v>
      </c>
      <c r="F1673" s="5">
        <v>0.001451800232288</v>
      </c>
      <c r="G1673" s="5">
        <v>0.255738934460549</v>
      </c>
      <c r="H1673" s="5">
        <v>0.202500531694204</v>
      </c>
      <c r="I1673" s="5">
        <v>2.7186785698883</v>
      </c>
    </row>
    <row r="1674">
      <c r="A1674" s="2" t="s">
        <v>1698</v>
      </c>
      <c r="B1674" s="8" t="str">
        <f>HYPERLINK("https://www.suredividend.com/sure-analysis-research-database/","Veracyte Inc")</f>
        <v>Veracyte Inc</v>
      </c>
      <c r="C1674" s="5">
        <v>-0.015267175572519</v>
      </c>
      <c r="D1674" s="5">
        <v>0.373732251521298</v>
      </c>
      <c r="E1674" s="5">
        <v>-0.03594306049822</v>
      </c>
      <c r="F1674" s="5">
        <v>-0.015267175572519</v>
      </c>
      <c r="G1674" s="5">
        <v>0.040722243565117</v>
      </c>
      <c r="H1674" s="5">
        <v>3.69276218611E-4</v>
      </c>
      <c r="I1674" s="5">
        <v>0.527918781725888</v>
      </c>
    </row>
    <row r="1675">
      <c r="A1675" s="2" t="s">
        <v>1699</v>
      </c>
      <c r="B1675" s="8" t="str">
        <f>HYPERLINK("https://www.suredividend.com/sure-analysis-research-database/","Veeco Instruments Inc")</f>
        <v>Veeco Instruments Inc</v>
      </c>
      <c r="C1675" s="5">
        <v>0.052207541089268</v>
      </c>
      <c r="D1675" s="5">
        <v>0.351407284768211</v>
      </c>
      <c r="E1675" s="5">
        <v>0.185978932074101</v>
      </c>
      <c r="F1675" s="5">
        <v>0.052207541089268</v>
      </c>
      <c r="G1675" s="5">
        <v>0.630054917623564</v>
      </c>
      <c r="H1675" s="5">
        <v>0.234404536862003</v>
      </c>
      <c r="I1675" s="5">
        <v>2.33503575076608</v>
      </c>
    </row>
    <row r="1676">
      <c r="A1676" s="2" t="s">
        <v>1700</v>
      </c>
      <c r="B1676" s="8" t="str">
        <f>HYPERLINK("https://www.suredividend.com/sure-analysis-research-database/","Velocity Financial Inc")</f>
        <v>Velocity Financial Inc</v>
      </c>
      <c r="C1676" s="5">
        <v>-0.065040650406503</v>
      </c>
      <c r="D1676" s="5">
        <v>0.412280701754386</v>
      </c>
      <c r="E1676" s="5">
        <v>0.330578512396694</v>
      </c>
      <c r="F1676" s="5">
        <v>-0.065040650406503</v>
      </c>
      <c r="G1676" s="5">
        <v>0.61</v>
      </c>
      <c r="H1676" s="5">
        <v>0.198808637379002</v>
      </c>
      <c r="I1676" s="5">
        <v>0.191709844559585</v>
      </c>
    </row>
    <row r="1677">
      <c r="A1677" s="2" t="s">
        <v>1701</v>
      </c>
      <c r="B1677" s="8" t="str">
        <f>HYPERLINK("https://www.suredividend.com/sure-analysis-research-database/","Vera Therapeutics Inc")</f>
        <v>Vera Therapeutics Inc</v>
      </c>
      <c r="C1677" s="5">
        <v>1.18725617685305</v>
      </c>
      <c r="D1677" s="5">
        <v>2.37074148296593</v>
      </c>
      <c r="E1677" s="5">
        <v>0.955813953488372</v>
      </c>
      <c r="F1677" s="5">
        <v>1.18725617685305</v>
      </c>
      <c r="G1677" s="5">
        <v>2.84897025171624</v>
      </c>
      <c r="H1677" s="5">
        <v>0.726013340174448</v>
      </c>
      <c r="I1677" s="5">
        <v>1.92521739130434</v>
      </c>
    </row>
    <row r="1678">
      <c r="A1678" s="2" t="s">
        <v>1702</v>
      </c>
      <c r="B1678" s="8" t="str">
        <f>HYPERLINK("https://www.suredividend.com/sure-analysis-research-database/","Veritone Inc")</f>
        <v>Veritone Inc</v>
      </c>
      <c r="C1678" s="5">
        <v>-0.008287292817679</v>
      </c>
      <c r="D1678" s="5">
        <v>-0.232905982905982</v>
      </c>
      <c r="E1678" s="5">
        <v>-0.55679012345679</v>
      </c>
      <c r="F1678" s="5">
        <v>-0.008287292817679</v>
      </c>
      <c r="G1678" s="5">
        <v>-0.786054827175208</v>
      </c>
      <c r="H1678" s="5">
        <v>-0.875433726578764</v>
      </c>
      <c r="I1678" s="5">
        <v>-0.66635687732342</v>
      </c>
    </row>
    <row r="1679">
      <c r="A1679" s="2" t="s">
        <v>1703</v>
      </c>
      <c r="B1679" s="8" t="str">
        <f>HYPERLINK("https://www.suredividend.com/sure-analysis-research-database/","Veru Inc")</f>
        <v>Veru Inc</v>
      </c>
      <c r="C1679" s="5">
        <v>-0.320833333333333</v>
      </c>
      <c r="D1679" s="5">
        <v>-0.442544459644322</v>
      </c>
      <c r="E1679" s="5">
        <v>-0.604048582995951</v>
      </c>
      <c r="F1679" s="5">
        <v>-0.320833333333333</v>
      </c>
      <c r="G1679" s="5">
        <v>-0.917118644067796</v>
      </c>
      <c r="H1679" s="5">
        <v>-0.896835443037974</v>
      </c>
      <c r="I1679" s="5">
        <v>-0.665045551065141</v>
      </c>
    </row>
    <row r="1680">
      <c r="A1680" s="2" t="s">
        <v>1704</v>
      </c>
      <c r="B1680" s="8" t="str">
        <f>HYPERLINK("https://www.suredividend.com/sure-analysis-research-database/","Verve Therapeutics Inc")</f>
        <v>Verve Therapeutics Inc</v>
      </c>
      <c r="C1680" s="5">
        <v>-0.139885222381635</v>
      </c>
      <c r="D1680" s="5">
        <v>0.356334841628959</v>
      </c>
      <c r="E1680" s="5">
        <v>-0.397487437185929</v>
      </c>
      <c r="F1680" s="5">
        <v>-0.139885222381635</v>
      </c>
      <c r="G1680" s="5">
        <v>-0.465209634255129</v>
      </c>
      <c r="H1680" s="5">
        <v>-0.578410689170182</v>
      </c>
      <c r="I1680" s="5">
        <v>-0.624373433583959</v>
      </c>
    </row>
    <row r="1681">
      <c r="A1681" s="2" t="s">
        <v>1705</v>
      </c>
      <c r="B1681" s="8" t="str">
        <f>HYPERLINK("https://www.suredividend.com/sure-analysis-VGR/","Vector Group Ltd")</f>
        <v>Vector Group Ltd</v>
      </c>
      <c r="C1681" s="5">
        <v>-0.038120567375886</v>
      </c>
      <c r="D1681" s="5">
        <v>0.089981214148659</v>
      </c>
      <c r="E1681" s="5">
        <v>-0.139496704708578</v>
      </c>
      <c r="F1681" s="5">
        <v>-0.038120567375886</v>
      </c>
      <c r="G1681" s="5">
        <v>-0.078728390449342</v>
      </c>
      <c r="H1681" s="5">
        <v>0.113494319639576</v>
      </c>
      <c r="I1681" s="5">
        <v>0.576805696846388</v>
      </c>
    </row>
    <row r="1682">
      <c r="A1682" s="2" t="s">
        <v>1706</v>
      </c>
      <c r="B1682" s="8" t="str">
        <f>HYPERLINK("https://www.suredividend.com/sure-analysis-research-database/","Valhi, Inc.")</f>
        <v>Valhi, Inc.</v>
      </c>
      <c r="C1682" s="5">
        <v>-0.042132982225148</v>
      </c>
      <c r="D1682" s="5">
        <v>0.245516568366447</v>
      </c>
      <c r="E1682" s="5">
        <v>-0.035107497645794</v>
      </c>
      <c r="F1682" s="5">
        <v>-0.042132982225148</v>
      </c>
      <c r="G1682" s="5">
        <v>-0.42579993370061</v>
      </c>
      <c r="H1682" s="5">
        <v>-0.421901011971218</v>
      </c>
      <c r="I1682" s="5">
        <v>-0.581959017618057</v>
      </c>
    </row>
    <row r="1683">
      <c r="A1683" s="2" t="s">
        <v>1707</v>
      </c>
      <c r="B1683" s="8" t="str">
        <f>HYPERLINK("https://www.suredividend.com/sure-analysis-research-database/","Via Renewables Inc")</f>
        <v>Via Renewables Inc</v>
      </c>
      <c r="C1683" s="5">
        <v>0.154255319148936</v>
      </c>
      <c r="D1683" s="5">
        <v>0.854700854700854</v>
      </c>
      <c r="E1683" s="5">
        <v>0.271981242672919</v>
      </c>
      <c r="F1683" s="5">
        <v>0.154255319148936</v>
      </c>
      <c r="G1683" s="5">
        <v>-0.652956585988402</v>
      </c>
      <c r="H1683" s="5">
        <v>-0.785422154717548</v>
      </c>
      <c r="I1683" s="5">
        <v>0.447284174581154</v>
      </c>
    </row>
    <row r="1684">
      <c r="A1684" s="2" t="s">
        <v>1708</v>
      </c>
      <c r="B1684" s="8" t="str">
        <f>HYPERLINK("https://www.suredividend.com/sure-analysis-research-database/","Viavi Solutions Inc")</f>
        <v>Viavi Solutions Inc</v>
      </c>
      <c r="C1684" s="5">
        <v>-0.007944389275074</v>
      </c>
      <c r="D1684" s="5">
        <v>0.339142091152815</v>
      </c>
      <c r="E1684" s="5">
        <v>-0.075</v>
      </c>
      <c r="F1684" s="5">
        <v>-0.007944389275074</v>
      </c>
      <c r="G1684" s="5">
        <v>-0.108035714285714</v>
      </c>
      <c r="H1684" s="5">
        <v>-0.360844529750479</v>
      </c>
      <c r="I1684" s="5">
        <v>-0.077562326869806</v>
      </c>
    </row>
    <row r="1685">
      <c r="A1685" s="2" t="s">
        <v>1709</v>
      </c>
      <c r="B1685" s="8" t="str">
        <f>HYPERLINK("https://www.suredividend.com/sure-analysis-research-database/","Vicor Corp.")</f>
        <v>Vicor Corp.</v>
      </c>
      <c r="C1685" s="5">
        <v>-0.138851802403204</v>
      </c>
      <c r="D1685" s="5">
        <v>-0.046328240512567</v>
      </c>
      <c r="E1685" s="5">
        <v>-0.593231027958797</v>
      </c>
      <c r="F1685" s="5">
        <v>-0.138851802403204</v>
      </c>
      <c r="G1685" s="5">
        <v>-0.455006337135614</v>
      </c>
      <c r="H1685" s="5">
        <v>-0.549895324494068</v>
      </c>
      <c r="I1685" s="5">
        <v>-0.025434399395618</v>
      </c>
    </row>
    <row r="1686">
      <c r="A1686" s="2" t="s">
        <v>1710</v>
      </c>
      <c r="B1686" s="8" t="str">
        <f>HYPERLINK("https://www.suredividend.com/sure-analysis-research-database/","View Inc.")</f>
        <v>View Inc.</v>
      </c>
      <c r="C1686" s="5">
        <v>-0.546703296703296</v>
      </c>
      <c r="D1686" s="5">
        <v>-0.555256064690027</v>
      </c>
      <c r="E1686" s="5">
        <v>-0.885416666666666</v>
      </c>
      <c r="F1686" s="5">
        <v>-0.546703296703296</v>
      </c>
      <c r="G1686" s="5">
        <v>-0.965216291424234</v>
      </c>
      <c r="H1686" s="5">
        <v>-0.987885462555066</v>
      </c>
      <c r="I1686" s="5">
        <v>-0.829896907216494</v>
      </c>
    </row>
    <row r="1687">
      <c r="A1687" s="2" t="s">
        <v>1711</v>
      </c>
      <c r="B1687" s="8" t="str">
        <f>HYPERLINK("https://www.suredividend.com/sure-analysis-research-database/","Vir Biotechnology Inc")</f>
        <v>Vir Biotechnology Inc</v>
      </c>
      <c r="C1687" s="5">
        <v>-0.053677932405566</v>
      </c>
      <c r="D1687" s="5">
        <v>0.22680412371134</v>
      </c>
      <c r="E1687" s="5">
        <v>-0.326732673267326</v>
      </c>
      <c r="F1687" s="5">
        <v>-0.053677932405566</v>
      </c>
      <c r="G1687" s="5">
        <v>-0.691410048622366</v>
      </c>
      <c r="H1687" s="5">
        <v>-0.719752722990874</v>
      </c>
      <c r="I1687" s="5">
        <v>-0.320970042796005</v>
      </c>
    </row>
    <row r="1688">
      <c r="A1688" s="2" t="s">
        <v>1712</v>
      </c>
      <c r="B1688" s="8" t="str">
        <f>HYPERLINK("https://www.suredividend.com/sure-analysis-research-database/","Vital Farms Inc")</f>
        <v>Vital Farms Inc</v>
      </c>
      <c r="C1688" s="5">
        <v>-0.040790312300828</v>
      </c>
      <c r="D1688" s="5">
        <v>0.402609506057781</v>
      </c>
      <c r="E1688" s="5">
        <v>0.31555944055944</v>
      </c>
      <c r="F1688" s="5">
        <v>-0.040790312300828</v>
      </c>
      <c r="G1688" s="5">
        <v>-0.124999999999999</v>
      </c>
      <c r="H1688" s="5">
        <v>-0.025259067357512</v>
      </c>
      <c r="I1688" s="5">
        <v>-0.573170731707317</v>
      </c>
    </row>
    <row r="1689">
      <c r="A1689" s="2" t="s">
        <v>1713</v>
      </c>
      <c r="B1689" s="8" t="str">
        <f>HYPERLINK("https://www.suredividend.com/sure-analysis-research-database/","Velo3D Inc")</f>
        <v>Velo3D Inc</v>
      </c>
      <c r="C1689" s="5">
        <v>-0.21202213279678</v>
      </c>
      <c r="D1689" s="5">
        <v>-0.745284552845528</v>
      </c>
      <c r="E1689" s="5">
        <v>-0.848647342995169</v>
      </c>
      <c r="F1689" s="5">
        <v>-0.21202213279678</v>
      </c>
      <c r="G1689" s="5">
        <v>-0.860133928571428</v>
      </c>
      <c r="H1689" s="5">
        <v>-0.946168384879725</v>
      </c>
      <c r="I1689" s="5">
        <v>-0.960341772151898</v>
      </c>
    </row>
    <row r="1690">
      <c r="A1690" s="2" t="s">
        <v>1714</v>
      </c>
      <c r="B1690" s="8" t="str">
        <f>HYPERLINK("https://www.suredividend.com/sure-analysis-research-database/","Village Super Market, Inc.")</f>
        <v>Village Super Market, Inc.</v>
      </c>
      <c r="C1690" s="5">
        <v>0.015149513023606</v>
      </c>
      <c r="D1690" s="5">
        <v>0.107629156259673</v>
      </c>
      <c r="E1690" s="5">
        <v>0.167134354501421</v>
      </c>
      <c r="F1690" s="5">
        <v>0.015149513023606</v>
      </c>
      <c r="G1690" s="5">
        <v>0.235543151770298</v>
      </c>
      <c r="H1690" s="5">
        <v>0.319098649590432</v>
      </c>
      <c r="I1690" s="5">
        <v>0.250538612534112</v>
      </c>
    </row>
    <row r="1691">
      <c r="A1691" s="2" t="s">
        <v>1715</v>
      </c>
      <c r="B1691" s="8" t="str">
        <f>HYPERLINK("https://www.suredividend.com/sure-analysis-research-database/","Valley National Bancorp")</f>
        <v>Valley National Bancorp</v>
      </c>
      <c r="C1691" s="5">
        <v>-0.029465930018416</v>
      </c>
      <c r="D1691" s="5">
        <v>0.373647856118858</v>
      </c>
      <c r="E1691" s="5">
        <v>0.07492886500158</v>
      </c>
      <c r="F1691" s="5">
        <v>-0.029465930018416</v>
      </c>
      <c r="G1691" s="5">
        <v>-0.008746355685131</v>
      </c>
      <c r="H1691" s="5">
        <v>-0.140181426613587</v>
      </c>
      <c r="I1691" s="5">
        <v>0.294315572310979</v>
      </c>
    </row>
    <row r="1692">
      <c r="A1692" s="2" t="s">
        <v>1716</v>
      </c>
      <c r="B1692" s="8" t="str">
        <f>HYPERLINK("https://www.suredividend.com/sure-analysis-research-database/","Vimeo Inc")</f>
        <v>Vimeo Inc</v>
      </c>
      <c r="C1692" s="5">
        <v>0.002551020408163</v>
      </c>
      <c r="D1692" s="5">
        <v>0.297029702970297</v>
      </c>
      <c r="E1692" s="5">
        <v>-0.019950124688279</v>
      </c>
      <c r="F1692" s="5">
        <v>0.002551020408163</v>
      </c>
      <c r="G1692" s="5">
        <v>-0.104783599088838</v>
      </c>
      <c r="H1692" s="5">
        <v>-0.697692307692307</v>
      </c>
      <c r="I1692" s="5">
        <v>-0.913417052214144</v>
      </c>
    </row>
    <row r="1693">
      <c r="A1693" s="2" t="s">
        <v>1717</v>
      </c>
      <c r="B1693" s="8" t="str">
        <f>HYPERLINK("https://www.suredividend.com/sure-analysis-research-database/","Vanda Pharmaceuticals Inc")</f>
        <v>Vanda Pharmaceuticals Inc</v>
      </c>
      <c r="C1693" s="5">
        <v>-0.09952606635071</v>
      </c>
      <c r="D1693" s="5">
        <v>-0.08433734939759</v>
      </c>
      <c r="E1693" s="5">
        <v>-0.36026936026936</v>
      </c>
      <c r="F1693" s="5">
        <v>-0.09952606635071</v>
      </c>
      <c r="G1693" s="5">
        <v>-0.503267973856209</v>
      </c>
      <c r="H1693" s="5">
        <v>-0.742198100407055</v>
      </c>
      <c r="I1693" s="5">
        <v>-0.866806869961444</v>
      </c>
    </row>
    <row r="1694">
      <c r="A1694" s="2" t="s">
        <v>1718</v>
      </c>
      <c r="B1694" s="8" t="str">
        <f>HYPERLINK("https://www.suredividend.com/sure-analysis-research-database/","Vishay Precision Group Inc")</f>
        <v>Vishay Precision Group Inc</v>
      </c>
      <c r="C1694" s="5">
        <v>-0.063692398004109</v>
      </c>
      <c r="D1694" s="5">
        <v>0.053500660501981</v>
      </c>
      <c r="E1694" s="5">
        <v>-0.137837837837837</v>
      </c>
      <c r="F1694" s="5">
        <v>-0.063692398004109</v>
      </c>
      <c r="G1694" s="5">
        <v>-0.253451907325064</v>
      </c>
      <c r="H1694" s="5">
        <v>0.026713871902156</v>
      </c>
      <c r="I1694" s="5">
        <v>-0.006849315068493</v>
      </c>
    </row>
    <row r="1695">
      <c r="A1695" s="2" t="s">
        <v>1719</v>
      </c>
      <c r="B1695" s="8" t="str">
        <f>HYPERLINK("https://www.suredividend.com/sure-analysis-research-database/","ViewRay Inc.")</f>
        <v>ViewRay Inc.</v>
      </c>
      <c r="C1695" s="5">
        <v>0.0</v>
      </c>
      <c r="D1695" s="5">
        <v>0.0</v>
      </c>
      <c r="E1695" s="5">
        <v>0.0</v>
      </c>
      <c r="F1695" s="5">
        <v>0.0</v>
      </c>
      <c r="G1695" s="5">
        <v>0.0</v>
      </c>
      <c r="H1695" s="5">
        <v>0.0</v>
      </c>
      <c r="I1695" s="5">
        <v>0.0</v>
      </c>
    </row>
    <row r="1696">
      <c r="A1696" s="2" t="s">
        <v>1720</v>
      </c>
      <c r="B1696" s="8" t="str">
        <f>HYPERLINK("https://www.suredividend.com/sure-analysis-research-database/","Viridian Therapeutics Inc")</f>
        <v>Viridian Therapeutics Inc</v>
      </c>
      <c r="C1696" s="5">
        <v>-0.065656565656565</v>
      </c>
      <c r="D1696" s="5">
        <v>0.643780290791599</v>
      </c>
      <c r="E1696" s="5">
        <v>0.087072649572649</v>
      </c>
      <c r="F1696" s="5">
        <v>-0.065656565656565</v>
      </c>
      <c r="G1696" s="5">
        <v>-0.439856867602532</v>
      </c>
      <c r="H1696" s="5">
        <v>0.110201854882706</v>
      </c>
      <c r="I1696" s="5">
        <v>-0.510228640192539</v>
      </c>
    </row>
    <row r="1697">
      <c r="A1697" s="2" t="s">
        <v>1721</v>
      </c>
      <c r="B1697" s="8" t="str">
        <f>HYPERLINK("https://www.suredividend.com/sure-analysis-research-database/","Veris Residential Inc")</f>
        <v>Veris Residential Inc</v>
      </c>
      <c r="C1697" s="5">
        <v>6.35727908455E-4</v>
      </c>
      <c r="D1697" s="5">
        <v>0.176787236269569</v>
      </c>
      <c r="E1697" s="5">
        <v>-0.146078144157633</v>
      </c>
      <c r="F1697" s="5">
        <v>6.35727908455E-4</v>
      </c>
      <c r="G1697" s="5">
        <v>-0.066573363538244</v>
      </c>
      <c r="H1697" s="5">
        <v>-0.029993775690682</v>
      </c>
      <c r="I1697" s="5">
        <v>-0.166317975010725</v>
      </c>
    </row>
    <row r="1698">
      <c r="A1698" s="2" t="s">
        <v>1722</v>
      </c>
      <c r="B1698" s="8" t="str">
        <f>HYPERLINK("https://www.suredividend.com/sure-analysis-research-database/","Varex Imaging Corp")</f>
        <v>Varex Imaging Corp</v>
      </c>
      <c r="C1698" s="5">
        <v>-0.043414634146341</v>
      </c>
      <c r="D1698" s="5">
        <v>0.133526011560693</v>
      </c>
      <c r="E1698" s="5">
        <v>-0.149240780911062</v>
      </c>
      <c r="F1698" s="5">
        <v>-0.043414634146341</v>
      </c>
      <c r="G1698" s="5">
        <v>-0.056304138594802</v>
      </c>
      <c r="H1698" s="5">
        <v>-0.245479030396306</v>
      </c>
      <c r="I1698" s="5">
        <v>-0.298640915593705</v>
      </c>
    </row>
    <row r="1699">
      <c r="A1699" s="2" t="s">
        <v>1723</v>
      </c>
      <c r="B1699" s="8" t="str">
        <f>HYPERLINK("https://www.suredividend.com/sure-analysis-research-database/","Varonis Systems Inc")</f>
        <v>Varonis Systems Inc</v>
      </c>
      <c r="C1699" s="5">
        <v>0.016342756183745</v>
      </c>
      <c r="D1699" s="5">
        <v>0.460488733735322</v>
      </c>
      <c r="E1699" s="5">
        <v>0.641812343917231</v>
      </c>
      <c r="F1699" s="5">
        <v>0.016342756183745</v>
      </c>
      <c r="G1699" s="5">
        <v>0.721661054994388</v>
      </c>
      <c r="H1699" s="5">
        <v>0.366389548693586</v>
      </c>
      <c r="I1699" s="5">
        <v>1.40900786775059</v>
      </c>
    </row>
    <row r="1700">
      <c r="A1700" s="2" t="s">
        <v>1724</v>
      </c>
      <c r="B1700" s="8" t="str">
        <f>HYPERLINK("https://www.suredividend.com/sure-analysis-research-database/","Verint Systems, Inc.")</f>
        <v>Verint Systems, Inc.</v>
      </c>
      <c r="C1700" s="5">
        <v>0.152053274139844</v>
      </c>
      <c r="D1700" s="5">
        <v>0.683243243243243</v>
      </c>
      <c r="E1700" s="5">
        <v>-0.156554712892741</v>
      </c>
      <c r="F1700" s="5">
        <v>0.152053274139844</v>
      </c>
      <c r="G1700" s="5">
        <v>-0.178147268408551</v>
      </c>
      <c r="H1700" s="5">
        <v>-0.385677648451371</v>
      </c>
      <c r="I1700" s="5">
        <v>0.175360458971842</v>
      </c>
    </row>
    <row r="1701">
      <c r="A1701" s="2" t="s">
        <v>1725</v>
      </c>
      <c r="B1701" s="8" t="str">
        <f>HYPERLINK("https://www.suredividend.com/sure-analysis-research-database/","Verra Mobility Corp")</f>
        <v>Verra Mobility Corp</v>
      </c>
      <c r="C1701" s="5">
        <v>0.033000434216239</v>
      </c>
      <c r="D1701" s="5">
        <v>0.21937467965146</v>
      </c>
      <c r="E1701" s="5">
        <v>0.167320902845927</v>
      </c>
      <c r="F1701" s="5">
        <v>0.033000434216239</v>
      </c>
      <c r="G1701" s="5">
        <v>0.545808966861598</v>
      </c>
      <c r="H1701" s="5">
        <v>0.515286624203821</v>
      </c>
      <c r="I1701" s="5">
        <v>1.30077369439071</v>
      </c>
    </row>
    <row r="1702">
      <c r="A1702" s="2" t="s">
        <v>1726</v>
      </c>
      <c r="B1702" s="8" t="str">
        <f>HYPERLINK("https://www.suredividend.com/sure-analysis-research-database/","Virtus Investment Partners Inc")</f>
        <v>Virtus Investment Partners Inc</v>
      </c>
      <c r="C1702" s="5">
        <v>0.020350465061667</v>
      </c>
      <c r="D1702" s="5">
        <v>0.449111249393687</v>
      </c>
      <c r="E1702" s="5">
        <v>0.249748520063082</v>
      </c>
      <c r="F1702" s="5">
        <v>0.020350465061667</v>
      </c>
      <c r="G1702" s="5">
        <v>0.215238411636445</v>
      </c>
      <c r="H1702" s="5">
        <v>0.078298362006506</v>
      </c>
      <c r="I1702" s="5">
        <v>2.20357066075425</v>
      </c>
    </row>
    <row r="1703">
      <c r="A1703" s="2" t="s">
        <v>1727</v>
      </c>
      <c r="B1703" s="8" t="str">
        <f>HYPERLINK("https://www.suredividend.com/sure-analysis-research-database/","Veritiv Corp")</f>
        <v>Veritiv Corp</v>
      </c>
      <c r="C1703" s="5">
        <v>0.003482880755607</v>
      </c>
      <c r="D1703" s="5">
        <v>0.011183153887335</v>
      </c>
      <c r="E1703" s="5">
        <v>0.584583518989088</v>
      </c>
      <c r="F1703" s="5">
        <v>0.417277799455066</v>
      </c>
      <c r="G1703" s="5">
        <v>0.318178046701918</v>
      </c>
      <c r="H1703" s="5">
        <v>0.317909269788796</v>
      </c>
      <c r="I1703" s="5">
        <v>4.63539501470261</v>
      </c>
    </row>
    <row r="1704">
      <c r="A1704" s="2" t="s">
        <v>1728</v>
      </c>
      <c r="B1704" s="8" t="str">
        <f>HYPERLINK("https://www.suredividend.com/sure-analysis-research-database/","VSE Corp.")</f>
        <v>VSE Corp.</v>
      </c>
      <c r="C1704" s="5">
        <v>-0.023752356754372</v>
      </c>
      <c r="D1704" s="5">
        <v>0.19913317512762</v>
      </c>
      <c r="E1704" s="5">
        <v>0.194607353125629</v>
      </c>
      <c r="F1704" s="5">
        <v>-0.023752356754372</v>
      </c>
      <c r="G1704" s="5">
        <v>0.196562974694387</v>
      </c>
      <c r="H1704" s="5">
        <v>0.279501714890542</v>
      </c>
      <c r="I1704" s="5">
        <v>1.11736807712258</v>
      </c>
    </row>
    <row r="1705">
      <c r="A1705" s="2" t="s">
        <v>1729</v>
      </c>
      <c r="B1705" s="8" t="str">
        <f>HYPERLINK("https://www.suredividend.com/sure-analysis-research-database/","Vishay Intertechnology, Inc.")</f>
        <v>Vishay Intertechnology, Inc.</v>
      </c>
      <c r="C1705" s="5">
        <v>-0.068418856904463</v>
      </c>
      <c r="D1705" s="5">
        <v>-0.007714321264153</v>
      </c>
      <c r="E1705" s="5">
        <v>-0.196033814824949</v>
      </c>
      <c r="F1705" s="5">
        <v>-0.068418856904463</v>
      </c>
      <c r="G1705" s="5">
        <v>-0.003992060483061</v>
      </c>
      <c r="H1705" s="5">
        <v>0.165430603904949</v>
      </c>
      <c r="I1705" s="5">
        <v>0.302724461816696</v>
      </c>
    </row>
    <row r="1706">
      <c r="A1706" s="2" t="s">
        <v>1730</v>
      </c>
      <c r="B1706" s="8" t="str">
        <f>HYPERLINK("https://www.suredividend.com/sure-analysis-research-database/","Vista Outdoor Inc")</f>
        <v>Vista Outdoor Inc</v>
      </c>
      <c r="C1706" s="5">
        <v>-0.036185322962462</v>
      </c>
      <c r="D1706" s="5">
        <v>0.151515151515151</v>
      </c>
      <c r="E1706" s="5">
        <v>-0.042660396372186</v>
      </c>
      <c r="F1706" s="5">
        <v>-0.036185322962462</v>
      </c>
      <c r="G1706" s="5">
        <v>-0.016223679668622</v>
      </c>
      <c r="H1706" s="5">
        <v>-0.248417721518987</v>
      </c>
      <c r="I1706" s="5">
        <v>1.76967930029154</v>
      </c>
    </row>
    <row r="1707">
      <c r="A1707" s="2" t="s">
        <v>1731</v>
      </c>
      <c r="B1707" s="8" t="str">
        <f>HYPERLINK("https://www.suredividend.com/sure-analysis-research-database/","VistaGen Therapeutics Inc")</f>
        <v>VistaGen Therapeutics Inc</v>
      </c>
      <c r="C1707" s="5">
        <v>0.023346303501945</v>
      </c>
      <c r="D1707" s="5">
        <v>0.801369863013698</v>
      </c>
      <c r="E1707" s="5">
        <v>1.90607734806629</v>
      </c>
      <c r="F1707" s="5">
        <v>0.023346303501945</v>
      </c>
      <c r="G1707" s="5">
        <v>-0.17256567563316</v>
      </c>
      <c r="H1707" s="5">
        <v>-0.886147186147186</v>
      </c>
      <c r="I1707" s="5">
        <v>-0.889727463312369</v>
      </c>
    </row>
    <row r="1708">
      <c r="A1708" s="2" t="s">
        <v>1732</v>
      </c>
      <c r="B1708" s="8" t="str">
        <f>HYPERLINK("https://www.suredividend.com/sure-analysis-research-database/","Vital Energy Inc.")</f>
        <v>Vital Energy Inc.</v>
      </c>
      <c r="C1708" s="5">
        <v>-0.030116509122884</v>
      </c>
      <c r="D1708" s="5">
        <v>-0.143799728313603</v>
      </c>
      <c r="E1708" s="5">
        <v>-0.136087722733503</v>
      </c>
      <c r="F1708" s="5">
        <v>-0.030116509122884</v>
      </c>
      <c r="G1708" s="5">
        <v>-0.225964912280701</v>
      </c>
      <c r="H1708" s="5">
        <v>-0.361782149573267</v>
      </c>
      <c r="I1708" s="5">
        <v>-0.395616438356164</v>
      </c>
    </row>
    <row r="1709">
      <c r="A1709" s="2" t="s">
        <v>1733</v>
      </c>
      <c r="B1709" s="8" t="str">
        <f>HYPERLINK("https://www.suredividend.com/sure-analysis-research-database/","Vertex Energy Inc")</f>
        <v>Vertex Energy Inc</v>
      </c>
      <c r="C1709" s="5">
        <v>-0.567846607669616</v>
      </c>
      <c r="D1709" s="5">
        <v>-0.660879629629629</v>
      </c>
      <c r="E1709" s="5">
        <v>-0.715533980582524</v>
      </c>
      <c r="F1709" s="5">
        <v>-0.567846607669616</v>
      </c>
      <c r="G1709" s="5">
        <v>-0.793952180028129</v>
      </c>
      <c r="H1709" s="5">
        <v>-0.606182795698924</v>
      </c>
      <c r="I1709" s="5">
        <v>0.085185185185185</v>
      </c>
    </row>
    <row r="1710">
      <c r="A1710" s="2" t="s">
        <v>1734</v>
      </c>
      <c r="B1710" s="8" t="str">
        <f>HYPERLINK("https://www.suredividend.com/sure-analysis-research-database/","Bristow Group Inc.")</f>
        <v>Bristow Group Inc.</v>
      </c>
      <c r="C1710" s="5">
        <v>-0.030420940926777</v>
      </c>
      <c r="D1710" s="5">
        <v>0.04858454475899</v>
      </c>
      <c r="E1710" s="5">
        <v>-0.085113484646194</v>
      </c>
      <c r="F1710" s="5">
        <v>-0.030420940926777</v>
      </c>
      <c r="G1710" s="5">
        <v>-0.08235687981252</v>
      </c>
      <c r="H1710" s="5">
        <v>-0.169645561950923</v>
      </c>
      <c r="I1710" s="5">
        <v>1.86116910229645</v>
      </c>
    </row>
    <row r="1711">
      <c r="A1711" s="2" t="s">
        <v>1735</v>
      </c>
      <c r="B1711" s="8" t="str">
        <f>HYPERLINK("https://www.suredividend.com/sure-analysis-research-database/","Ventyx Biosciences Inc")</f>
        <v>Ventyx Biosciences Inc</v>
      </c>
      <c r="C1711" s="5">
        <v>-0.141700404858299</v>
      </c>
      <c r="D1711" s="5">
        <v>-0.854893908281998</v>
      </c>
      <c r="E1711" s="5">
        <v>-0.943071965628356</v>
      </c>
      <c r="F1711" s="5">
        <v>-0.141700404858299</v>
      </c>
      <c r="G1711" s="5">
        <v>-0.948866377231066</v>
      </c>
      <c r="H1711" s="5">
        <v>-0.86006600660066</v>
      </c>
      <c r="I1711" s="5">
        <v>-0.899143672692673</v>
      </c>
    </row>
    <row r="1712">
      <c r="A1712" s="2" t="s">
        <v>1736</v>
      </c>
      <c r="B1712" s="8" t="str">
        <f>HYPERLINK("https://www.suredividend.com/sure-analysis-research-database/","Vuzix Corporation")</f>
        <v>Vuzix Corporation</v>
      </c>
      <c r="C1712" s="5">
        <v>-0.151079136690647</v>
      </c>
      <c r="D1712" s="5">
        <v>-0.419672131147541</v>
      </c>
      <c r="E1712" s="5">
        <v>-0.655642023346303</v>
      </c>
      <c r="F1712" s="5">
        <v>-0.151079136690647</v>
      </c>
      <c r="G1712" s="5">
        <v>-0.664136622390891</v>
      </c>
      <c r="H1712" s="5">
        <v>-0.69639794168096</v>
      </c>
      <c r="I1712" s="5">
        <v>-0.562962962962962</v>
      </c>
    </row>
    <row r="1713">
      <c r="A1713" s="2" t="s">
        <v>1737</v>
      </c>
      <c r="B1713" s="8" t="str">
        <f>HYPERLINK("https://www.suredividend.com/sure-analysis-research-database/","Viad Corp.")</f>
        <v>Viad Corp.</v>
      </c>
      <c r="C1713" s="5">
        <v>-0.025414364640883</v>
      </c>
      <c r="D1713" s="5">
        <v>0.53058568329718</v>
      </c>
      <c r="E1713" s="5">
        <v>0.273186575243594</v>
      </c>
      <c r="F1713" s="5">
        <v>-0.025414364640883</v>
      </c>
      <c r="G1713" s="5">
        <v>0.229268292682926</v>
      </c>
      <c r="H1713" s="5">
        <v>-0.00759493670886</v>
      </c>
      <c r="I1713" s="5">
        <v>-0.305346352182311</v>
      </c>
    </row>
    <row r="1714">
      <c r="A1714" s="2" t="s">
        <v>1738</v>
      </c>
      <c r="B1714" s="8" t="str">
        <f>HYPERLINK("https://www.suredividend.com/sure-analysis-research-database/","V2X Inc")</f>
        <v>V2X Inc</v>
      </c>
      <c r="C1714" s="5">
        <v>-0.153316106804478</v>
      </c>
      <c r="D1714" s="5">
        <v>-0.213757248550289</v>
      </c>
      <c r="E1714" s="5">
        <v>-0.224151539068666</v>
      </c>
      <c r="F1714" s="5">
        <v>-0.153316106804478</v>
      </c>
      <c r="G1714" s="5">
        <v>-0.088337584048226</v>
      </c>
      <c r="H1714" s="5">
        <v>-0.142233856893542</v>
      </c>
      <c r="I1714" s="5">
        <v>0.627483443708609</v>
      </c>
    </row>
    <row r="1715">
      <c r="A1715" s="2" t="s">
        <v>1739</v>
      </c>
      <c r="B1715" s="8" t="str">
        <f>HYPERLINK("https://www.suredividend.com/sure-analysis-research-database/","Vintage Wine Estates Inc")</f>
        <v>Vintage Wine Estates Inc</v>
      </c>
      <c r="C1715" s="5">
        <v>-0.019709337049571</v>
      </c>
      <c r="D1715" s="5">
        <v>-0.15103448275862</v>
      </c>
      <c r="E1715" s="5">
        <v>-0.505125628140703</v>
      </c>
      <c r="F1715" s="5">
        <v>-0.019709337049571</v>
      </c>
      <c r="G1715" s="5">
        <v>-0.823512544802867</v>
      </c>
      <c r="H1715" s="5">
        <v>-0.93845</v>
      </c>
      <c r="I1715" s="5">
        <v>-0.960920634920635</v>
      </c>
    </row>
    <row r="1716">
      <c r="A1716" s="2" t="s">
        <v>1740</v>
      </c>
      <c r="B1716" s="8" t="str">
        <f>HYPERLINK("https://www.suredividend.com/sure-analysis-research-database/","Vaxart Inc")</f>
        <v>Vaxart Inc</v>
      </c>
      <c r="C1716" s="5">
        <v>0.53840782122905</v>
      </c>
      <c r="D1716" s="5">
        <v>0.310139756170086</v>
      </c>
      <c r="E1716" s="5">
        <v>0.118984126984126</v>
      </c>
      <c r="F1716" s="5">
        <v>0.53840782122905</v>
      </c>
      <c r="G1716" s="5">
        <v>-0.206126126126126</v>
      </c>
      <c r="H1716" s="5">
        <v>-0.808017429193899</v>
      </c>
      <c r="I1716" s="5">
        <v>-0.563762376237623</v>
      </c>
    </row>
    <row r="1717">
      <c r="A1717" s="2" t="s">
        <v>1741</v>
      </c>
      <c r="B1717" s="8" t="str">
        <f>HYPERLINK("https://www.suredividend.com/sure-analysis-research-database/","VIZIO Holding Corp")</f>
        <v>VIZIO Holding Corp</v>
      </c>
      <c r="C1717" s="5">
        <v>-0.045454545454545</v>
      </c>
      <c r="D1717" s="5">
        <v>0.506147540983606</v>
      </c>
      <c r="E1717" s="5">
        <v>0.039603960396039</v>
      </c>
      <c r="F1717" s="5">
        <v>-0.045454545454545</v>
      </c>
      <c r="G1717" s="5">
        <v>-0.168552036199095</v>
      </c>
      <c r="H1717" s="5">
        <v>-0.461932650073206</v>
      </c>
      <c r="I1717" s="5">
        <v>-0.615183246073298</v>
      </c>
    </row>
    <row r="1718">
      <c r="A1718" s="2" t="s">
        <v>1742</v>
      </c>
      <c r="B1718" s="8" t="str">
        <f>HYPERLINK("https://www.suredividend.com/sure-analysis-WABC/","Westamerica Bancorporation")</f>
        <v>Westamerica Bancorporation</v>
      </c>
      <c r="C1718" s="5">
        <v>-0.128168764403474</v>
      </c>
      <c r="D1718" s="5">
        <v>0.083054751743061</v>
      </c>
      <c r="E1718" s="5">
        <v>0.03528777758364</v>
      </c>
      <c r="F1718" s="5">
        <v>-0.128168764403474</v>
      </c>
      <c r="G1718" s="5">
        <v>-0.048415121647298</v>
      </c>
      <c r="H1718" s="5">
        <v>-0.062441617068976</v>
      </c>
      <c r="I1718" s="5">
        <v>-0.069573854230714</v>
      </c>
    </row>
    <row r="1719">
      <c r="A1719" s="2" t="s">
        <v>1743</v>
      </c>
      <c r="B1719" s="8" t="str">
        <f>HYPERLINK("https://www.suredividend.com/sure-analysis-WAFD/","WaFd Inc")</f>
        <v>WaFd Inc</v>
      </c>
      <c r="C1719" s="5">
        <v>-0.059769417475728</v>
      </c>
      <c r="D1719" s="5">
        <v>0.306343712983766</v>
      </c>
      <c r="E1719" s="5">
        <v>0.026964869781914</v>
      </c>
      <c r="F1719" s="5">
        <v>-0.059769417475728</v>
      </c>
      <c r="G1719" s="5">
        <v>-0.042599532267083</v>
      </c>
      <c r="H1719" s="5">
        <v>-0.038294438927507</v>
      </c>
      <c r="I1719" s="5">
        <v>0.240299528934318</v>
      </c>
    </row>
    <row r="1720">
      <c r="A1720" s="2" t="s">
        <v>1744</v>
      </c>
      <c r="B1720" s="8" t="str">
        <f>HYPERLINK("https://www.suredividend.com/sure-analysis-WASH/","Washington Trust Bancorp, Inc.")</f>
        <v>Washington Trust Bancorp, Inc.</v>
      </c>
      <c r="C1720" s="5">
        <v>-0.06176652254478</v>
      </c>
      <c r="D1720" s="5">
        <v>0.442599908828445</v>
      </c>
      <c r="E1720" s="5">
        <v>0.021138714198802</v>
      </c>
      <c r="F1720" s="5">
        <v>-0.06176652254478</v>
      </c>
      <c r="G1720" s="5">
        <v>-0.171814429729626</v>
      </c>
      <c r="H1720" s="5">
        <v>-0.363479033359732</v>
      </c>
      <c r="I1720" s="5">
        <v>-0.190863522806568</v>
      </c>
    </row>
    <row r="1721">
      <c r="A1721" s="2" t="s">
        <v>1745</v>
      </c>
      <c r="B1721" s="8" t="str">
        <f>HYPERLINK("https://www.suredividend.com/sure-analysis-research-database/","Walker &amp; Dunlop Inc")</f>
        <v>Walker &amp; Dunlop Inc</v>
      </c>
      <c r="C1721" s="5">
        <v>-0.084586974146473</v>
      </c>
      <c r="D1721" s="5">
        <v>0.577729820366718</v>
      </c>
      <c r="E1721" s="5">
        <v>0.136717010933155</v>
      </c>
      <c r="F1721" s="5">
        <v>-0.084586974146473</v>
      </c>
      <c r="G1721" s="5">
        <v>0.109563075417969</v>
      </c>
      <c r="H1721" s="5">
        <v>-0.143345118449692</v>
      </c>
      <c r="I1721" s="5">
        <v>1.38404132776228</v>
      </c>
    </row>
    <row r="1722">
      <c r="A1722" s="2" t="s">
        <v>1746</v>
      </c>
      <c r="B1722" s="8" t="str">
        <f>HYPERLINK("https://www.suredividend.com/sure-analysis-WDFC/","WD-40 Co.")</f>
        <v>WD-40 Co.</v>
      </c>
      <c r="C1722" s="5">
        <v>0.11303349465409</v>
      </c>
      <c r="D1722" s="5">
        <v>0.264760466078823</v>
      </c>
      <c r="E1722" s="5">
        <v>0.172993033861307</v>
      </c>
      <c r="F1722" s="5">
        <v>0.11303349465409</v>
      </c>
      <c r="G1722" s="5">
        <v>0.570001627772763</v>
      </c>
      <c r="H1722" s="5">
        <v>0.267669784542974</v>
      </c>
      <c r="I1722" s="5">
        <v>0.617510385387521</v>
      </c>
    </row>
    <row r="1723">
      <c r="A1723" s="2" t="s">
        <v>1747</v>
      </c>
      <c r="B1723" s="8" t="str">
        <f>HYPERLINK("https://www.suredividend.com/sure-analysis-research-database/","Weave Communications Inc")</f>
        <v>Weave Communications Inc</v>
      </c>
      <c r="C1723" s="5">
        <v>0.176983435047951</v>
      </c>
      <c r="D1723" s="5">
        <v>1.01793721973094</v>
      </c>
      <c r="E1723" s="5">
        <v>0.161790017211703</v>
      </c>
      <c r="F1723" s="5">
        <v>0.176983435047951</v>
      </c>
      <c r="G1723" s="5">
        <v>1.50929368029739</v>
      </c>
      <c r="H1723" s="5">
        <v>0.530612244897959</v>
      </c>
      <c r="I1723" s="5">
        <v>-0.281532730175625</v>
      </c>
    </row>
    <row r="1724">
      <c r="A1724" s="2" t="s">
        <v>1748</v>
      </c>
      <c r="B1724" s="8" t="str">
        <f>HYPERLINK("https://www.suredividend.com/sure-analysis-research-database/","Werner Enterprises, Inc.")</f>
        <v>Werner Enterprises, Inc.</v>
      </c>
      <c r="C1724" s="5">
        <v>-0.04248288883644</v>
      </c>
      <c r="D1724" s="5">
        <v>0.123097834361755</v>
      </c>
      <c r="E1724" s="5">
        <v>-0.128192455222357</v>
      </c>
      <c r="F1724" s="5">
        <v>-0.04248288883644</v>
      </c>
      <c r="G1724" s="5">
        <v>-0.124522015347299</v>
      </c>
      <c r="H1724" s="5">
        <v>-0.038757706286813</v>
      </c>
      <c r="I1724" s="5">
        <v>0.459363017000122</v>
      </c>
    </row>
    <row r="1725">
      <c r="A1725" s="2" t="s">
        <v>1749</v>
      </c>
      <c r="B1725" s="8" t="str">
        <f>HYPERLINK("https://www.suredividend.com/sure-analysis-WEYS/","Weyco Group, Inc")</f>
        <v>Weyco Group, Inc</v>
      </c>
      <c r="C1725" s="5">
        <v>0.045280612244898</v>
      </c>
      <c r="D1725" s="5">
        <v>0.202768054363061</v>
      </c>
      <c r="E1725" s="5">
        <v>0.250348060587335</v>
      </c>
      <c r="F1725" s="5">
        <v>0.045280612244898</v>
      </c>
      <c r="G1725" s="5">
        <v>0.314892217346308</v>
      </c>
      <c r="H1725" s="5">
        <v>0.57711404487895</v>
      </c>
      <c r="I1725" s="5">
        <v>0.540290484312813</v>
      </c>
    </row>
    <row r="1726">
      <c r="A1726" s="2" t="s">
        <v>1750</v>
      </c>
      <c r="B1726" s="8" t="str">
        <f>HYPERLINK("https://www.suredividend.com/sure-analysis-research-database/","Weatherford International plc")</f>
        <v>Weatherford International plc</v>
      </c>
      <c r="C1726" s="5">
        <v>0.018297045895941</v>
      </c>
      <c r="D1726" s="5">
        <v>0.066709497804904</v>
      </c>
      <c r="E1726" s="5">
        <v>0.199662813102119</v>
      </c>
      <c r="F1726" s="5">
        <v>0.018297045895941</v>
      </c>
      <c r="G1726" s="5">
        <v>0.787547102099408</v>
      </c>
      <c r="H1726" s="5">
        <v>2.26088379705401</v>
      </c>
      <c r="I1726" s="5">
        <v>6.7767369242779</v>
      </c>
    </row>
    <row r="1727">
      <c r="A1727" s="2" t="s">
        <v>1751</v>
      </c>
      <c r="B1727" s="8" t="str">
        <f>HYPERLINK("https://www.suredividend.com/sure-analysis-WGO/","Winnebago Industries, Inc.")</f>
        <v>Winnebago Industries, Inc.</v>
      </c>
      <c r="C1727" s="5">
        <v>-0.070314287525809</v>
      </c>
      <c r="D1727" s="5">
        <v>0.184122748498999</v>
      </c>
      <c r="E1727" s="5">
        <v>-0.005635958090762</v>
      </c>
      <c r="F1727" s="5">
        <v>-0.070314287525809</v>
      </c>
      <c r="G1727" s="5">
        <v>0.090319514537054</v>
      </c>
      <c r="H1727" s="5">
        <v>0.111530418360603</v>
      </c>
      <c r="I1727" s="5">
        <v>1.43144549344465</v>
      </c>
    </row>
    <row r="1728">
      <c r="A1728" s="2" t="s">
        <v>1752</v>
      </c>
      <c r="B1728" s="8" t="str">
        <f>HYPERLINK("https://www.suredividend.com/sure-analysis-research-database/","GeneDx Holdings Corp")</f>
        <v>GeneDx Holdings Corp</v>
      </c>
      <c r="C1728" s="5">
        <v>0.476363636363636</v>
      </c>
      <c r="D1728" s="5">
        <v>0.390410958904109</v>
      </c>
      <c r="E1728" s="5">
        <v>-0.431372549019607</v>
      </c>
      <c r="F1728" s="5">
        <v>0.476363636363636</v>
      </c>
      <c r="G1728" s="5">
        <v>-0.707140435538436</v>
      </c>
      <c r="H1728" s="5">
        <v>0.322475570032573</v>
      </c>
      <c r="I1728" s="5">
        <v>-0.585714285714285</v>
      </c>
    </row>
    <row r="1729">
      <c r="A1729" s="2" t="s">
        <v>1753</v>
      </c>
      <c r="B1729" s="8" t="str">
        <f>HYPERLINK("https://www.suredividend.com/sure-analysis-research-database/","Cactus Inc")</f>
        <v>Cactus Inc</v>
      </c>
      <c r="C1729" s="5">
        <v>-0.067400881057268</v>
      </c>
      <c r="D1729" s="5">
        <v>-0.097714878754104</v>
      </c>
      <c r="E1729" s="5">
        <v>-0.140335987720245</v>
      </c>
      <c r="F1729" s="5">
        <v>-0.067400881057268</v>
      </c>
      <c r="G1729" s="5">
        <v>-0.17137830279332</v>
      </c>
      <c r="H1729" s="5">
        <v>-0.11419814429323</v>
      </c>
      <c r="I1729" s="5">
        <v>0.370936407201139</v>
      </c>
    </row>
    <row r="1730">
      <c r="A1730" s="2" t="s">
        <v>1754</v>
      </c>
      <c r="B1730" s="8" t="str">
        <f>HYPERLINK("https://www.suredividend.com/sure-analysis-research-database/","Winmark Corporation")</f>
        <v>Winmark Corporation</v>
      </c>
      <c r="C1730" s="5">
        <v>-0.128535504729972</v>
      </c>
      <c r="D1730" s="5">
        <v>-0.098915717368382</v>
      </c>
      <c r="E1730" s="5">
        <v>-0.001757924376331</v>
      </c>
      <c r="F1730" s="5">
        <v>-0.128535504729972</v>
      </c>
      <c r="G1730" s="5">
        <v>0.415333584339692</v>
      </c>
      <c r="H1730" s="5">
        <v>0.773412747342293</v>
      </c>
      <c r="I1730" s="5">
        <v>1.46648640917727</v>
      </c>
    </row>
    <row r="1731">
      <c r="A1731" s="2" t="s">
        <v>1755</v>
      </c>
      <c r="B1731" s="8" t="str">
        <f>HYPERLINK("https://www.suredividend.com/sure-analysis-research-database/","Wingstop Inc")</f>
        <v>Wingstop Inc</v>
      </c>
      <c r="C1731" s="5">
        <v>0.087341180138748</v>
      </c>
      <c r="D1731" s="5">
        <v>0.569911097080817</v>
      </c>
      <c r="E1731" s="5">
        <v>0.70027522287202</v>
      </c>
      <c r="F1731" s="5">
        <v>0.087341180138748</v>
      </c>
      <c r="G1731" s="5">
        <v>0.777165974778626</v>
      </c>
      <c r="H1731" s="5">
        <v>0.942805651190516</v>
      </c>
      <c r="I1731" s="5">
        <v>3.62126620606948</v>
      </c>
    </row>
    <row r="1732">
      <c r="A1732" s="2" t="s">
        <v>1756</v>
      </c>
      <c r="B1732" s="8" t="str">
        <f>HYPERLINK("https://www.suredividend.com/sure-analysis-research-database/","Encore Wire Corp.")</f>
        <v>Encore Wire Corp.</v>
      </c>
      <c r="C1732" s="5">
        <v>0.035492568371821</v>
      </c>
      <c r="D1732" s="5">
        <v>0.250035329297314</v>
      </c>
      <c r="E1732" s="5">
        <v>0.336585849379334</v>
      </c>
      <c r="F1732" s="5">
        <v>0.035492568371821</v>
      </c>
      <c r="G1732" s="5">
        <v>0.402272145043918</v>
      </c>
      <c r="H1732" s="5">
        <v>1.0996941704385</v>
      </c>
      <c r="I1732" s="5">
        <v>3.24158262397336</v>
      </c>
    </row>
    <row r="1733">
      <c r="A1733" s="2" t="s">
        <v>1757</v>
      </c>
      <c r="B1733" s="8" t="str">
        <f>HYPERLINK("https://www.suredividend.com/sure-analysis-research-database/","ContextLogic Inc")</f>
        <v>ContextLogic Inc</v>
      </c>
      <c r="C1733" s="5">
        <v>-0.21344537815126</v>
      </c>
      <c r="D1733" s="5">
        <v>0.275204359673024</v>
      </c>
      <c r="E1733" s="5">
        <v>-0.479131886477462</v>
      </c>
      <c r="F1733" s="5">
        <v>-0.21344537815126</v>
      </c>
      <c r="G1733" s="5">
        <v>-0.771762984637893</v>
      </c>
      <c r="H1733" s="5">
        <v>-0.932467532467532</v>
      </c>
      <c r="I1733" s="5">
        <v>-0.992219451371571</v>
      </c>
    </row>
    <row r="1734">
      <c r="A1734" s="2" t="s">
        <v>1758</v>
      </c>
      <c r="B1734" s="8" t="str">
        <f>HYPERLINK("https://www.suredividend.com/sure-analysis-research-database/","Workiva Inc")</f>
        <v>Workiva Inc</v>
      </c>
      <c r="C1734" s="5">
        <v>-0.043435437801634</v>
      </c>
      <c r="D1734" s="5">
        <v>0.038494439692044</v>
      </c>
      <c r="E1734" s="5">
        <v>-0.074165872259294</v>
      </c>
      <c r="F1734" s="5">
        <v>-0.043435437801634</v>
      </c>
      <c r="G1734" s="5">
        <v>0.096162528216704</v>
      </c>
      <c r="H1734" s="5">
        <v>-0.160224816255944</v>
      </c>
      <c r="I1734" s="5">
        <v>1.51736651114567</v>
      </c>
    </row>
    <row r="1735">
      <c r="A1735" s="2" t="s">
        <v>1759</v>
      </c>
      <c r="B1735" s="8" t="str">
        <f>HYPERLINK("https://www.suredividend.com/sure-analysis-research-database/","Workhorse Group Inc")</f>
        <v>Workhorse Group Inc</v>
      </c>
      <c r="C1735" s="5">
        <v>-0.182222222222222</v>
      </c>
      <c r="D1735" s="5">
        <v>-0.24474089276552</v>
      </c>
      <c r="E1735" s="5">
        <v>-0.748376068376068</v>
      </c>
      <c r="F1735" s="5">
        <v>-0.182222222222222</v>
      </c>
      <c r="G1735" s="5">
        <v>-0.867982062780269</v>
      </c>
      <c r="H1735" s="5">
        <v>-0.898482758620689</v>
      </c>
      <c r="I1735" s="5">
        <v>-0.649523809523809</v>
      </c>
    </row>
    <row r="1736">
      <c r="A1736" s="2" t="s">
        <v>1760</v>
      </c>
      <c r="B1736" s="8" t="str">
        <f>HYPERLINK("https://www.suredividend.com/sure-analysis-research-database/","Willdan Group Inc")</f>
        <v>Willdan Group Inc</v>
      </c>
      <c r="C1736" s="5">
        <v>-0.057674418604651</v>
      </c>
      <c r="D1736" s="5">
        <v>0.179278230500582</v>
      </c>
      <c r="E1736" s="5">
        <v>0.029471544715447</v>
      </c>
      <c r="F1736" s="5">
        <v>-0.057674418604651</v>
      </c>
      <c r="G1736" s="5">
        <v>0.068565400843881</v>
      </c>
      <c r="H1736" s="5">
        <v>-0.353128991060025</v>
      </c>
      <c r="I1736" s="5">
        <v>-0.390126429861529</v>
      </c>
    </row>
    <row r="1737">
      <c r="A1737" s="2" t="s">
        <v>1761</v>
      </c>
      <c r="B1737" s="8" t="str">
        <f>HYPERLINK("https://www.suredividend.com/sure-analysis-WLY/","John Wiley &amp; Sons Inc.")</f>
        <v>John Wiley &amp; Sons Inc.</v>
      </c>
      <c r="C1737" s="5">
        <v>0.087586641461878</v>
      </c>
      <c r="D1737" s="5">
        <v>0.159319051185346</v>
      </c>
      <c r="E1737" s="5">
        <v>0.03791142875183</v>
      </c>
      <c r="F1737" s="5">
        <v>0.087586641461878</v>
      </c>
      <c r="G1737" s="5">
        <v>-0.204545978256361</v>
      </c>
      <c r="H1737" s="5">
        <v>-0.298516561674456</v>
      </c>
      <c r="I1737" s="5">
        <v>-0.26609873650776</v>
      </c>
    </row>
    <row r="1738">
      <c r="A1738" s="2" t="s">
        <v>1762</v>
      </c>
      <c r="B1738" s="8" t="str">
        <f>HYPERLINK("https://www.suredividend.com/sure-analysis-research-database/","Weis Markets, Inc.")</f>
        <v>Weis Markets, Inc.</v>
      </c>
      <c r="C1738" s="5">
        <v>-0.045184490306441</v>
      </c>
      <c r="D1738" s="5">
        <v>-0.065705088977553</v>
      </c>
      <c r="E1738" s="5">
        <v>-0.068783746487163</v>
      </c>
      <c r="F1738" s="5">
        <v>-0.045184490306441</v>
      </c>
      <c r="G1738" s="5">
        <v>-0.260431703465447</v>
      </c>
      <c r="H1738" s="5">
        <v>0.056046371278028</v>
      </c>
      <c r="I1738" s="5">
        <v>0.432360991558756</v>
      </c>
    </row>
    <row r="1739">
      <c r="A1739" s="2" t="s">
        <v>1763</v>
      </c>
      <c r="B1739" s="8" t="str">
        <f>HYPERLINK("https://www.suredividend.com/sure-analysis-research-database/","Wabash National Corp.")</f>
        <v>Wabash National Corp.</v>
      </c>
      <c r="C1739" s="5">
        <v>0.001209909511298</v>
      </c>
      <c r="D1739" s="5">
        <v>0.24338071179534</v>
      </c>
      <c r="E1739" s="5">
        <v>0.098528135552443</v>
      </c>
      <c r="F1739" s="5">
        <v>0.001209909511298</v>
      </c>
      <c r="G1739" s="5">
        <v>0.032997753825767</v>
      </c>
      <c r="H1739" s="5">
        <v>0.358841503919224</v>
      </c>
      <c r="I1739" s="5">
        <v>0.889846417643493</v>
      </c>
    </row>
    <row r="1740">
      <c r="A1740" s="2" t="s">
        <v>1764</v>
      </c>
      <c r="B1740" s="8" t="str">
        <f>HYPERLINK("https://www.suredividend.com/sure-analysis-WOR/","Worthington Enterprises Inc.")</f>
        <v>Worthington Enterprises Inc.</v>
      </c>
      <c r="C1740" s="5">
        <v>-0.016159860990443</v>
      </c>
      <c r="D1740" s="5">
        <v>0.408976439087026</v>
      </c>
      <c r="E1740" s="5">
        <v>0.162489888267926</v>
      </c>
      <c r="F1740" s="5">
        <v>-0.016159860990443</v>
      </c>
      <c r="G1740" s="5">
        <v>0.562586243059158</v>
      </c>
      <c r="H1740" s="5">
        <v>0.641397303957095</v>
      </c>
      <c r="I1740" s="5">
        <v>1.63775785923261</v>
      </c>
    </row>
    <row r="1741">
      <c r="A1741" s="2" t="s">
        <v>1765</v>
      </c>
      <c r="B1741" s="8" t="str">
        <f>HYPERLINK("https://www.suredividend.com/sure-analysis-research-database/","WideOpenWest Inc")</f>
        <v>WideOpenWest Inc</v>
      </c>
      <c r="C1741" s="5">
        <v>-0.069135802469135</v>
      </c>
      <c r="D1741" s="5">
        <v>-0.443131462333825</v>
      </c>
      <c r="E1741" s="5">
        <v>-0.517902813299232</v>
      </c>
      <c r="F1741" s="5">
        <v>-0.069135802469135</v>
      </c>
      <c r="G1741" s="5">
        <v>-0.668133802816901</v>
      </c>
      <c r="H1741" s="5">
        <v>-0.800423504499735</v>
      </c>
      <c r="I1741" s="5">
        <v>-0.487771739130434</v>
      </c>
    </row>
    <row r="1742">
      <c r="A1742" s="2" t="s">
        <v>1766</v>
      </c>
      <c r="B1742" s="8" t="str">
        <f>HYPERLINK("https://www.suredividend.com/sure-analysis-research-database/","Warby Parker Inc")</f>
        <v>Warby Parker Inc</v>
      </c>
      <c r="C1742" s="5">
        <v>-0.065248226950354</v>
      </c>
      <c r="D1742" s="5">
        <v>0.023291925465838</v>
      </c>
      <c r="E1742" s="5">
        <v>-0.102179836512261</v>
      </c>
      <c r="F1742" s="5">
        <v>-0.065248226950354</v>
      </c>
      <c r="G1742" s="5">
        <v>-0.212193664076509</v>
      </c>
      <c r="H1742" s="5">
        <v>-0.622133027522935</v>
      </c>
      <c r="I1742" s="5">
        <v>-0.758120756102037</v>
      </c>
    </row>
    <row r="1743">
      <c r="A1743" s="2" t="s">
        <v>1767</v>
      </c>
      <c r="B1743" s="8" t="str">
        <f>HYPERLINK("https://www.suredividend.com/sure-analysis-research-database/","World Acceptance Corp.")</f>
        <v>World Acceptance Corp.</v>
      </c>
      <c r="C1743" s="5">
        <v>0.095150540105722</v>
      </c>
      <c r="D1743" s="5">
        <v>0.466454657365613</v>
      </c>
      <c r="E1743" s="5">
        <v>-0.085295623240337</v>
      </c>
      <c r="F1743" s="5">
        <v>0.095150540105722</v>
      </c>
      <c r="G1743" s="5">
        <v>0.386383473959848</v>
      </c>
      <c r="H1743" s="5">
        <v>-0.202866224279261</v>
      </c>
      <c r="I1743" s="5">
        <v>0.305002738725579</v>
      </c>
    </row>
    <row r="1744">
      <c r="A1744" s="2" t="s">
        <v>1768</v>
      </c>
      <c r="B1744" s="8" t="str">
        <f>HYPERLINK("https://www.suredividend.com/sure-analysis-WSBC/","Wesbanco, Inc.")</f>
        <v>Wesbanco, Inc.</v>
      </c>
      <c r="C1744" s="5">
        <v>-0.004781638508128</v>
      </c>
      <c r="D1744" s="5">
        <v>0.33655842626881</v>
      </c>
      <c r="E1744" s="5">
        <v>0.168478769391994</v>
      </c>
      <c r="F1744" s="5">
        <v>-0.004781638508128</v>
      </c>
      <c r="G1744" s="5">
        <v>-0.054334853909577</v>
      </c>
      <c r="H1744" s="5">
        <v>-0.007988205164053</v>
      </c>
      <c r="I1744" s="5">
        <v>-0.035046779522716</v>
      </c>
    </row>
    <row r="1745">
      <c r="A1745" s="2" t="s">
        <v>1769</v>
      </c>
      <c r="B1745" s="8" t="str">
        <f>HYPERLINK("https://www.suredividend.com/sure-analysis-research-database/","Waterstone Financial Inc")</f>
        <v>Waterstone Financial Inc</v>
      </c>
      <c r="C1745" s="5">
        <v>0.031929362492174</v>
      </c>
      <c r="D1745" s="5">
        <v>0.424045919026008</v>
      </c>
      <c r="E1745" s="5">
        <v>0.067424930401512</v>
      </c>
      <c r="F1745" s="5">
        <v>0.031929362492174</v>
      </c>
      <c r="G1745" s="5">
        <v>0.007376185458377</v>
      </c>
      <c r="H1745" s="5">
        <v>-0.178162269968536</v>
      </c>
      <c r="I1745" s="5">
        <v>0.234908113880229</v>
      </c>
    </row>
    <row r="1746">
      <c r="A1746" s="2" t="s">
        <v>1770</v>
      </c>
      <c r="B1746" s="8" t="str">
        <f>HYPERLINK("https://www.suredividend.com/sure-analysis-research-database/","WSFS Financial Corp.")</f>
        <v>WSFS Financial Corp.</v>
      </c>
      <c r="C1746" s="5">
        <v>0.028086218158066</v>
      </c>
      <c r="D1746" s="5">
        <v>0.402252155940417</v>
      </c>
      <c r="E1746" s="5">
        <v>0.09845118847673</v>
      </c>
      <c r="F1746" s="5">
        <v>0.028086218158066</v>
      </c>
      <c r="G1746" s="5">
        <v>0.013783331186396</v>
      </c>
      <c r="H1746" s="5">
        <v>-0.051207088821242</v>
      </c>
      <c r="I1746" s="5">
        <v>0.203937656324497</v>
      </c>
    </row>
    <row r="1747">
      <c r="A1747" s="2" t="s">
        <v>1771</v>
      </c>
      <c r="B1747" s="8" t="str">
        <f>HYPERLINK("https://www.suredividend.com/sure-analysis-WSR/","Whitestone REIT")</f>
        <v>Whitestone REIT</v>
      </c>
      <c r="C1747" s="5">
        <v>0.040850313479623</v>
      </c>
      <c r="D1747" s="5">
        <v>0.354063784369324</v>
      </c>
      <c r="E1747" s="5">
        <v>0.272874299919134</v>
      </c>
      <c r="F1747" s="5">
        <v>0.040850313479623</v>
      </c>
      <c r="G1747" s="5">
        <v>0.303374462038579</v>
      </c>
      <c r="H1747" s="5">
        <v>0.392864165701675</v>
      </c>
      <c r="I1747" s="5">
        <v>0.212092404220933</v>
      </c>
    </row>
    <row r="1748">
      <c r="A1748" s="2" t="s">
        <v>1772</v>
      </c>
      <c r="B1748" s="8" t="str">
        <f>HYPERLINK("https://www.suredividend.com/sure-analysis-research-database/","WisdomTree Inc")</f>
        <v>WisdomTree Inc</v>
      </c>
      <c r="C1748" s="5">
        <v>0.028860028860028</v>
      </c>
      <c r="D1748" s="5">
        <v>0.15355368959213</v>
      </c>
      <c r="E1748" s="5">
        <v>0.06612039833727</v>
      </c>
      <c r="F1748" s="5">
        <v>0.028860028860028</v>
      </c>
      <c r="G1748" s="5">
        <v>0.299624512412963</v>
      </c>
      <c r="H1748" s="5">
        <v>0.294386754774526</v>
      </c>
      <c r="I1748" s="5">
        <v>0.182460446449301</v>
      </c>
    </row>
    <row r="1749">
      <c r="A1749" s="2" t="s">
        <v>1773</v>
      </c>
      <c r="B1749" s="8" t="str">
        <f>HYPERLINK("https://www.suredividend.com/sure-analysis-research-database/","West Bancorporation")</f>
        <v>West Bancorporation</v>
      </c>
      <c r="C1749" s="5">
        <v>-0.040566037735848</v>
      </c>
      <c r="D1749" s="5">
        <v>0.300511508951406</v>
      </c>
      <c r="E1749" s="5">
        <v>0.05232115972621</v>
      </c>
      <c r="F1749" s="5">
        <v>-0.040566037735848</v>
      </c>
      <c r="G1749" s="5">
        <v>0.074922181764373</v>
      </c>
      <c r="H1749" s="5">
        <v>-0.210786691240663</v>
      </c>
      <c r="I1749" s="5">
        <v>0.219724272752894</v>
      </c>
    </row>
    <row r="1750">
      <c r="A1750" s="2" t="s">
        <v>1774</v>
      </c>
      <c r="B1750" s="8" t="str">
        <f>HYPERLINK("https://www.suredividend.com/sure-analysis-research-database/","W &amp; T Offshore Inc")</f>
        <v>W &amp; T Offshore Inc</v>
      </c>
      <c r="C1750" s="5">
        <v>-0.006134969325153</v>
      </c>
      <c r="D1750" s="5">
        <v>-0.2169752042148</v>
      </c>
      <c r="E1750" s="5">
        <v>-0.242530509187824</v>
      </c>
      <c r="F1750" s="5">
        <v>-0.006134969325153</v>
      </c>
      <c r="G1750" s="5">
        <v>-0.489063756642959</v>
      </c>
      <c r="H1750" s="5">
        <v>-0.220741738419356</v>
      </c>
      <c r="I1750" s="5">
        <v>-0.352686152678161</v>
      </c>
    </row>
    <row r="1751">
      <c r="A1751" s="2" t="s">
        <v>1775</v>
      </c>
      <c r="B1751" s="8" t="str">
        <f>HYPERLINK("https://www.suredividend.com/sure-analysis-research-database/","Watts Water Technologies, Inc.")</f>
        <v>Watts Water Technologies, Inc.</v>
      </c>
      <c r="C1751" s="5">
        <v>-0.027215129115868</v>
      </c>
      <c r="D1751" s="5">
        <v>0.198507409729039</v>
      </c>
      <c r="E1751" s="5">
        <v>0.106661482916558</v>
      </c>
      <c r="F1751" s="5">
        <v>-0.027215129115868</v>
      </c>
      <c r="G1751" s="5">
        <v>0.282222426080987</v>
      </c>
      <c r="H1751" s="5">
        <v>0.343708893792166</v>
      </c>
      <c r="I1751" s="5">
        <v>1.89411979745302</v>
      </c>
    </row>
    <row r="1752">
      <c r="A1752" s="2" t="s">
        <v>1776</v>
      </c>
      <c r="B1752" s="8" t="str">
        <f>HYPERLINK("https://www.suredividend.com/sure-analysis-research-database/","Select Water Solutions Inc")</f>
        <v>Select Water Solutions Inc</v>
      </c>
      <c r="C1752" s="5">
        <v>0.00395256916996</v>
      </c>
      <c r="D1752" s="5">
        <v>0.044880496935291</v>
      </c>
      <c r="E1752" s="5">
        <v>-0.080276641199261</v>
      </c>
      <c r="F1752" s="5">
        <v>0.00395256916996</v>
      </c>
      <c r="G1752" s="5">
        <v>-0.079254220084824</v>
      </c>
      <c r="H1752" s="5">
        <v>0.220449740534307</v>
      </c>
      <c r="I1752" s="5">
        <v>-0.069517541181785</v>
      </c>
    </row>
    <row r="1753">
      <c r="A1753" s="2" t="s">
        <v>1777</v>
      </c>
      <c r="B1753" s="8" t="str">
        <f>HYPERLINK("https://www.suredividend.com/sure-analysis-research-database/","TeraWulf Inc")</f>
        <v>TeraWulf Inc</v>
      </c>
      <c r="C1753" s="5">
        <v>-0.216666666666666</v>
      </c>
      <c r="D1753" s="5">
        <v>0.678571428571428</v>
      </c>
      <c r="E1753" s="5">
        <v>-0.450292397660818</v>
      </c>
      <c r="F1753" s="5">
        <v>-0.216666666666666</v>
      </c>
      <c r="G1753" s="5">
        <v>0.693693693693693</v>
      </c>
      <c r="H1753" s="5">
        <v>-0.829864253393665</v>
      </c>
      <c r="I1753" s="5">
        <v>-0.773493975903614</v>
      </c>
    </row>
    <row r="1754">
      <c r="A1754" s="2" t="s">
        <v>1778</v>
      </c>
      <c r="B1754" s="8" t="str">
        <f>HYPERLINK("https://www.suredividend.com/sure-analysis-research-database/","WW International Inc")</f>
        <v>WW International Inc</v>
      </c>
      <c r="C1754" s="5">
        <v>-0.524571428571428</v>
      </c>
      <c r="D1754" s="5">
        <v>-0.478369905956112</v>
      </c>
      <c r="E1754" s="5">
        <v>-0.618348623853211</v>
      </c>
      <c r="F1754" s="5">
        <v>-0.524571428571428</v>
      </c>
      <c r="G1754" s="5">
        <v>-0.156186612576064</v>
      </c>
      <c r="H1754" s="5">
        <v>-0.664516129032258</v>
      </c>
      <c r="I1754" s="5">
        <v>-0.870927707105181</v>
      </c>
    </row>
    <row r="1755">
      <c r="A1755" s="2" t="s">
        <v>1779</v>
      </c>
      <c r="B1755" s="8" t="str">
        <f>HYPERLINK("https://www.suredividend.com/sure-analysis-research-database/","Wolverine World Wide, Inc.")</f>
        <v>Wolverine World Wide, Inc.</v>
      </c>
      <c r="C1755" s="5">
        <v>-0.03037120359955</v>
      </c>
      <c r="D1755" s="5">
        <v>0.078686555210731</v>
      </c>
      <c r="E1755" s="5">
        <v>-0.295204611422264</v>
      </c>
      <c r="F1755" s="5">
        <v>-0.03037120359955</v>
      </c>
      <c r="G1755" s="5">
        <v>-0.414055861820505</v>
      </c>
      <c r="H1755" s="5">
        <v>-0.64828385369914</v>
      </c>
      <c r="I1755" s="5">
        <v>-0.718056486826827</v>
      </c>
    </row>
    <row r="1756">
      <c r="A1756" s="2" t="s">
        <v>1780</v>
      </c>
      <c r="B1756" s="8" t="str">
        <f>HYPERLINK("https://www.suredividend.com/sure-analysis-research-database/","Xeris Biopharma Holdings Inc")</f>
        <v>Xeris Biopharma Holdings Inc</v>
      </c>
      <c r="C1756" s="5">
        <v>0.131914893617021</v>
      </c>
      <c r="D1756" s="5">
        <v>0.652173913043478</v>
      </c>
      <c r="E1756" s="5">
        <v>0.051383399209486</v>
      </c>
      <c r="F1756" s="5">
        <v>0.131914893617021</v>
      </c>
      <c r="G1756" s="5">
        <v>1.11111111111111</v>
      </c>
      <c r="H1756" s="5">
        <v>0.285024154589372</v>
      </c>
      <c r="I1756" s="5">
        <v>0.127118644067796</v>
      </c>
    </row>
    <row r="1757">
      <c r="A1757" s="2" t="s">
        <v>1781</v>
      </c>
      <c r="B1757" s="8" t="str">
        <f>HYPERLINK("https://www.suredividend.com/sure-analysis-research-database/","Xenia Hotels &amp; Resorts Inc")</f>
        <v>Xenia Hotels &amp; Resorts Inc</v>
      </c>
      <c r="C1757" s="5">
        <v>0.017621145374449</v>
      </c>
      <c r="D1757" s="5">
        <v>0.240923619629155</v>
      </c>
      <c r="E1757" s="5">
        <v>0.109652212899506</v>
      </c>
      <c r="F1757" s="5">
        <v>0.017621145374449</v>
      </c>
      <c r="G1757" s="5">
        <v>-0.030972523246871</v>
      </c>
      <c r="H1757" s="5">
        <v>-0.13273095887668</v>
      </c>
      <c r="I1757" s="5">
        <v>-0.152324685332648</v>
      </c>
    </row>
    <row r="1758">
      <c r="A1758" s="2" t="s">
        <v>1782</v>
      </c>
      <c r="B1758" s="8" t="str">
        <f>HYPERLINK("https://www.suredividend.com/sure-analysis-research-database/","Xometry Inc")</f>
        <v>Xometry Inc</v>
      </c>
      <c r="C1758" s="5">
        <v>-0.04594820384294</v>
      </c>
      <c r="D1758" s="5">
        <v>1.43496801705756</v>
      </c>
      <c r="E1758" s="5">
        <v>0.621391386654046</v>
      </c>
      <c r="F1758" s="5">
        <v>-0.04594820384294</v>
      </c>
      <c r="G1758" s="5">
        <v>-0.008680555555555</v>
      </c>
      <c r="H1758" s="5">
        <v>-0.280856423173803</v>
      </c>
      <c r="I1758" s="5">
        <v>-0.607964297974596</v>
      </c>
    </row>
    <row r="1759">
      <c r="A1759" s="2" t="s">
        <v>1783</v>
      </c>
      <c r="B1759" s="8" t="str">
        <f>HYPERLINK("https://www.suredividend.com/sure-analysis-research-database/","Xencor Inc")</f>
        <v>Xencor Inc</v>
      </c>
      <c r="C1759" s="5">
        <v>-0.03485633537447</v>
      </c>
      <c r="D1759" s="5">
        <v>0.223283582089552</v>
      </c>
      <c r="E1759" s="5">
        <v>-0.145894122551062</v>
      </c>
      <c r="F1759" s="5">
        <v>-0.03485633537447</v>
      </c>
      <c r="G1759" s="5">
        <v>-0.369538461538461</v>
      </c>
      <c r="H1759" s="5">
        <v>-0.368567026194144</v>
      </c>
      <c r="I1759" s="5">
        <v>-0.371665133394664</v>
      </c>
    </row>
    <row r="1760">
      <c r="A1760" s="2" t="s">
        <v>1784</v>
      </c>
      <c r="B1760" s="8" t="str">
        <f>HYPERLINK("https://www.suredividend.com/sure-analysis-research-database/","Xos Inc")</f>
        <v>Xos Inc</v>
      </c>
      <c r="C1760" s="5">
        <v>0.031328320802004</v>
      </c>
      <c r="D1760" s="5">
        <v>0.092961487383798</v>
      </c>
      <c r="E1760" s="5">
        <v>-0.268054073283528</v>
      </c>
      <c r="F1760" s="5">
        <v>0.031328320802004</v>
      </c>
      <c r="G1760" s="5">
        <v>-0.712890284318855</v>
      </c>
      <c r="H1760" s="5">
        <v>-0.868108974358974</v>
      </c>
      <c r="I1760" s="5">
        <v>-0.963664459161147</v>
      </c>
    </row>
    <row r="1761">
      <c r="A1761" s="2" t="s">
        <v>1785</v>
      </c>
      <c r="B1761" s="8" t="str">
        <f>HYPERLINK("https://www.suredividend.com/sure-analysis-research-database/","XPEL Inc")</f>
        <v>XPEL Inc</v>
      </c>
      <c r="C1761" s="5">
        <v>0.020798514391829</v>
      </c>
      <c r="D1761" s="5">
        <v>0.125281473899692</v>
      </c>
      <c r="E1761" s="5">
        <v>-0.302765093860984</v>
      </c>
      <c r="F1761" s="5">
        <v>0.020798514391829</v>
      </c>
      <c r="G1761" s="5">
        <v>-0.268626929217668</v>
      </c>
      <c r="H1761" s="5">
        <v>-0.080922922588196</v>
      </c>
      <c r="I1761" s="5">
        <v>31.7787716159809</v>
      </c>
    </row>
    <row r="1762">
      <c r="A1762" s="2" t="s">
        <v>1786</v>
      </c>
      <c r="B1762" s="8" t="str">
        <f>HYPERLINK("https://www.suredividend.com/sure-analysis-research-database/","Xperi Inc")</f>
        <v>Xperi Inc</v>
      </c>
      <c r="C1762" s="5">
        <v>0.027223230490018</v>
      </c>
      <c r="D1762" s="5">
        <v>0.394088669950739</v>
      </c>
      <c r="E1762" s="5">
        <v>-0.111459968602825</v>
      </c>
      <c r="F1762" s="5">
        <v>0.027223230490018</v>
      </c>
      <c r="G1762" s="5">
        <v>0.141129032258064</v>
      </c>
      <c r="H1762" s="5">
        <v>-0.507826086956521</v>
      </c>
      <c r="I1762" s="5">
        <v>-0.507826086956521</v>
      </c>
    </row>
    <row r="1763">
      <c r="A1763" s="2" t="s">
        <v>1787</v>
      </c>
      <c r="B1763" s="8" t="str">
        <f>HYPERLINK("https://www.suredividend.com/sure-analysis-research-database/","Xponential Fitness Inc")</f>
        <v>Xponential Fitness Inc</v>
      </c>
      <c r="C1763" s="5">
        <v>-0.063615205585725</v>
      </c>
      <c r="D1763" s="5">
        <v>-0.125362318840579</v>
      </c>
      <c r="E1763" s="5">
        <v>-0.408623223909848</v>
      </c>
      <c r="F1763" s="5">
        <v>-0.063615205585725</v>
      </c>
      <c r="G1763" s="5">
        <v>-0.555596465390279</v>
      </c>
      <c r="H1763" s="5">
        <v>-0.289582107121836</v>
      </c>
      <c r="I1763" s="5">
        <v>-0.01469387755102</v>
      </c>
    </row>
    <row r="1764">
      <c r="A1764" s="2" t="s">
        <v>1788</v>
      </c>
      <c r="B1764" s="8" t="str">
        <f>HYPERLINK("https://www.suredividend.com/sure-analysis-research-database/","Expro Group Holdings N.V.")</f>
        <v>Expro Group Holdings N.V.</v>
      </c>
      <c r="C1764" s="5">
        <v>0.164572864321608</v>
      </c>
      <c r="D1764" s="5">
        <v>0.166037735849056</v>
      </c>
      <c r="E1764" s="5">
        <v>-0.164488508337088</v>
      </c>
      <c r="F1764" s="5">
        <v>0.164572864321608</v>
      </c>
      <c r="G1764" s="5">
        <v>0.006514657980455</v>
      </c>
      <c r="H1764" s="5">
        <v>0.207817589576547</v>
      </c>
      <c r="I1764" s="5">
        <v>-0.458844133099824</v>
      </c>
    </row>
    <row r="1765">
      <c r="A1765" s="2" t="s">
        <v>1789</v>
      </c>
      <c r="B1765" s="8" t="str">
        <f>HYPERLINK("https://www.suredividend.com/sure-analysis-XRX/","Xerox Holdings Corp")</f>
        <v>Xerox Holdings Corp</v>
      </c>
      <c r="C1765" s="5">
        <v>0.069830878341516</v>
      </c>
      <c r="D1765" s="5">
        <v>0.652022274079003</v>
      </c>
      <c r="E1765" s="5">
        <v>0.305870758084279</v>
      </c>
      <c r="F1765" s="5">
        <v>0.069830878341516</v>
      </c>
      <c r="G1765" s="5">
        <v>0.302358324533615</v>
      </c>
      <c r="H1765" s="5">
        <v>0.136890682250359</v>
      </c>
      <c r="I1765" s="5">
        <v>-0.174777913841932</v>
      </c>
    </row>
    <row r="1766">
      <c r="A1766" s="2" t="s">
        <v>1790</v>
      </c>
      <c r="B1766" s="8" t="str">
        <f>HYPERLINK("https://www.suredividend.com/sure-analysis-research-database/","22nd Century Group Inc")</f>
        <v>22nd Century Group Inc</v>
      </c>
      <c r="C1766" s="5">
        <v>-0.011815252416756</v>
      </c>
      <c r="D1766" s="5">
        <v>-0.591746172620368</v>
      </c>
      <c r="E1766" s="5">
        <v>-0.947428571428571</v>
      </c>
      <c r="F1766" s="5">
        <v>-0.011815252416756</v>
      </c>
      <c r="G1766" s="5">
        <v>-0.988948948948948</v>
      </c>
      <c r="H1766" s="5">
        <v>-0.993986928104575</v>
      </c>
      <c r="I1766" s="5">
        <v>-0.994373088685015</v>
      </c>
    </row>
    <row r="1767">
      <c r="A1767" s="2" t="s">
        <v>1791</v>
      </c>
      <c r="B1767" s="8" t="str">
        <f>HYPERLINK("https://www.suredividend.com/sure-analysis-research-database/","Yelp Inc")</f>
        <v>Yelp Inc</v>
      </c>
      <c r="C1767" s="5">
        <v>-0.045627376425855</v>
      </c>
      <c r="D1767" s="5">
        <v>0.100609013398294</v>
      </c>
      <c r="E1767" s="5">
        <v>0.006684491978609</v>
      </c>
      <c r="F1767" s="5">
        <v>-0.045627376425855</v>
      </c>
      <c r="G1767" s="5">
        <v>0.449470644850818</v>
      </c>
      <c r="H1767" s="5">
        <v>0.367019667170953</v>
      </c>
      <c r="I1767" s="5">
        <v>0.247377139701822</v>
      </c>
    </row>
    <row r="1768">
      <c r="A1768" s="2" t="s">
        <v>1792</v>
      </c>
      <c r="B1768" s="8" t="str">
        <f>HYPERLINK("https://www.suredividend.com/sure-analysis-research-database/","Yext Inc")</f>
        <v>Yext Inc</v>
      </c>
      <c r="C1768" s="5">
        <v>0.062818336162988</v>
      </c>
      <c r="D1768" s="5">
        <v>0.062818336162988</v>
      </c>
      <c r="E1768" s="5">
        <v>-0.321041214750542</v>
      </c>
      <c r="F1768" s="5">
        <v>0.062818336162988</v>
      </c>
      <c r="G1768" s="5">
        <v>-0.069836552748885</v>
      </c>
      <c r="H1768" s="5">
        <v>-0.173051519154557</v>
      </c>
      <c r="I1768" s="5">
        <v>-0.563458856345885</v>
      </c>
    </row>
    <row r="1769">
      <c r="A1769" s="2" t="s">
        <v>1793</v>
      </c>
      <c r="B1769" s="8" t="str">
        <f>HYPERLINK("https://www.suredividend.com/sure-analysis-research-database/","Y-Mabs Therapeutics Inc")</f>
        <v>Y-Mabs Therapeutics Inc</v>
      </c>
      <c r="C1769" s="5">
        <v>0.77565982404692</v>
      </c>
      <c r="D1769" s="5">
        <v>1.25512104283054</v>
      </c>
      <c r="E1769" s="5">
        <v>0.9376</v>
      </c>
      <c r="F1769" s="5">
        <v>0.77565982404692</v>
      </c>
      <c r="G1769" s="5">
        <v>1.72747747747747</v>
      </c>
      <c r="H1769" s="5">
        <v>0.326396495071193</v>
      </c>
      <c r="I1769" s="5">
        <v>-0.395406889665501</v>
      </c>
    </row>
    <row r="1770">
      <c r="A1770" s="2" t="s">
        <v>1794</v>
      </c>
      <c r="B1770" s="8" t="str">
        <f>HYPERLINK("https://www.suredividend.com/sure-analysis-YORW/","York Water Co.")</f>
        <v>York Water Co.</v>
      </c>
      <c r="C1770" s="5">
        <v>-0.067840497151734</v>
      </c>
      <c r="D1770" s="5">
        <v>0.010690863354595</v>
      </c>
      <c r="E1770" s="5">
        <v>-0.11131737325164</v>
      </c>
      <c r="F1770" s="5">
        <v>-0.067840497151734</v>
      </c>
      <c r="G1770" s="5">
        <v>-0.172179719782835</v>
      </c>
      <c r="H1770" s="5">
        <v>-0.160610236358167</v>
      </c>
      <c r="I1770" s="5">
        <v>0.229441014152232</v>
      </c>
    </row>
    <row r="1771">
      <c r="A1771" s="2" t="s">
        <v>1795</v>
      </c>
      <c r="B1771" s="8" t="str">
        <f>HYPERLINK("https://www.suredividend.com/sure-analysis-research-database/","Clear Secure Inc")</f>
        <v>Clear Secure Inc</v>
      </c>
      <c r="C1771" s="5">
        <v>-0.012590799031476</v>
      </c>
      <c r="D1771" s="5">
        <v>0.239784998540714</v>
      </c>
      <c r="E1771" s="5">
        <v>-0.101298907366351</v>
      </c>
      <c r="F1771" s="5">
        <v>-0.012590799031476</v>
      </c>
      <c r="G1771" s="5">
        <v>-0.332543340491279</v>
      </c>
      <c r="H1771" s="5">
        <v>-0.063032759389202</v>
      </c>
      <c r="I1771" s="5">
        <v>-0.478108186969853</v>
      </c>
    </row>
    <row r="1772">
      <c r="A1772" s="2" t="s">
        <v>1796</v>
      </c>
      <c r="B1772" s="8" t="str">
        <f>HYPERLINK("https://www.suredividend.com/sure-analysis-research-database/","Ziff Davis Inc")</f>
        <v>Ziff Davis Inc</v>
      </c>
      <c r="C1772" s="5">
        <v>0.054323560053579</v>
      </c>
      <c r="D1772" s="5">
        <v>0.215094339622641</v>
      </c>
      <c r="E1772" s="5">
        <v>-0.012545302481181</v>
      </c>
      <c r="F1772" s="5">
        <v>0.054323560053579</v>
      </c>
      <c r="G1772" s="5">
        <v>-0.209551439410845</v>
      </c>
      <c r="H1772" s="5">
        <v>-0.298683298683298</v>
      </c>
      <c r="I1772" s="5">
        <v>0.112241565553797</v>
      </c>
    </row>
    <row r="1773">
      <c r="A1773" s="2" t="s">
        <v>1797</v>
      </c>
      <c r="B1773" s="8" t="str">
        <f>HYPERLINK("https://www.suredividend.com/sure-analysis-research-database/","Zeta Global Holdings Corp")</f>
        <v>Zeta Global Holdings Corp</v>
      </c>
      <c r="C1773" s="5">
        <v>0.132653061224489</v>
      </c>
      <c r="D1773" s="5">
        <v>0.304177545691906</v>
      </c>
      <c r="E1773" s="5">
        <v>0.128813559322033</v>
      </c>
      <c r="F1773" s="5">
        <v>0.132653061224489</v>
      </c>
      <c r="G1773" s="5">
        <v>0.096597145993413</v>
      </c>
      <c r="H1773" s="5">
        <v>0.194976076555024</v>
      </c>
      <c r="I1773" s="5">
        <v>0.123734533183351</v>
      </c>
    </row>
    <row r="1774">
      <c r="A1774" s="2" t="s">
        <v>1798</v>
      </c>
      <c r="B1774" s="8" t="str">
        <f>HYPERLINK("https://www.suredividend.com/sure-analysis-research-database/","Olympic Steel Inc.")</f>
        <v>Olympic Steel Inc.</v>
      </c>
      <c r="C1774" s="5">
        <v>0.025187406296851</v>
      </c>
      <c r="D1774" s="5">
        <v>0.389659454175583</v>
      </c>
      <c r="E1774" s="5">
        <v>0.2549022486571</v>
      </c>
      <c r="F1774" s="5">
        <v>0.025187406296851</v>
      </c>
      <c r="G1774" s="5">
        <v>0.635853859256281</v>
      </c>
      <c r="H1774" s="5">
        <v>2.34527024382607</v>
      </c>
      <c r="I1774" s="5">
        <v>2.90867934882019</v>
      </c>
    </row>
    <row r="1775">
      <c r="A1775" s="2" t="s">
        <v>1799</v>
      </c>
      <c r="B1775" s="8" t="str">
        <f>HYPERLINK("https://www.suredividend.com/sure-analysis-research-database/","Lightning eMotors Inc")</f>
        <v>Lightning eMotors Inc</v>
      </c>
      <c r="C1775" s="5">
        <v>-0.259090909090909</v>
      </c>
      <c r="D1775" s="5">
        <v>-0.552197802197802</v>
      </c>
      <c r="E1775" s="5">
        <v>-0.745312499999999</v>
      </c>
      <c r="F1775" s="5">
        <v>-0.77762619372442</v>
      </c>
      <c r="G1775" s="5">
        <v>-0.957105263157894</v>
      </c>
      <c r="H1775" s="5">
        <v>-0.991375661375661</v>
      </c>
      <c r="I1775" s="5">
        <v>-0.833673469387755</v>
      </c>
    </row>
    <row r="1776">
      <c r="A1776" s="2" t="s">
        <v>1800</v>
      </c>
      <c r="B1776" s="8" t="str">
        <f>HYPERLINK("https://www.suredividend.com/sure-analysis-research-database/","Ermenegildo Zegna N.V.")</f>
        <v>Ermenegildo Zegna N.V.</v>
      </c>
      <c r="C1776" s="5">
        <v>-0.007778738115816</v>
      </c>
      <c r="D1776" s="5">
        <v>0.043636363636363</v>
      </c>
      <c r="E1776" s="5">
        <v>-0.265515035188739</v>
      </c>
      <c r="F1776" s="5">
        <v>-0.007778738115816</v>
      </c>
      <c r="G1776" s="5">
        <v>0.013006723964491</v>
      </c>
      <c r="H1776" s="5">
        <v>0.203795941907408</v>
      </c>
      <c r="I1776" s="5">
        <v>0.077145377094709</v>
      </c>
    </row>
    <row r="1777">
      <c r="A1777" s="2" t="s">
        <v>1801</v>
      </c>
      <c r="B1777" s="8" t="str">
        <f>HYPERLINK("https://www.suredividend.com/sure-analysis-research-database/","ZimVie Inc")</f>
        <v>ZimVie Inc</v>
      </c>
      <c r="C1777" s="5">
        <v>0.068732394366197</v>
      </c>
      <c r="D1777" s="5">
        <v>1.7022792022792</v>
      </c>
      <c r="E1777" s="5">
        <v>0.467130703789636</v>
      </c>
      <c r="F1777" s="5">
        <v>0.068732394366197</v>
      </c>
      <c r="G1777" s="5">
        <v>1.08690869086908</v>
      </c>
      <c r="H1777" s="5">
        <v>-0.256952604778691</v>
      </c>
      <c r="I1777" s="5">
        <v>-0.256952604778691</v>
      </c>
    </row>
    <row r="1778">
      <c r="A1778" s="2" t="s">
        <v>1802</v>
      </c>
      <c r="B1778" s="8" t="str">
        <f>HYPERLINK("https://www.suredividend.com/sure-analysis-research-database/","ZipRecruiter Inc")</f>
        <v>ZipRecruiter Inc</v>
      </c>
      <c r="C1778" s="5">
        <v>0.099999999999999</v>
      </c>
      <c r="D1778" s="5">
        <v>0.480154888673765</v>
      </c>
      <c r="E1778" s="5">
        <v>-0.152439024390243</v>
      </c>
      <c r="F1778" s="5">
        <v>0.099999999999999</v>
      </c>
      <c r="G1778" s="5">
        <v>-0.201149425287356</v>
      </c>
      <c r="H1778" s="5">
        <v>-0.272943414170233</v>
      </c>
      <c r="I1778" s="5">
        <v>-0.275355450236966</v>
      </c>
    </row>
    <row r="1779">
      <c r="A1779" s="2" t="s">
        <v>1803</v>
      </c>
      <c r="B1779" s="8" t="str">
        <f>HYPERLINK("https://www.suredividend.com/sure-analysis-research-database/","Zentalis Pharmaceuticals Inc")</f>
        <v>Zentalis Pharmaceuticals Inc</v>
      </c>
      <c r="C1779" s="5">
        <v>-0.131353135313531</v>
      </c>
      <c r="D1779" s="5">
        <v>-0.187654320987654</v>
      </c>
      <c r="E1779" s="5">
        <v>-0.507853403141361</v>
      </c>
      <c r="F1779" s="5">
        <v>-0.131353135313531</v>
      </c>
      <c r="G1779" s="5">
        <v>-0.440951571792693</v>
      </c>
      <c r="H1779" s="5">
        <v>-0.746435452793834</v>
      </c>
      <c r="I1779" s="5">
        <v>-0.432758620689655</v>
      </c>
    </row>
    <row r="1780">
      <c r="A1780" s="2" t="s">
        <v>1804</v>
      </c>
      <c r="B1780" s="8" t="str">
        <f>HYPERLINK("https://www.suredividend.com/sure-analysis-research-database/","Zumiez Inc")</f>
        <v>Zumiez Inc</v>
      </c>
      <c r="C1780" s="5">
        <v>-0.120452310717797</v>
      </c>
      <c r="D1780" s="5">
        <v>0.118125</v>
      </c>
      <c r="E1780" s="5">
        <v>-0.054439746300211</v>
      </c>
      <c r="F1780" s="5">
        <v>-0.120452310717797</v>
      </c>
      <c r="G1780" s="5">
        <v>-0.305242718446601</v>
      </c>
      <c r="H1780" s="5">
        <v>-0.58635838150289</v>
      </c>
      <c r="I1780" s="5">
        <v>-0.278046811945117</v>
      </c>
    </row>
    <row r="1781">
      <c r="A1781" s="2" t="s">
        <v>1805</v>
      </c>
      <c r="B1781" s="8" t="str">
        <f>HYPERLINK("https://www.suredividend.com/sure-analysis-research-database/","Zuora Inc")</f>
        <v>Zuora Inc</v>
      </c>
      <c r="C1781" s="5">
        <v>0.009574468085106</v>
      </c>
      <c r="D1781" s="5">
        <v>0.303571428571428</v>
      </c>
      <c r="E1781" s="5">
        <v>-0.130155820348304</v>
      </c>
      <c r="F1781" s="5">
        <v>0.009574468085106</v>
      </c>
      <c r="G1781" s="5">
        <v>0.265333333333333</v>
      </c>
      <c r="H1781" s="5">
        <v>-0.395926161680458</v>
      </c>
      <c r="I1781" s="5">
        <v>-0.545280306660277</v>
      </c>
    </row>
    <row r="1782">
      <c r="A1782" s="2" t="s">
        <v>1806</v>
      </c>
      <c r="B1782" s="8" t="str">
        <f>HYPERLINK("https://www.suredividend.com/sure-analysis-research-database/","Zurn Elkay Water Solutions Corp")</f>
        <v>Zurn Elkay Water Solutions Corp</v>
      </c>
      <c r="C1782" s="5">
        <v>0.034342060523631</v>
      </c>
      <c r="D1782" s="5">
        <v>0.183178791461821</v>
      </c>
      <c r="E1782" s="5">
        <v>0.004470919213065</v>
      </c>
      <c r="F1782" s="5">
        <v>0.034342060523631</v>
      </c>
      <c r="G1782" s="5">
        <v>0.431603518299771</v>
      </c>
      <c r="H1782" s="5">
        <v>0.030079541645079</v>
      </c>
      <c r="I1782" s="5">
        <v>0.242768898911658</v>
      </c>
    </row>
    <row r="1783">
      <c r="A1783" s="2" t="s">
        <v>1807</v>
      </c>
      <c r="B1783" s="8" t="str">
        <f>HYPERLINK("https://www.suredividend.com/sure-analysis-research-database/","Zynex Inc")</f>
        <v>Zynex Inc</v>
      </c>
      <c r="C1783" s="5">
        <v>0.047750229568411</v>
      </c>
      <c r="D1783" s="5">
        <v>0.368105515587529</v>
      </c>
      <c r="E1783" s="5">
        <v>0.153690596562183</v>
      </c>
      <c r="F1783" s="5">
        <v>0.047750229568411</v>
      </c>
      <c r="G1783" s="5">
        <v>-0.256677524429967</v>
      </c>
      <c r="H1783" s="5">
        <v>0.543978349120433</v>
      </c>
      <c r="I1783" s="5">
        <v>59.3384452670544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1815</v>
      </c>
    </row>
    <row r="2">
      <c r="A2" s="2" t="s">
        <v>1816</v>
      </c>
    </row>
    <row r="3">
      <c r="A3" s="2" t="s">
        <v>1817</v>
      </c>
    </row>
  </sheetData>
  <drawing r:id="rId1"/>
</worksheet>
</file>