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9DCDF2EE-E5CF-4D44-A669-F991F0C0955B}" xr6:coauthVersionLast="47" xr6:coauthVersionMax="47" xr10:uidLastSave="{00000000-0000-0000-0000-000000000000}"/>
  <bookViews>
    <workbookView xWindow="0" yWindow="500" windowWidth="33600" windowHeight="20500" activeTab="13" xr2:uid="{00000000-000D-0000-FFFF-FFFF00000000}"/>
  </bookViews>
  <sheets>
    <sheet name="BRBR" sheetId="17" r:id="rId1"/>
    <sheet name="USNA" sheetId="16" r:id="rId2"/>
    <sheet name="AAPL" sheetId="15" r:id="rId3"/>
    <sheet name="BAH" sheetId="14" r:id="rId4"/>
    <sheet name="RHI" sheetId="13" r:id="rId5"/>
    <sheet name="ULTA" sheetId="12" r:id="rId6"/>
    <sheet name="SPH" sheetId="10" r:id="rId7"/>
    <sheet name="AMCX" sheetId="4" r:id="rId8"/>
    <sheet name="LEN" sheetId="1" r:id="rId9"/>
    <sheet name="BBW" sheetId="5" r:id="rId10"/>
    <sheet name="VFC" sheetId="6" r:id="rId11"/>
    <sheet name="ANF" sheetId="7" r:id="rId12"/>
    <sheet name="CCRN" sheetId="11" r:id="rId13"/>
    <sheet name="AMN" sheetId="8" r:id="rId14"/>
    <sheet name="GDDY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7" l="1"/>
  <c r="I36" i="17"/>
  <c r="H79" i="17"/>
  <c r="H80" i="17" s="1"/>
  <c r="I32" i="17"/>
  <c r="I30" i="17"/>
  <c r="I28" i="17"/>
  <c r="I26" i="17"/>
  <c r="I24" i="17"/>
  <c r="I22" i="17"/>
  <c r="I20" i="17"/>
  <c r="I39" i="16"/>
  <c r="I38" i="16"/>
  <c r="D49" i="16"/>
  <c r="I36" i="16"/>
  <c r="I33" i="16"/>
  <c r="I31" i="16"/>
  <c r="I29" i="16"/>
  <c r="I27" i="16"/>
  <c r="I25" i="16"/>
  <c r="I23" i="16"/>
  <c r="I21" i="16"/>
  <c r="I19" i="16"/>
  <c r="I17" i="16"/>
  <c r="I15" i="16"/>
  <c r="I39" i="8"/>
  <c r="I37" i="8"/>
  <c r="I36" i="8"/>
  <c r="D48" i="8"/>
  <c r="I25" i="15"/>
  <c r="I23" i="15"/>
  <c r="I21" i="15"/>
  <c r="I19" i="15"/>
  <c r="I17" i="15"/>
  <c r="I15" i="15"/>
  <c r="I13" i="15"/>
  <c r="I11" i="15"/>
  <c r="I9" i="15"/>
  <c r="I7" i="15"/>
  <c r="D41" i="4"/>
  <c r="I25" i="4"/>
  <c r="I28" i="4"/>
  <c r="I32" i="4"/>
  <c r="I31" i="4"/>
  <c r="I29" i="4"/>
  <c r="I24" i="8"/>
  <c r="I26" i="8"/>
  <c r="I28" i="8"/>
  <c r="I30" i="8"/>
  <c r="I32" i="8"/>
  <c r="H65" i="11"/>
  <c r="H80" i="14"/>
  <c r="H79" i="14"/>
  <c r="I32" i="14"/>
  <c r="I30" i="14"/>
  <c r="I28" i="14"/>
  <c r="I26" i="14"/>
  <c r="I24" i="14"/>
  <c r="I22" i="14"/>
  <c r="I20" i="14"/>
  <c r="I18" i="14"/>
  <c r="I16" i="14"/>
  <c r="I14" i="14"/>
  <c r="I12" i="14"/>
  <c r="I10" i="14"/>
  <c r="I8" i="14"/>
  <c r="I6" i="14"/>
  <c r="I37" i="13"/>
  <c r="I36" i="13"/>
  <c r="I6" i="13"/>
  <c r="I8" i="13"/>
  <c r="I10" i="13"/>
  <c r="I12" i="13"/>
  <c r="I14" i="13"/>
  <c r="I32" i="13"/>
  <c r="I30" i="13"/>
  <c r="I28" i="13"/>
  <c r="I26" i="13"/>
  <c r="I24" i="13"/>
  <c r="I22" i="13"/>
  <c r="I20" i="13"/>
  <c r="I18" i="13"/>
  <c r="I16" i="13"/>
  <c r="I38" i="11"/>
  <c r="I36" i="11"/>
  <c r="I29" i="5"/>
  <c r="I22" i="11"/>
  <c r="I36" i="12"/>
  <c r="I37" i="12"/>
  <c r="I32" i="12"/>
  <c r="I30" i="12"/>
  <c r="I28" i="12"/>
  <c r="I26" i="12"/>
  <c r="I24" i="12"/>
  <c r="I22" i="12"/>
  <c r="I20" i="12"/>
  <c r="I18" i="12"/>
  <c r="I16" i="12"/>
  <c r="I14" i="12"/>
  <c r="I12" i="12"/>
  <c r="I10" i="12"/>
  <c r="I8" i="12"/>
  <c r="I6" i="12"/>
  <c r="I37" i="11"/>
  <c r="I32" i="11"/>
  <c r="I30" i="11"/>
  <c r="I28" i="11"/>
  <c r="I26" i="11"/>
  <c r="I24" i="11"/>
  <c r="I20" i="11"/>
  <c r="I18" i="11"/>
  <c r="I16" i="11"/>
  <c r="I14" i="11"/>
  <c r="I12" i="11"/>
  <c r="I10" i="11"/>
  <c r="I8" i="11"/>
  <c r="I6" i="11"/>
  <c r="F69" i="6"/>
  <c r="I32" i="10"/>
  <c r="I30" i="10"/>
  <c r="I28" i="10"/>
  <c r="I26" i="10"/>
  <c r="I24" i="10"/>
  <c r="I22" i="10"/>
  <c r="I20" i="10"/>
  <c r="I18" i="10"/>
  <c r="I16" i="10"/>
  <c r="I36" i="9"/>
  <c r="I37" i="9"/>
  <c r="I32" i="9"/>
  <c r="I30" i="9"/>
  <c r="I28" i="9"/>
  <c r="I26" i="9"/>
  <c r="I24" i="9"/>
  <c r="I22" i="9"/>
  <c r="I20" i="9"/>
  <c r="I18" i="9"/>
  <c r="I16" i="9"/>
  <c r="I6" i="8"/>
  <c r="I8" i="8"/>
  <c r="I10" i="8"/>
  <c r="I12" i="8"/>
  <c r="I22" i="8"/>
  <c r="I20" i="8"/>
  <c r="I18" i="8"/>
  <c r="I16" i="8"/>
  <c r="I14" i="8"/>
  <c r="I35" i="8" s="1"/>
  <c r="I29" i="7"/>
  <c r="H71" i="6"/>
  <c r="I30" i="7"/>
  <c r="I25" i="7"/>
  <c r="I23" i="7"/>
  <c r="I21" i="7"/>
  <c r="I19" i="7"/>
  <c r="I17" i="7"/>
  <c r="I15" i="7"/>
  <c r="I13" i="7"/>
  <c r="I11" i="7"/>
  <c r="I9" i="7"/>
  <c r="I7" i="7"/>
  <c r="I29" i="6"/>
  <c r="I25" i="6"/>
  <c r="I23" i="6"/>
  <c r="I21" i="6"/>
  <c r="I19" i="6"/>
  <c r="I17" i="6"/>
  <c r="I15" i="6"/>
  <c r="I13" i="6"/>
  <c r="I11" i="6"/>
  <c r="I9" i="6"/>
  <c r="I7" i="6"/>
  <c r="F69" i="4"/>
  <c r="I28" i="5"/>
  <c r="I25" i="5"/>
  <c r="I23" i="5"/>
  <c r="I21" i="5"/>
  <c r="I19" i="5"/>
  <c r="I17" i="5"/>
  <c r="I15" i="5"/>
  <c r="I13" i="5"/>
  <c r="I11" i="5"/>
  <c r="I9" i="5"/>
  <c r="I7" i="5"/>
  <c r="I23" i="4"/>
  <c r="I21" i="4"/>
  <c r="I19" i="4"/>
  <c r="I17" i="4"/>
  <c r="I15" i="4"/>
  <c r="I13" i="4"/>
  <c r="I11" i="4"/>
  <c r="I9" i="4"/>
  <c r="I7" i="4"/>
  <c r="I15" i="1"/>
  <c r="I17" i="1"/>
  <c r="I35" i="17" l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E71" i="17" s="1"/>
  <c r="F74" i="17" s="1"/>
  <c r="F77" i="17" s="1"/>
  <c r="F81" i="17" s="1"/>
  <c r="D50" i="16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I37" i="16"/>
  <c r="I28" i="15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I32" i="15"/>
  <c r="I29" i="15"/>
  <c r="I31" i="15"/>
  <c r="D42" i="4"/>
  <c r="I38" i="8"/>
  <c r="I37" i="14"/>
  <c r="I35" i="14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E71" i="14" s="1"/>
  <c r="F74" i="14" s="1"/>
  <c r="F77" i="14" s="1"/>
  <c r="F81" i="14" s="1"/>
  <c r="I36" i="14"/>
  <c r="I35" i="13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E71" i="13" s="1"/>
  <c r="F74" i="13" s="1"/>
  <c r="F77" i="13" s="1"/>
  <c r="F81" i="13" s="1"/>
  <c r="I35" i="12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E71" i="12" s="1"/>
  <c r="F74" i="12" s="1"/>
  <c r="F77" i="12" s="1"/>
  <c r="F81" i="12" s="1"/>
  <c r="I35" i="1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E71" i="11" s="1"/>
  <c r="F74" i="11" s="1"/>
  <c r="F77" i="11" s="1"/>
  <c r="F81" i="11" s="1"/>
  <c r="I37" i="10"/>
  <c r="I35" i="10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E71" i="10" s="1"/>
  <c r="F74" i="10" s="1"/>
  <c r="F77" i="10" s="1"/>
  <c r="F81" i="10" s="1"/>
  <c r="I36" i="10"/>
  <c r="I35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E71" i="9" s="1"/>
  <c r="F74" i="9" s="1"/>
  <c r="F77" i="9" s="1"/>
  <c r="F81" i="9" s="1"/>
  <c r="I28" i="7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E64" i="7" s="1"/>
  <c r="F67" i="7" s="1"/>
  <c r="F70" i="7" s="1"/>
  <c r="F74" i="7" s="1"/>
  <c r="I30" i="6"/>
  <c r="I28" i="6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E64" i="6" s="1"/>
  <c r="F67" i="6" s="1"/>
  <c r="F70" i="6" s="1"/>
  <c r="F74" i="6" s="1"/>
  <c r="I30" i="5"/>
  <c r="D41" i="5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E64" i="5" s="1"/>
  <c r="F67" i="5" s="1"/>
  <c r="F70" i="5" s="1"/>
  <c r="F74" i="5" s="1"/>
  <c r="E64" i="15" l="1"/>
  <c r="F67" i="15" s="1"/>
  <c r="F70" i="15" s="1"/>
  <c r="F74" i="15" s="1"/>
  <c r="E72" i="16"/>
  <c r="F75" i="16" s="1"/>
  <c r="F41" i="15"/>
  <c r="F42" i="15" s="1"/>
  <c r="D43" i="4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E64" i="4" s="1"/>
  <c r="F67" i="4" s="1"/>
  <c r="F70" i="4" s="1"/>
  <c r="F74" i="4" s="1"/>
  <c r="F41" i="4"/>
  <c r="F42" i="4" s="1"/>
  <c r="D49" i="8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E71" i="8" s="1"/>
  <c r="F74" i="8" s="1"/>
  <c r="F77" i="8" s="1"/>
  <c r="F81" i="8" s="1"/>
  <c r="F82" i="8" s="1"/>
  <c r="I31" i="1"/>
  <c r="I33" i="1"/>
  <c r="I29" i="1"/>
  <c r="F78" i="16" l="1"/>
  <c r="F82" i="16" s="1"/>
  <c r="F83" i="16" s="1"/>
  <c r="I27" i="1"/>
  <c r="I25" i="1"/>
  <c r="I23" i="1"/>
  <c r="I37" i="1" s="1"/>
  <c r="I21" i="1"/>
  <c r="I19" i="1"/>
  <c r="I36" i="1" s="1"/>
  <c r="I38" i="1" l="1"/>
  <c r="D49" i="1"/>
  <c r="D50" i="1" s="1"/>
  <c r="D51" i="1" s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E72" i="1" l="1"/>
  <c r="F75" i="1" s="1"/>
  <c r="F78" i="1" s="1"/>
  <c r="F82" i="1" s="1"/>
</calcChain>
</file>

<file path=xl/sharedStrings.xml><?xml version="1.0" encoding="utf-8"?>
<sst xmlns="http://schemas.openxmlformats.org/spreadsheetml/2006/main" count="773" uniqueCount="92">
  <si>
    <t xml:space="preserve">     Cash Flow from operations</t>
  </si>
  <si>
    <t>Capital Expenditures</t>
  </si>
  <si>
    <t>Free Cash Flow</t>
  </si>
  <si>
    <t xml:space="preserve"> </t>
  </si>
  <si>
    <t>average</t>
  </si>
  <si>
    <t>Return from 1st yr</t>
  </si>
  <si>
    <t>Return from 2nd yr</t>
  </si>
  <si>
    <t>Return from 3rd yr</t>
  </si>
  <si>
    <t>Return from 4th yr</t>
  </si>
  <si>
    <t>Return from 5th yr</t>
  </si>
  <si>
    <t>Return from 6th yr</t>
  </si>
  <si>
    <t>Return from 7th yr</t>
  </si>
  <si>
    <t>Return from 8th yr</t>
  </si>
  <si>
    <t>Return from 9th yr</t>
  </si>
  <si>
    <t>Return from 10th yr</t>
  </si>
  <si>
    <t>Return from 11th yr</t>
  </si>
  <si>
    <t>Return from 12th yr</t>
  </si>
  <si>
    <t>Return from 13th yr</t>
  </si>
  <si>
    <t>Return from 14th yr</t>
  </si>
  <si>
    <t>Return from 15th yr</t>
  </si>
  <si>
    <t>Return from 16th yr</t>
  </si>
  <si>
    <t>Return from 17th yr</t>
  </si>
  <si>
    <t>Return from 18th yr</t>
  </si>
  <si>
    <t>Return from 19th yr</t>
  </si>
  <si>
    <t>Return from 20th yr</t>
  </si>
  <si>
    <t>DISCOUNTED CASH FLOW</t>
  </si>
  <si>
    <t xml:space="preserve">Annual discount rate </t>
  </si>
  <si>
    <t>Residual discounted cash flow after year 20</t>
  </si>
  <si>
    <t>Net Present Value of a Debt Free Firm</t>
  </si>
  <si>
    <t>Overall Equity Value</t>
  </si>
  <si>
    <t>Equity value per share</t>
  </si>
  <si>
    <t>Acquisitions</t>
  </si>
  <si>
    <t>Year</t>
  </si>
  <si>
    <t xml:space="preserve">  </t>
  </si>
  <si>
    <t>6 Year CAGR</t>
  </si>
  <si>
    <t xml:space="preserve">shares outstanding </t>
  </si>
  <si>
    <t xml:space="preserve">Cash flow growth rate </t>
  </si>
  <si>
    <t xml:space="preserve">Less L-T Debt </t>
  </si>
  <si>
    <t>DCF Model - 9% discount rate</t>
  </si>
  <si>
    <t>10 Year CAGR</t>
  </si>
  <si>
    <t>8 year CAGR</t>
  </si>
  <si>
    <t>9 Year CAGR</t>
  </si>
  <si>
    <t>11 Year CAGR</t>
  </si>
  <si>
    <t>14 Year CAGR</t>
  </si>
  <si>
    <t>Gain (loss):</t>
  </si>
  <si>
    <t>book value</t>
  </si>
  <si>
    <t>stockholders equity: 2008-12-31 166884000000</t>
  </si>
  <si>
    <t>stockholders equity: 2009-12-31 165365000000</t>
  </si>
  <si>
    <t>stockholders equity: 2010-12-31 176106000000</t>
  </si>
  <si>
    <t>stockholders equity: 2011-12-31 183573000000</t>
  </si>
  <si>
    <t>stockholders equity: 2012-12-31 204069000000</t>
  </si>
  <si>
    <t>stockholders equity: 2013-12-31 211178000000</t>
  </si>
  <si>
    <t>stockholders equity: 2014-12-31 232065000000</t>
  </si>
  <si>
    <t>stockholders equity: 2015-12-31 247573000000</t>
  </si>
  <si>
    <t>stockholders equity: 2016-12-31 254190000000</t>
  </si>
  <si>
    <t>stockholders equity: 2017-12-31 255693000000</t>
  </si>
  <si>
    <t>stockholders equity: 2018-12-31 256515000000</t>
  </si>
  <si>
    <t>stockholders equity: 2019-12-31 261330000000</t>
  </si>
  <si>
    <t>stockholders equity: 2020-12-31 279354000000</t>
  </si>
  <si>
    <t>stockholders equity: 2021-12-31 294127000000</t>
  </si>
  <si>
    <t>stockholders equity: 2022-12-31 292332000000</t>
  </si>
  <si>
    <t>stockholders equity: 2023-12-31 327878000000</t>
  </si>
  <si>
    <t>JPM</t>
  </si>
  <si>
    <t>stockholders equity: 2010-12-31 212144000</t>
  </si>
  <si>
    <t>stockholders equity: 2011-12-31 237194000</t>
  </si>
  <si>
    <t>stockholders equity: 2012-12-31 253897000</t>
  </si>
  <si>
    <t>stockholders equity: 2013-12-31 254839000</t>
  </si>
  <si>
    <t>stockholders equity: 2014-12-31 279532000</t>
  </si>
  <si>
    <t>stockholders equity: 2015-12-31 293844000</t>
  </si>
  <si>
    <t>stockholders equity: 2016-12-31 320054000</t>
  </si>
  <si>
    <t>stockholders equity: 2017-12-31 381177000</t>
  </si>
  <si>
    <t>stockholders equity: 2018-12-31 396293000</t>
  </si>
  <si>
    <t>stockholders equity: 2019-12-31 438947000</t>
  </si>
  <si>
    <t>stockholders equity: 2020-12-31 468363000</t>
  </si>
  <si>
    <t>stockholders equity: 2021-12-31 505142000</t>
  </si>
  <si>
    <t>stockholders equity: 2022-12-31 405605000</t>
  </si>
  <si>
    <t>stockholders equity: 2023-12-31 454796000</t>
  </si>
  <si>
    <t>FISI</t>
  </si>
  <si>
    <t>PCB</t>
  </si>
  <si>
    <t>stockholders equity: 2015-12-31 98040000</t>
  </si>
  <si>
    <t>stockholders equity: 2016-12-31 127007000</t>
  </si>
  <si>
    <t>stockholders equity: 2017-12-31 142184000</t>
  </si>
  <si>
    <t>stockholders equity: 2018-12-31 210296000</t>
  </si>
  <si>
    <t>stockholders equity: 2019-12-31 226834000</t>
  </si>
  <si>
    <t>stockholders equity: 2020-12-31 233788000</t>
  </si>
  <si>
    <t>stockholders equity: 2021-12-31 256286000</t>
  </si>
  <si>
    <t>stockholders equity: 2022-12-31 335442000</t>
  </si>
  <si>
    <t>stockholders equity: 2023-12-31 348872000</t>
  </si>
  <si>
    <t>3 Year CAGR</t>
  </si>
  <si>
    <t>old 10 Year CAGR</t>
  </si>
  <si>
    <t>s</t>
  </si>
  <si>
    <t>10 year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</si>
</sst>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rgb="FF212529"/>
      <name val="Helvetica Neue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5" fillId="0" borderId="0" xfId="0" applyFont="1"/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0" fontId="2" fillId="0" borderId="0" xfId="0" applyFont="1"/>
    <xf numFmtId="8" fontId="2" fillId="0" borderId="0" xfId="0" applyNumberFormat="1" applyFont="1"/>
    <xf numFmtId="9" fontId="0" fillId="0" borderId="0" xfId="2" applyFont="1" applyBorder="1" applyAlignment="1">
      <alignment horizontal="center"/>
    </xf>
    <xf numFmtId="44" fontId="2" fillId="0" borderId="0" xfId="1" applyFont="1" applyBorder="1"/>
    <xf numFmtId="8" fontId="2" fillId="0" borderId="2" xfId="0" applyNumberFormat="1" applyFont="1" applyBorder="1"/>
    <xf numFmtId="0" fontId="2" fillId="0" borderId="1" xfId="0" applyFont="1" applyBorder="1"/>
    <xf numFmtId="0" fontId="6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9" fontId="2" fillId="0" borderId="0" xfId="2" applyFont="1"/>
    <xf numFmtId="44" fontId="2" fillId="2" borderId="3" xfId="1" applyFont="1" applyFill="1" applyBorder="1"/>
    <xf numFmtId="3" fontId="7" fillId="0" borderId="0" xfId="0" applyNumberFormat="1" applyFont="1"/>
    <xf numFmtId="1" fontId="5" fillId="0" borderId="0" xfId="0" applyNumberFormat="1" applyFont="1"/>
    <xf numFmtId="3" fontId="2" fillId="0" borderId="0" xfId="0" applyNumberFormat="1" applyFont="1"/>
    <xf numFmtId="10" fontId="0" fillId="0" borderId="0" xfId="2" applyNumberFormat="1" applyFont="1"/>
    <xf numFmtId="0" fontId="2" fillId="0" borderId="0" xfId="0" applyFont="1" applyAlignment="1">
      <alignment horizontal="center"/>
    </xf>
    <xf numFmtId="3" fontId="8" fillId="0" borderId="0" xfId="0" applyNumberFormat="1" applyFont="1"/>
    <xf numFmtId="9" fontId="0" fillId="0" borderId="0" xfId="2" applyFont="1"/>
    <xf numFmtId="44" fontId="0" fillId="0" borderId="0" xfId="0" applyNumberFormat="1"/>
    <xf numFmtId="3" fontId="0" fillId="0" borderId="0" xfId="0" applyNumberFormat="1"/>
    <xf numFmtId="43" fontId="0" fillId="0" borderId="0" xfId="3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499C-70BF-B74B-9CBE-ED235D951B62}">
  <sheetPr>
    <pageSetUpPr fitToPage="1"/>
  </sheetPr>
  <dimension ref="A1:K81"/>
  <sheetViews>
    <sheetView topLeftCell="A35" workbookViewId="0">
      <selection activeCell="D49" sqref="D4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23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/>
      <c r="E6" s="7"/>
      <c r="G6" s="5"/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/>
      <c r="G8" s="5"/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/>
      <c r="G10" s="5"/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/>
      <c r="G12" s="5"/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/>
      <c r="G14" s="5"/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/>
      <c r="G16" s="5"/>
      <c r="I16" s="9"/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/>
      <c r="G18" s="5"/>
      <c r="H18" s="26"/>
      <c r="I18" s="9"/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2018</v>
      </c>
      <c r="D20" s="5">
        <v>141200000</v>
      </c>
      <c r="G20" s="5">
        <v>5000000</v>
      </c>
      <c r="H20" s="26">
        <v>0</v>
      </c>
      <c r="I20" s="9">
        <f>D20-G20-H20</f>
        <v>136200000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2019</v>
      </c>
      <c r="D22" s="5">
        <v>98300000</v>
      </c>
      <c r="G22" s="5">
        <v>3200000</v>
      </c>
      <c r="H22" s="26">
        <v>0</v>
      </c>
      <c r="I22" s="9">
        <f>D22-G22-H22</f>
        <v>95100000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2020</v>
      </c>
      <c r="D24" s="5">
        <v>97200000</v>
      </c>
      <c r="G24" s="5">
        <v>2100000</v>
      </c>
      <c r="H24" s="26">
        <v>0</v>
      </c>
      <c r="I24" s="9">
        <f>D24-G24-H24</f>
        <v>95100000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2021</v>
      </c>
      <c r="D26" s="5">
        <v>226100000</v>
      </c>
      <c r="G26" s="5">
        <v>1600000</v>
      </c>
      <c r="H26" s="26">
        <v>0</v>
      </c>
      <c r="I26" s="9">
        <f>D26-G26-H26</f>
        <v>224500000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2022</v>
      </c>
      <c r="D28" s="5">
        <v>21000000</v>
      </c>
      <c r="G28" s="5">
        <v>1800000</v>
      </c>
      <c r="H28" s="26">
        <v>0</v>
      </c>
      <c r="I28" s="9">
        <f>D28-G28-H28</f>
        <v>19200000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2023</v>
      </c>
      <c r="D30" s="5">
        <v>215600000</v>
      </c>
      <c r="G30" s="5">
        <v>1800000</v>
      </c>
      <c r="I30" s="9">
        <f>D30-G30-H30</f>
        <v>213800000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2024</v>
      </c>
      <c r="D32" s="5">
        <v>199600000</v>
      </c>
      <c r="G32" s="5">
        <v>1800000</v>
      </c>
      <c r="I32" s="9">
        <f>D32-G32-H32</f>
        <v>197800000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98170000</v>
      </c>
    </row>
    <row r="36" spans="1:9" x14ac:dyDescent="0.2">
      <c r="H36" s="28" t="s">
        <v>34</v>
      </c>
      <c r="I36" s="30">
        <f>(I32/I20)^(1/7)-1</f>
        <v>5.475084701235855E-2</v>
      </c>
    </row>
    <row r="37" spans="1:9" x14ac:dyDescent="0.2">
      <c r="H37" s="28"/>
      <c r="I37" s="30"/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0.05</v>
      </c>
      <c r="E46" s="15" t="s">
        <v>3</v>
      </c>
    </row>
    <row r="48" spans="1:9" x14ac:dyDescent="0.2">
      <c r="A48" t="s">
        <v>5</v>
      </c>
      <c r="D48" s="16">
        <f>I32</f>
        <v>197800000</v>
      </c>
      <c r="E48" s="33"/>
    </row>
    <row r="49" spans="1:7" x14ac:dyDescent="0.2">
      <c r="A49" t="s">
        <v>6</v>
      </c>
      <c r="D49" s="16">
        <f t="shared" ref="D49:D67" si="0">D48*(1+D$46)</f>
        <v>207690000</v>
      </c>
      <c r="F49" t="s">
        <v>3</v>
      </c>
    </row>
    <row r="50" spans="1:7" x14ac:dyDescent="0.2">
      <c r="A50" t="s">
        <v>7</v>
      </c>
      <c r="D50" s="16">
        <f t="shared" si="0"/>
        <v>218074500</v>
      </c>
    </row>
    <row r="51" spans="1:7" x14ac:dyDescent="0.2">
      <c r="A51" t="s">
        <v>8</v>
      </c>
      <c r="D51" s="16">
        <f t="shared" si="0"/>
        <v>228978225</v>
      </c>
    </row>
    <row r="52" spans="1:7" x14ac:dyDescent="0.2">
      <c r="A52" t="s">
        <v>9</v>
      </c>
      <c r="D52" s="16">
        <f t="shared" si="0"/>
        <v>240427136.25</v>
      </c>
      <c r="G52" t="s">
        <v>33</v>
      </c>
    </row>
    <row r="53" spans="1:7" x14ac:dyDescent="0.2">
      <c r="A53" t="s">
        <v>10</v>
      </c>
      <c r="D53" s="16">
        <f t="shared" si="0"/>
        <v>252448493.0625</v>
      </c>
    </row>
    <row r="54" spans="1:7" x14ac:dyDescent="0.2">
      <c r="A54" t="s">
        <v>11</v>
      </c>
      <c r="D54" s="16">
        <f t="shared" si="0"/>
        <v>265070917.71562502</v>
      </c>
    </row>
    <row r="55" spans="1:7" x14ac:dyDescent="0.2">
      <c r="A55" t="s">
        <v>12</v>
      </c>
      <c r="D55" s="16">
        <f t="shared" si="0"/>
        <v>278324463.60140628</v>
      </c>
    </row>
    <row r="56" spans="1:7" x14ac:dyDescent="0.2">
      <c r="A56" t="s">
        <v>13</v>
      </c>
      <c r="D56" s="16">
        <f t="shared" si="0"/>
        <v>292240686.78147662</v>
      </c>
    </row>
    <row r="57" spans="1:7" x14ac:dyDescent="0.2">
      <c r="A57" t="s">
        <v>14</v>
      </c>
      <c r="D57" s="16">
        <f t="shared" si="0"/>
        <v>306852721.12055045</v>
      </c>
    </row>
    <row r="58" spans="1:7" x14ac:dyDescent="0.2">
      <c r="A58" t="s">
        <v>15</v>
      </c>
      <c r="D58" s="16">
        <f t="shared" si="0"/>
        <v>322195357.17657799</v>
      </c>
    </row>
    <row r="59" spans="1:7" x14ac:dyDescent="0.2">
      <c r="A59" t="s">
        <v>16</v>
      </c>
      <c r="D59" s="16">
        <f t="shared" si="0"/>
        <v>338305125.03540689</v>
      </c>
    </row>
    <row r="60" spans="1:7" x14ac:dyDescent="0.2">
      <c r="A60" t="s">
        <v>17</v>
      </c>
      <c r="D60" s="16">
        <f t="shared" si="0"/>
        <v>355220381.28717726</v>
      </c>
    </row>
    <row r="61" spans="1:7" x14ac:dyDescent="0.2">
      <c r="A61" t="s">
        <v>18</v>
      </c>
      <c r="D61" s="16">
        <f t="shared" si="0"/>
        <v>372981400.35153615</v>
      </c>
    </row>
    <row r="62" spans="1:7" x14ac:dyDescent="0.2">
      <c r="A62" t="s">
        <v>19</v>
      </c>
      <c r="D62" s="16">
        <f t="shared" si="0"/>
        <v>391630470.36911297</v>
      </c>
    </row>
    <row r="63" spans="1:7" x14ac:dyDescent="0.2">
      <c r="A63" t="s">
        <v>20</v>
      </c>
      <c r="D63" s="16">
        <f t="shared" si="0"/>
        <v>411211993.88756865</v>
      </c>
    </row>
    <row r="64" spans="1:7" x14ac:dyDescent="0.2">
      <c r="A64" t="s">
        <v>21</v>
      </c>
      <c r="D64" s="16">
        <f t="shared" si="0"/>
        <v>431772593.58194709</v>
      </c>
    </row>
    <row r="65" spans="1:8" x14ac:dyDescent="0.2">
      <c r="A65" t="s">
        <v>22</v>
      </c>
      <c r="D65" s="16">
        <f t="shared" si="0"/>
        <v>453361223.26104444</v>
      </c>
    </row>
    <row r="66" spans="1:8" x14ac:dyDescent="0.2">
      <c r="A66" t="s">
        <v>23</v>
      </c>
      <c r="D66" s="16">
        <f t="shared" si="0"/>
        <v>476029284.4240967</v>
      </c>
    </row>
    <row r="67" spans="1:8" x14ac:dyDescent="0.2">
      <c r="A67" t="s">
        <v>24</v>
      </c>
      <c r="D67" s="16">
        <f t="shared" si="0"/>
        <v>499830748.64530158</v>
      </c>
    </row>
    <row r="68" spans="1:8" x14ac:dyDescent="0.2">
      <c r="D68" s="16"/>
    </row>
    <row r="69" spans="1:8" x14ac:dyDescent="0.2">
      <c r="D69" s="16"/>
    </row>
    <row r="70" spans="1:8" x14ac:dyDescent="0.2">
      <c r="D70" s="16"/>
      <c r="E70" t="s">
        <v>27</v>
      </c>
    </row>
    <row r="71" spans="1:8" x14ac:dyDescent="0.2">
      <c r="D71" s="16"/>
      <c r="E71" s="17">
        <f>+D67/D45/(1+D45)^20</f>
        <v>990947169.12575376</v>
      </c>
    </row>
    <row r="72" spans="1:8" x14ac:dyDescent="0.2">
      <c r="D72" s="16"/>
    </row>
    <row r="74" spans="1:8" x14ac:dyDescent="0.2">
      <c r="A74" s="19" t="s">
        <v>28</v>
      </c>
      <c r="B74" s="19"/>
      <c r="C74" s="19"/>
      <c r="D74" s="19"/>
      <c r="E74" s="19"/>
      <c r="F74" s="20">
        <f>NPV(D45,D48:D67)+E71</f>
        <v>3594834482.0661592</v>
      </c>
    </row>
    <row r="75" spans="1:8" x14ac:dyDescent="0.2">
      <c r="F75" s="18" t="s">
        <v>3</v>
      </c>
    </row>
    <row r="76" spans="1:8" ht="20" x14ac:dyDescent="0.2">
      <c r="A76" s="19" t="s">
        <v>37</v>
      </c>
      <c r="F76" s="22">
        <v>833100000</v>
      </c>
      <c r="G76" s="32"/>
    </row>
    <row r="77" spans="1:8" ht="16" thickBot="1" x14ac:dyDescent="0.25">
      <c r="A77" s="19" t="s">
        <v>29</v>
      </c>
      <c r="F77" s="23">
        <f>F74-F76</f>
        <v>2761734482.0661592</v>
      </c>
      <c r="G77" s="19"/>
    </row>
    <row r="78" spans="1:8" ht="16" thickTop="1" x14ac:dyDescent="0.2"/>
    <row r="79" spans="1:8" x14ac:dyDescent="0.2">
      <c r="A79" s="19" t="s">
        <v>35</v>
      </c>
      <c r="F79" s="34">
        <v>128283139</v>
      </c>
      <c r="H79">
        <f>20*605706000</f>
        <v>12114120000</v>
      </c>
    </row>
    <row r="80" spans="1:8" ht="16" thickBot="1" x14ac:dyDescent="0.25">
      <c r="H80">
        <f>H79/F79</f>
        <v>94.432675209171492</v>
      </c>
    </row>
    <row r="81" spans="1:6" ht="16" thickBot="1" x14ac:dyDescent="0.25">
      <c r="A81" s="19" t="s">
        <v>30</v>
      </c>
      <c r="F81" s="31">
        <f>F77/F79</f>
        <v>21.528429251065951</v>
      </c>
    </row>
  </sheetData>
  <pageMargins left="0.25" right="0.25" top="0.75" bottom="0.75" header="0.3" footer="0.3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2D1E-ED23-8D41-A3A4-4DE23E9C4136}">
  <sheetPr>
    <pageSetUpPr fitToPage="1"/>
  </sheetPr>
  <dimension ref="A1:K74"/>
  <sheetViews>
    <sheetView topLeftCell="A24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32047000</v>
      </c>
      <c r="G7" s="5">
        <v>10790000</v>
      </c>
      <c r="I7" s="9">
        <f>D7-G7-H7</f>
        <v>21257000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16014000</v>
      </c>
      <c r="G9" s="5">
        <v>22466000</v>
      </c>
      <c r="I9" s="9">
        <f>D9-G9-H9</f>
        <v>-6452000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21088000</v>
      </c>
      <c r="G11" s="5">
        <v>27251000</v>
      </c>
      <c r="H11" s="26">
        <v>0</v>
      </c>
      <c r="I11" s="9">
        <f>D11-G11-H11</f>
        <v>-6163000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-2852000</v>
      </c>
      <c r="G13" s="5">
        <v>1270000</v>
      </c>
      <c r="H13" s="26">
        <v>0</v>
      </c>
      <c r="I13" s="9">
        <f>D13-G13-H13</f>
        <v>-4122000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9586000</v>
      </c>
      <c r="G15" s="5">
        <v>11253000</v>
      </c>
      <c r="H15" s="26">
        <v>0</v>
      </c>
      <c r="I15" s="9">
        <f>D15-G15-H15</f>
        <v>-1667000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21609000</v>
      </c>
      <c r="G17" s="5">
        <v>12384000</v>
      </c>
      <c r="H17" s="26">
        <v>0</v>
      </c>
      <c r="I17" s="9">
        <f>D17-G17-H17</f>
        <v>9225000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13386000</v>
      </c>
      <c r="G19" s="5">
        <v>5046000</v>
      </c>
      <c r="H19" s="26">
        <v>0</v>
      </c>
      <c r="I19" s="9">
        <f>D19-G19-H19</f>
        <v>8340000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28077000</v>
      </c>
      <c r="G21" s="5">
        <v>8130000</v>
      </c>
      <c r="H21" s="26">
        <v>0</v>
      </c>
      <c r="I21" s="9">
        <f>D21-G21-H21</f>
        <v>19947000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47276000</v>
      </c>
      <c r="G23" s="5">
        <v>13634000</v>
      </c>
      <c r="I23" s="9">
        <f>D23-G23-H23</f>
        <v>33642000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64310000</v>
      </c>
      <c r="G25" s="5">
        <v>18295000</v>
      </c>
      <c r="I25" s="9">
        <f>D25-G25-H25</f>
        <v>46015000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12002200</v>
      </c>
    </row>
    <row r="29" spans="1:11" x14ac:dyDescent="0.2">
      <c r="H29" s="28" t="s">
        <v>34</v>
      </c>
      <c r="I29" s="30">
        <f>(I25/I17)^(1/5)-1</f>
        <v>0.37907095035701444</v>
      </c>
    </row>
    <row r="30" spans="1:11" x14ac:dyDescent="0.2">
      <c r="H30" s="28" t="s">
        <v>39</v>
      </c>
      <c r="I30" s="30">
        <f>(I25/I7)^(1/10)-1</f>
        <v>8.0288481253745214E-2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0.08</v>
      </c>
      <c r="E39" s="15" t="s">
        <v>3</v>
      </c>
    </row>
    <row r="41" spans="1:8" x14ac:dyDescent="0.2">
      <c r="A41" t="s">
        <v>5</v>
      </c>
      <c r="D41" s="16">
        <f>I28</f>
        <v>12002200</v>
      </c>
      <c r="E41" s="33"/>
    </row>
    <row r="42" spans="1:8" x14ac:dyDescent="0.2">
      <c r="A42" t="s">
        <v>6</v>
      </c>
      <c r="D42" s="16">
        <f t="shared" ref="D42:D60" si="0">D41*(1+D$39)</f>
        <v>12962376</v>
      </c>
      <c r="F42" t="s">
        <v>3</v>
      </c>
    </row>
    <row r="43" spans="1:8" x14ac:dyDescent="0.2">
      <c r="A43" t="s">
        <v>7</v>
      </c>
      <c r="D43" s="16">
        <f t="shared" si="0"/>
        <v>13999366.08</v>
      </c>
    </row>
    <row r="44" spans="1:8" x14ac:dyDescent="0.2">
      <c r="A44" t="s">
        <v>8</v>
      </c>
      <c r="D44" s="16">
        <f t="shared" si="0"/>
        <v>15119315.366400002</v>
      </c>
    </row>
    <row r="45" spans="1:8" x14ac:dyDescent="0.2">
      <c r="A45" t="s">
        <v>9</v>
      </c>
      <c r="D45" s="16">
        <f t="shared" si="0"/>
        <v>16328860.595712002</v>
      </c>
      <c r="G45" t="s">
        <v>33</v>
      </c>
    </row>
    <row r="46" spans="1:8" x14ac:dyDescent="0.2">
      <c r="A46" t="s">
        <v>10</v>
      </c>
      <c r="D46" s="16">
        <f t="shared" si="0"/>
        <v>17635169.443368964</v>
      </c>
    </row>
    <row r="47" spans="1:8" x14ac:dyDescent="0.2">
      <c r="A47" t="s">
        <v>11</v>
      </c>
      <c r="D47" s="16">
        <f t="shared" si="0"/>
        <v>19045982.998838481</v>
      </c>
    </row>
    <row r="48" spans="1:8" x14ac:dyDescent="0.2">
      <c r="A48" t="s">
        <v>12</v>
      </c>
      <c r="D48" s="16">
        <f t="shared" si="0"/>
        <v>20569661.638745561</v>
      </c>
    </row>
    <row r="49" spans="1:5" x14ac:dyDescent="0.2">
      <c r="A49" t="s">
        <v>13</v>
      </c>
      <c r="D49" s="16">
        <f t="shared" si="0"/>
        <v>22215234.569845207</v>
      </c>
    </row>
    <row r="50" spans="1:5" x14ac:dyDescent="0.2">
      <c r="A50" t="s">
        <v>14</v>
      </c>
      <c r="D50" s="16">
        <f t="shared" si="0"/>
        <v>23992453.335432824</v>
      </c>
    </row>
    <row r="51" spans="1:5" x14ac:dyDescent="0.2">
      <c r="A51" t="s">
        <v>15</v>
      </c>
      <c r="D51" s="16">
        <f t="shared" si="0"/>
        <v>25911849.602267452</v>
      </c>
    </row>
    <row r="52" spans="1:5" x14ac:dyDescent="0.2">
      <c r="A52" t="s">
        <v>16</v>
      </c>
      <c r="D52" s="16">
        <f t="shared" si="0"/>
        <v>27984797.570448849</v>
      </c>
    </row>
    <row r="53" spans="1:5" x14ac:dyDescent="0.2">
      <c r="A53" t="s">
        <v>17</v>
      </c>
      <c r="D53" s="16">
        <f t="shared" si="0"/>
        <v>30223581.37608476</v>
      </c>
    </row>
    <row r="54" spans="1:5" x14ac:dyDescent="0.2">
      <c r="A54" t="s">
        <v>18</v>
      </c>
      <c r="D54" s="16">
        <f t="shared" si="0"/>
        <v>32641467.886171542</v>
      </c>
    </row>
    <row r="55" spans="1:5" x14ac:dyDescent="0.2">
      <c r="A55" t="s">
        <v>19</v>
      </c>
      <c r="D55" s="16">
        <f t="shared" si="0"/>
        <v>35252785.317065269</v>
      </c>
    </row>
    <row r="56" spans="1:5" x14ac:dyDescent="0.2">
      <c r="A56" t="s">
        <v>20</v>
      </c>
      <c r="D56" s="16">
        <f t="shared" si="0"/>
        <v>38073008.142430492</v>
      </c>
    </row>
    <row r="57" spans="1:5" x14ac:dyDescent="0.2">
      <c r="A57" t="s">
        <v>21</v>
      </c>
      <c r="D57" s="16">
        <f t="shared" si="0"/>
        <v>41118848.793824933</v>
      </c>
    </row>
    <row r="58" spans="1:5" x14ac:dyDescent="0.2">
      <c r="A58" t="s">
        <v>22</v>
      </c>
      <c r="D58" s="16">
        <f t="shared" si="0"/>
        <v>44408356.697330929</v>
      </c>
    </row>
    <row r="59" spans="1:5" x14ac:dyDescent="0.2">
      <c r="A59" t="s">
        <v>23</v>
      </c>
      <c r="D59" s="16">
        <f t="shared" si="0"/>
        <v>47961025.233117409</v>
      </c>
    </row>
    <row r="60" spans="1:5" x14ac:dyDescent="0.2">
      <c r="A60" t="s">
        <v>24</v>
      </c>
      <c r="D60" s="16">
        <f t="shared" si="0"/>
        <v>51797907.251766808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102692740.88657884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304739299.4690327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0</v>
      </c>
      <c r="G69" s="32"/>
    </row>
    <row r="70" spans="1:7" ht="16" thickBot="1" x14ac:dyDescent="0.25">
      <c r="A70" s="19" t="s">
        <v>29</v>
      </c>
      <c r="F70" s="23">
        <f>F67-F69</f>
        <v>304739299.4690327</v>
      </c>
      <c r="G70" s="19"/>
    </row>
    <row r="71" spans="1:7" ht="16" thickTop="1" x14ac:dyDescent="0.2"/>
    <row r="72" spans="1:7" x14ac:dyDescent="0.2">
      <c r="A72" s="19" t="s">
        <v>35</v>
      </c>
      <c r="F72" s="27">
        <v>14006400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21.757146695013187</v>
      </c>
    </row>
  </sheetData>
  <pageMargins left="0.25" right="0.25" top="0.75" bottom="0.75" header="0.3" footer="0.3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B20F-EC19-E946-8927-CDA64507CB81}">
  <sheetPr>
    <pageSetUpPr fitToPage="1"/>
  </sheetPr>
  <dimension ref="A1:K74"/>
  <sheetViews>
    <sheetView topLeftCell="A26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1762066000</v>
      </c>
      <c r="G7" s="5">
        <v>234077000</v>
      </c>
      <c r="I7" s="9">
        <f>D7-G7-H7</f>
        <v>1527989000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1203616000</v>
      </c>
      <c r="G9" s="5">
        <v>254501000</v>
      </c>
      <c r="I9" s="9">
        <f>D9-G9-H9</f>
        <v>949115000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1474660000</v>
      </c>
      <c r="G11" s="5">
        <v>175840000</v>
      </c>
      <c r="H11" s="26">
        <v>0</v>
      </c>
      <c r="I11" s="9">
        <f>D11-G11-H11</f>
        <v>1298820000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-243223000</v>
      </c>
      <c r="G13" s="5">
        <v>169553000</v>
      </c>
      <c r="H13" s="26">
        <v>0</v>
      </c>
      <c r="I13" s="9">
        <f>D13-G13-H13</f>
        <v>-412776000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1664223000</v>
      </c>
      <c r="G15" s="5">
        <v>215776000</v>
      </c>
      <c r="H15" s="26">
        <v>0</v>
      </c>
      <c r="I15" s="9">
        <f>D15-G15-H15</f>
        <v>1448447000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874527000</v>
      </c>
      <c r="G17" s="5">
        <v>288189000</v>
      </c>
      <c r="H17" s="26">
        <v>0</v>
      </c>
      <c r="I17" s="9">
        <f>D17-G17-H17</f>
        <v>586338000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1313225000</v>
      </c>
      <c r="G19" s="5">
        <v>198658000</v>
      </c>
      <c r="H19" s="26">
        <v>0</v>
      </c>
      <c r="I19" s="9">
        <f>D19-G19-H19</f>
        <v>1114567000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864288000</v>
      </c>
      <c r="G21" s="5">
        <v>245449000</v>
      </c>
      <c r="H21" s="26">
        <v>0</v>
      </c>
      <c r="I21" s="9">
        <f>D21-G21-H21</f>
        <v>618839000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-655795000</v>
      </c>
      <c r="G23" s="5">
        <v>165925000</v>
      </c>
      <c r="I23" s="9">
        <f>D23-G23-H23</f>
        <v>-821720000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1014581000</v>
      </c>
      <c r="G25" s="5">
        <v>145818000</v>
      </c>
      <c r="I25" s="9">
        <f>D25-G25-H25</f>
        <v>868763000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717838200</v>
      </c>
    </row>
    <row r="29" spans="1:11" x14ac:dyDescent="0.2">
      <c r="H29" s="28" t="s">
        <v>34</v>
      </c>
      <c r="I29" s="30">
        <f>(I25/I15)^(1/6)-1</f>
        <v>-8.166785893643036E-2</v>
      </c>
    </row>
    <row r="30" spans="1:11" x14ac:dyDescent="0.2">
      <c r="H30" s="28" t="s">
        <v>39</v>
      </c>
      <c r="I30" s="30">
        <f>(I25/I7)^(1/10)-1</f>
        <v>-5.4899247713387611E-2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0.05</v>
      </c>
      <c r="E39" s="15" t="s">
        <v>3</v>
      </c>
    </row>
    <row r="41" spans="1:8" x14ac:dyDescent="0.2">
      <c r="A41" t="s">
        <v>5</v>
      </c>
      <c r="D41" s="16">
        <f>I28</f>
        <v>717838200</v>
      </c>
      <c r="E41" s="33"/>
    </row>
    <row r="42" spans="1:8" x14ac:dyDescent="0.2">
      <c r="A42" t="s">
        <v>6</v>
      </c>
      <c r="D42" s="16">
        <f t="shared" ref="D42:D60" si="0">D41*(1+D$39)</f>
        <v>753730110</v>
      </c>
      <c r="F42" t="s">
        <v>3</v>
      </c>
    </row>
    <row r="43" spans="1:8" x14ac:dyDescent="0.2">
      <c r="A43" t="s">
        <v>7</v>
      </c>
      <c r="D43" s="16">
        <f t="shared" si="0"/>
        <v>791416615.5</v>
      </c>
    </row>
    <row r="44" spans="1:8" x14ac:dyDescent="0.2">
      <c r="A44" t="s">
        <v>8</v>
      </c>
      <c r="D44" s="16">
        <f t="shared" si="0"/>
        <v>830987446.27499998</v>
      </c>
    </row>
    <row r="45" spans="1:8" x14ac:dyDescent="0.2">
      <c r="A45" t="s">
        <v>9</v>
      </c>
      <c r="D45" s="16">
        <f t="shared" si="0"/>
        <v>872536818.58875</v>
      </c>
      <c r="G45" t="s">
        <v>33</v>
      </c>
    </row>
    <row r="46" spans="1:8" x14ac:dyDescent="0.2">
      <c r="A46" t="s">
        <v>10</v>
      </c>
      <c r="D46" s="16">
        <f t="shared" si="0"/>
        <v>916163659.51818752</v>
      </c>
    </row>
    <row r="47" spans="1:8" x14ac:dyDescent="0.2">
      <c r="A47" t="s">
        <v>11</v>
      </c>
      <c r="D47" s="16">
        <f t="shared" si="0"/>
        <v>961971842.49409699</v>
      </c>
    </row>
    <row r="48" spans="1:8" x14ac:dyDescent="0.2">
      <c r="A48" t="s">
        <v>12</v>
      </c>
      <c r="D48" s="16">
        <f t="shared" si="0"/>
        <v>1010070434.6188018</v>
      </c>
    </row>
    <row r="49" spans="1:5" x14ac:dyDescent="0.2">
      <c r="A49" t="s">
        <v>13</v>
      </c>
      <c r="D49" s="16">
        <f t="shared" si="0"/>
        <v>1060573956.3497419</v>
      </c>
    </row>
    <row r="50" spans="1:5" x14ac:dyDescent="0.2">
      <c r="A50" t="s">
        <v>14</v>
      </c>
      <c r="D50" s="16">
        <f t="shared" si="0"/>
        <v>1113602654.1672292</v>
      </c>
    </row>
    <row r="51" spans="1:5" x14ac:dyDescent="0.2">
      <c r="A51" t="s">
        <v>15</v>
      </c>
      <c r="D51" s="16">
        <f t="shared" si="0"/>
        <v>1169282786.8755908</v>
      </c>
    </row>
    <row r="52" spans="1:5" x14ac:dyDescent="0.2">
      <c r="A52" t="s">
        <v>16</v>
      </c>
      <c r="D52" s="16">
        <f t="shared" si="0"/>
        <v>1227746926.2193704</v>
      </c>
    </row>
    <row r="53" spans="1:5" x14ac:dyDescent="0.2">
      <c r="A53" t="s">
        <v>17</v>
      </c>
      <c r="D53" s="16">
        <f t="shared" si="0"/>
        <v>1289134272.530339</v>
      </c>
    </row>
    <row r="54" spans="1:5" x14ac:dyDescent="0.2">
      <c r="A54" t="s">
        <v>18</v>
      </c>
      <c r="D54" s="16">
        <f t="shared" si="0"/>
        <v>1353590986.1568561</v>
      </c>
    </row>
    <row r="55" spans="1:5" x14ac:dyDescent="0.2">
      <c r="A55" t="s">
        <v>19</v>
      </c>
      <c r="D55" s="16">
        <f t="shared" si="0"/>
        <v>1421270535.464699</v>
      </c>
    </row>
    <row r="56" spans="1:5" x14ac:dyDescent="0.2">
      <c r="A56" t="s">
        <v>20</v>
      </c>
      <c r="D56" s="16">
        <f t="shared" si="0"/>
        <v>1492334062.2379341</v>
      </c>
    </row>
    <row r="57" spans="1:5" x14ac:dyDescent="0.2">
      <c r="A57" t="s">
        <v>21</v>
      </c>
      <c r="D57" s="16">
        <f t="shared" si="0"/>
        <v>1566950765.3498309</v>
      </c>
    </row>
    <row r="58" spans="1:5" x14ac:dyDescent="0.2">
      <c r="A58" t="s">
        <v>22</v>
      </c>
      <c r="D58" s="16">
        <f t="shared" si="0"/>
        <v>1645298303.6173224</v>
      </c>
    </row>
    <row r="59" spans="1:5" x14ac:dyDescent="0.2">
      <c r="A59" t="s">
        <v>23</v>
      </c>
      <c r="D59" s="16">
        <f t="shared" si="0"/>
        <v>1727563218.7981887</v>
      </c>
    </row>
    <row r="60" spans="1:5" x14ac:dyDescent="0.2">
      <c r="A60" t="s">
        <v>24</v>
      </c>
      <c r="D60" s="16">
        <f t="shared" si="0"/>
        <v>1813941379.7380981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3596257493.3282447</v>
      </c>
    </row>
    <row r="65" spans="1:8" x14ac:dyDescent="0.2">
      <c r="D65" s="16"/>
    </row>
    <row r="67" spans="1:8" x14ac:dyDescent="0.2">
      <c r="A67" s="19" t="s">
        <v>28</v>
      </c>
      <c r="B67" s="19"/>
      <c r="C67" s="19"/>
      <c r="D67" s="19"/>
      <c r="E67" s="19"/>
      <c r="F67" s="20">
        <f>NPV(D38,D41:D60)+E64</f>
        <v>13046054165.340261</v>
      </c>
    </row>
    <row r="68" spans="1:8" x14ac:dyDescent="0.2">
      <c r="F68" s="18" t="s">
        <v>3</v>
      </c>
    </row>
    <row r="69" spans="1:8" ht="20" x14ac:dyDescent="0.2">
      <c r="A69" s="19" t="s">
        <v>37</v>
      </c>
      <c r="F69" s="22">
        <f>5686846000-1500000000</f>
        <v>4186846000</v>
      </c>
      <c r="G69" s="32"/>
    </row>
    <row r="70" spans="1:8" ht="16" thickBot="1" x14ac:dyDescent="0.25">
      <c r="A70" s="19" t="s">
        <v>29</v>
      </c>
      <c r="F70" s="23">
        <f>F67-F69</f>
        <v>8859208165.3402615</v>
      </c>
      <c r="G70" s="19"/>
    </row>
    <row r="71" spans="1:8" ht="16" thickTop="1" x14ac:dyDescent="0.2">
      <c r="H71" s="35">
        <f>2515978/F72</f>
        <v>6.4705340630832539E-3</v>
      </c>
    </row>
    <row r="72" spans="1:8" x14ac:dyDescent="0.2">
      <c r="A72" s="19" t="s">
        <v>35</v>
      </c>
      <c r="F72" s="34">
        <v>388836219</v>
      </c>
    </row>
    <row r="73" spans="1:8" ht="16" thickBot="1" x14ac:dyDescent="0.25"/>
    <row r="74" spans="1:8" ht="16" thickBot="1" x14ac:dyDescent="0.25">
      <c r="A74" s="19" t="s">
        <v>30</v>
      </c>
      <c r="F74" s="31">
        <f>F70/F72</f>
        <v>22.783906777316599</v>
      </c>
    </row>
  </sheetData>
  <pageMargins left="0.25" right="0.25" top="0.75" bottom="0.75" header="0.3" footer="0.3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D3F-5E6B-CB48-B7E5-F8942C029C76}">
  <sheetPr>
    <pageSetUpPr fitToPage="1"/>
  </sheetPr>
  <dimension ref="A1:K74"/>
  <sheetViews>
    <sheetView topLeftCell="A48"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312480000</v>
      </c>
      <c r="G7" s="5">
        <v>174624000</v>
      </c>
      <c r="I7" s="9">
        <f>D7-G7-H7</f>
        <v>137856000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310009000</v>
      </c>
      <c r="G9" s="5">
        <v>143199000</v>
      </c>
      <c r="I9" s="9">
        <f>D9-G9-H9</f>
        <v>166810000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185169000</v>
      </c>
      <c r="G11" s="5">
        <v>140844000</v>
      </c>
      <c r="H11" s="26">
        <v>0</v>
      </c>
      <c r="I11" s="9">
        <f>D11-G11-H11</f>
        <v>44325000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287658000</v>
      </c>
      <c r="G13" s="5">
        <v>107001000</v>
      </c>
      <c r="H13" s="26">
        <v>0</v>
      </c>
      <c r="I13" s="9">
        <f>D13-G13-H13</f>
        <v>180657000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352933000</v>
      </c>
      <c r="G15" s="5">
        <v>152393000</v>
      </c>
      <c r="H15" s="26">
        <v>0</v>
      </c>
      <c r="I15" s="9">
        <f>D15-G15-H15</f>
        <v>200540000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300685000</v>
      </c>
      <c r="G17" s="5">
        <v>202784000</v>
      </c>
      <c r="H17" s="26">
        <v>0</v>
      </c>
      <c r="I17" s="9">
        <f>D17-G17-H17</f>
        <v>97901000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404918000</v>
      </c>
      <c r="G19" s="5">
        <v>101910000</v>
      </c>
      <c r="H19" s="26">
        <v>0</v>
      </c>
      <c r="I19" s="9">
        <f>D19-G19-H19</f>
        <v>303008000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277782000</v>
      </c>
      <c r="G21" s="5">
        <v>96979000</v>
      </c>
      <c r="H21" s="26">
        <v>0</v>
      </c>
      <c r="I21" s="9">
        <f>D21-G21-H21</f>
        <v>180803000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-2343000</v>
      </c>
      <c r="G23" s="5">
        <v>164566000</v>
      </c>
      <c r="I23" s="9">
        <f>D23-G23-H23</f>
        <v>-166909000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653422000</v>
      </c>
      <c r="G25" s="5">
        <v>157797000</v>
      </c>
      <c r="I25" s="9">
        <f>D25-G25-H25</f>
        <v>495625000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164061600</v>
      </c>
    </row>
    <row r="29" spans="1:11" x14ac:dyDescent="0.2">
      <c r="H29" s="28" t="s">
        <v>34</v>
      </c>
      <c r="I29" s="30">
        <f>(I25/I15)^(1/6)-1</f>
        <v>0.16276521847408421</v>
      </c>
    </row>
    <row r="30" spans="1:11" x14ac:dyDescent="0.2">
      <c r="H30" s="28" t="s">
        <v>39</v>
      </c>
      <c r="I30" s="30">
        <f>(I25/I7)^(1/10)-1</f>
        <v>0.1365086700722864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0.14000000000000001</v>
      </c>
      <c r="E39" s="15" t="s">
        <v>3</v>
      </c>
    </row>
    <row r="41" spans="1:8" x14ac:dyDescent="0.2">
      <c r="A41" t="s">
        <v>5</v>
      </c>
      <c r="D41" s="16">
        <f>I28</f>
        <v>164061600</v>
      </c>
      <c r="E41" s="33"/>
    </row>
    <row r="42" spans="1:8" x14ac:dyDescent="0.2">
      <c r="A42" t="s">
        <v>6</v>
      </c>
      <c r="D42" s="16">
        <f t="shared" ref="D42:D60" si="0">D41*(1+D$39)</f>
        <v>187030224.00000003</v>
      </c>
      <c r="F42" t="s">
        <v>3</v>
      </c>
    </row>
    <row r="43" spans="1:8" x14ac:dyDescent="0.2">
      <c r="A43" t="s">
        <v>7</v>
      </c>
      <c r="D43" s="16">
        <f t="shared" si="0"/>
        <v>213214455.36000004</v>
      </c>
    </row>
    <row r="44" spans="1:8" x14ac:dyDescent="0.2">
      <c r="A44" t="s">
        <v>8</v>
      </c>
      <c r="D44" s="16">
        <f t="shared" si="0"/>
        <v>243064479.11040008</v>
      </c>
    </row>
    <row r="45" spans="1:8" x14ac:dyDescent="0.2">
      <c r="A45" t="s">
        <v>9</v>
      </c>
      <c r="D45" s="16">
        <f t="shared" si="0"/>
        <v>277093506.1858561</v>
      </c>
      <c r="G45" t="s">
        <v>33</v>
      </c>
    </row>
    <row r="46" spans="1:8" x14ac:dyDescent="0.2">
      <c r="A46" t="s">
        <v>10</v>
      </c>
      <c r="D46" s="16">
        <f t="shared" si="0"/>
        <v>315886597.05187601</v>
      </c>
    </row>
    <row r="47" spans="1:8" x14ac:dyDescent="0.2">
      <c r="A47" t="s">
        <v>11</v>
      </c>
      <c r="D47" s="16">
        <f t="shared" si="0"/>
        <v>360110720.6391387</v>
      </c>
    </row>
    <row r="48" spans="1:8" x14ac:dyDescent="0.2">
      <c r="A48" t="s">
        <v>12</v>
      </c>
      <c r="D48" s="16">
        <f t="shared" si="0"/>
        <v>410526221.52861816</v>
      </c>
    </row>
    <row r="49" spans="1:5" x14ac:dyDescent="0.2">
      <c r="A49" t="s">
        <v>13</v>
      </c>
      <c r="D49" s="16">
        <f t="shared" si="0"/>
        <v>467999892.54262477</v>
      </c>
    </row>
    <row r="50" spans="1:5" x14ac:dyDescent="0.2">
      <c r="A50" t="s">
        <v>14</v>
      </c>
      <c r="D50" s="16">
        <f t="shared" si="0"/>
        <v>533519877.49859232</v>
      </c>
    </row>
    <row r="51" spans="1:5" x14ac:dyDescent="0.2">
      <c r="A51" t="s">
        <v>15</v>
      </c>
      <c r="D51" s="16">
        <f t="shared" si="0"/>
        <v>608212660.34839535</v>
      </c>
    </row>
    <row r="52" spans="1:5" x14ac:dyDescent="0.2">
      <c r="A52" t="s">
        <v>16</v>
      </c>
      <c r="D52" s="16">
        <f t="shared" si="0"/>
        <v>693362432.79717076</v>
      </c>
    </row>
    <row r="53" spans="1:5" x14ac:dyDescent="0.2">
      <c r="A53" t="s">
        <v>17</v>
      </c>
      <c r="D53" s="16">
        <f t="shared" si="0"/>
        <v>790433173.38877475</v>
      </c>
    </row>
    <row r="54" spans="1:5" x14ac:dyDescent="0.2">
      <c r="A54" t="s">
        <v>18</v>
      </c>
      <c r="D54" s="16">
        <f t="shared" si="0"/>
        <v>901093817.66320336</v>
      </c>
    </row>
    <row r="55" spans="1:5" x14ac:dyDescent="0.2">
      <c r="A55" t="s">
        <v>19</v>
      </c>
      <c r="D55" s="16">
        <f t="shared" si="0"/>
        <v>1027246952.1360519</v>
      </c>
    </row>
    <row r="56" spans="1:5" x14ac:dyDescent="0.2">
      <c r="A56" t="s">
        <v>20</v>
      </c>
      <c r="D56" s="16">
        <f t="shared" si="0"/>
        <v>1171061525.4350994</v>
      </c>
    </row>
    <row r="57" spans="1:5" x14ac:dyDescent="0.2">
      <c r="A57" t="s">
        <v>21</v>
      </c>
      <c r="D57" s="16">
        <f t="shared" si="0"/>
        <v>1335010138.9960134</v>
      </c>
    </row>
    <row r="58" spans="1:5" x14ac:dyDescent="0.2">
      <c r="A58" t="s">
        <v>22</v>
      </c>
      <c r="D58" s="16">
        <f t="shared" si="0"/>
        <v>1521911558.4554555</v>
      </c>
    </row>
    <row r="59" spans="1:5" x14ac:dyDescent="0.2">
      <c r="A59" t="s">
        <v>23</v>
      </c>
      <c r="D59" s="16">
        <f t="shared" si="0"/>
        <v>1734979176.6392195</v>
      </c>
    </row>
    <row r="60" spans="1:5" x14ac:dyDescent="0.2">
      <c r="A60" t="s">
        <v>24</v>
      </c>
      <c r="D60" s="16">
        <f t="shared" si="0"/>
        <v>1977876261.3687105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3921269124.3915863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8686481367.6431122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957426000</v>
      </c>
      <c r="G69" s="32"/>
    </row>
    <row r="70" spans="1:7" ht="16" thickBot="1" x14ac:dyDescent="0.25">
      <c r="A70" s="19" t="s">
        <v>29</v>
      </c>
      <c r="F70" s="23">
        <f>F67-F69</f>
        <v>7729055367.6431122</v>
      </c>
      <c r="G70" s="19"/>
    </row>
    <row r="71" spans="1:7" ht="16" thickTop="1" x14ac:dyDescent="0.2"/>
    <row r="72" spans="1:7" x14ac:dyDescent="0.2">
      <c r="A72" s="19" t="s">
        <v>35</v>
      </c>
      <c r="F72" s="34">
        <v>51105328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151.23776072121311</v>
      </c>
    </row>
  </sheetData>
  <pageMargins left="0.25" right="0.25" top="0.75" bottom="0.75" header="0.3" footer="0.3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96E3-A0C2-CE41-9052-E2CBD64761E6}">
  <sheetPr>
    <pageSetUpPr fitToPage="1"/>
  </sheetPr>
  <dimension ref="A1:K81"/>
  <sheetViews>
    <sheetView workbookViewId="0">
      <selection activeCell="D47" sqref="D47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31521573</v>
      </c>
      <c r="E6" s="7"/>
      <c r="G6" s="5">
        <v>2391101</v>
      </c>
      <c r="I6" s="9">
        <f t="shared" ref="I6:I12" si="0">D6-G6-H6</f>
        <v>29130472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18296200</v>
      </c>
      <c r="G8" s="5">
        <v>3998129</v>
      </c>
      <c r="I8" s="9">
        <f t="shared" si="0"/>
        <v>14298071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10146000</v>
      </c>
      <c r="G10" s="5">
        <v>2219000</v>
      </c>
      <c r="I10" s="9">
        <f t="shared" si="0"/>
        <v>7927000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8659000</v>
      </c>
      <c r="G12" s="5">
        <v>1750000</v>
      </c>
      <c r="I12" s="9">
        <f t="shared" si="0"/>
        <v>6909000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-4072000</v>
      </c>
      <c r="G14" s="5">
        <v>4571000</v>
      </c>
      <c r="I14" s="9">
        <f>D14-G14-H14</f>
        <v>-8643000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18235000</v>
      </c>
      <c r="G16" s="5">
        <v>2362000</v>
      </c>
      <c r="I16" s="9">
        <f>D16-G16-H16</f>
        <v>15873000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30145000</v>
      </c>
      <c r="G18" s="5">
        <v>6522000</v>
      </c>
      <c r="H18" s="26">
        <v>0</v>
      </c>
      <c r="I18" s="9">
        <f>D18-G18-H18</f>
        <v>23623000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45508000</v>
      </c>
      <c r="G20" s="5">
        <v>5111000</v>
      </c>
      <c r="H20" s="26">
        <v>0</v>
      </c>
      <c r="I20" s="9">
        <f>D20-G20-H20</f>
        <v>40397000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20997000</v>
      </c>
      <c r="G22" s="5">
        <v>4597000</v>
      </c>
      <c r="H22" s="26">
        <v>0</v>
      </c>
      <c r="I22" s="9">
        <f>D22-G22-H22</f>
        <v>16400000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5542000</v>
      </c>
      <c r="G24" s="5">
        <v>2940000</v>
      </c>
      <c r="H24" s="26">
        <v>0</v>
      </c>
      <c r="I24" s="9">
        <f>D24-G24-H24</f>
        <v>2602000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27204000</v>
      </c>
      <c r="G26" s="5">
        <v>4615000</v>
      </c>
      <c r="H26" s="26">
        <v>0</v>
      </c>
      <c r="I26" s="9">
        <f>D26-G26-H26</f>
        <v>22589000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-85618000</v>
      </c>
      <c r="G28" s="5">
        <v>7170000</v>
      </c>
      <c r="H28" s="26">
        <v>0</v>
      </c>
      <c r="I28" s="9">
        <f>D28-G28-H28</f>
        <v>-92788000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134050000</v>
      </c>
      <c r="G30" s="5">
        <v>8786000</v>
      </c>
      <c r="I30" s="9">
        <f>D30-G30-H30</f>
        <v>125264000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248498000</v>
      </c>
      <c r="G32" s="5">
        <v>13974000</v>
      </c>
      <c r="I32" s="9">
        <f>D32-G32-H32</f>
        <v>234524000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37984100</v>
      </c>
    </row>
    <row r="36" spans="1:9" x14ac:dyDescent="0.2">
      <c r="H36" s="28" t="s">
        <v>34</v>
      </c>
      <c r="I36" s="30">
        <f>(I32/I22)^(1/6)-1</f>
        <v>0.55796336368260135</v>
      </c>
    </row>
    <row r="37" spans="1:9" x14ac:dyDescent="0.2">
      <c r="H37" s="28" t="s">
        <v>42</v>
      </c>
      <c r="I37" s="30">
        <f>(I32/I12)^(1/11)-1</f>
        <v>0.37772043467462346</v>
      </c>
    </row>
    <row r="38" spans="1:9" x14ac:dyDescent="0.2">
      <c r="H38" s="28" t="s">
        <v>43</v>
      </c>
      <c r="I38" s="30">
        <f>(I32/I6)^(1/14)-1</f>
        <v>0.16065418264523501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</v>
      </c>
      <c r="E46" s="15" t="s">
        <v>3</v>
      </c>
    </row>
    <row r="48" spans="1:9" x14ac:dyDescent="0.2">
      <c r="A48" t="s">
        <v>5</v>
      </c>
      <c r="D48" s="16">
        <f>I35</f>
        <v>37984100</v>
      </c>
      <c r="E48" s="33"/>
    </row>
    <row r="49" spans="1:7" x14ac:dyDescent="0.2">
      <c r="A49" t="s">
        <v>6</v>
      </c>
      <c r="D49" s="16">
        <f t="shared" ref="D49:D67" si="1">D48*(1+D$46)</f>
        <v>37984100</v>
      </c>
      <c r="F49" t="s">
        <v>3</v>
      </c>
    </row>
    <row r="50" spans="1:7" x14ac:dyDescent="0.2">
      <c r="A50" t="s">
        <v>7</v>
      </c>
      <c r="D50" s="16">
        <f t="shared" si="1"/>
        <v>37984100</v>
      </c>
    </row>
    <row r="51" spans="1:7" x14ac:dyDescent="0.2">
      <c r="A51" t="s">
        <v>8</v>
      </c>
      <c r="D51" s="16">
        <f t="shared" si="1"/>
        <v>37984100</v>
      </c>
    </row>
    <row r="52" spans="1:7" x14ac:dyDescent="0.2">
      <c r="A52" t="s">
        <v>9</v>
      </c>
      <c r="D52" s="16">
        <f t="shared" si="1"/>
        <v>37984100</v>
      </c>
      <c r="G52" t="s">
        <v>33</v>
      </c>
    </row>
    <row r="53" spans="1:7" x14ac:dyDescent="0.2">
      <c r="A53" t="s">
        <v>10</v>
      </c>
      <c r="D53" s="16">
        <f t="shared" si="1"/>
        <v>37984100</v>
      </c>
    </row>
    <row r="54" spans="1:7" x14ac:dyDescent="0.2">
      <c r="A54" t="s">
        <v>11</v>
      </c>
      <c r="D54" s="16">
        <f t="shared" si="1"/>
        <v>37984100</v>
      </c>
    </row>
    <row r="55" spans="1:7" x14ac:dyDescent="0.2">
      <c r="A55" t="s">
        <v>12</v>
      </c>
      <c r="D55" s="16">
        <f t="shared" si="1"/>
        <v>37984100</v>
      </c>
    </row>
    <row r="56" spans="1:7" x14ac:dyDescent="0.2">
      <c r="A56" t="s">
        <v>13</v>
      </c>
      <c r="D56" s="16">
        <f t="shared" si="1"/>
        <v>37984100</v>
      </c>
    </row>
    <row r="57" spans="1:7" x14ac:dyDescent="0.2">
      <c r="A57" t="s">
        <v>14</v>
      </c>
      <c r="D57" s="16">
        <f t="shared" si="1"/>
        <v>37984100</v>
      </c>
    </row>
    <row r="58" spans="1:7" x14ac:dyDescent="0.2">
      <c r="A58" t="s">
        <v>15</v>
      </c>
      <c r="D58" s="16">
        <f t="shared" si="1"/>
        <v>37984100</v>
      </c>
    </row>
    <row r="59" spans="1:7" x14ac:dyDescent="0.2">
      <c r="A59" t="s">
        <v>16</v>
      </c>
      <c r="D59" s="16">
        <f t="shared" si="1"/>
        <v>37984100</v>
      </c>
    </row>
    <row r="60" spans="1:7" x14ac:dyDescent="0.2">
      <c r="A60" t="s">
        <v>17</v>
      </c>
      <c r="D60" s="16">
        <f t="shared" si="1"/>
        <v>37984100</v>
      </c>
    </row>
    <row r="61" spans="1:7" x14ac:dyDescent="0.2">
      <c r="A61" t="s">
        <v>18</v>
      </c>
      <c r="D61" s="16">
        <f t="shared" si="1"/>
        <v>37984100</v>
      </c>
    </row>
    <row r="62" spans="1:7" x14ac:dyDescent="0.2">
      <c r="A62" t="s">
        <v>19</v>
      </c>
      <c r="D62" s="16">
        <f t="shared" si="1"/>
        <v>37984100</v>
      </c>
    </row>
    <row r="63" spans="1:7" x14ac:dyDescent="0.2">
      <c r="A63" t="s">
        <v>20</v>
      </c>
      <c r="D63" s="16">
        <f t="shared" si="1"/>
        <v>37984100</v>
      </c>
    </row>
    <row r="64" spans="1:7" x14ac:dyDescent="0.2">
      <c r="A64" t="s">
        <v>21</v>
      </c>
      <c r="D64" s="16">
        <f t="shared" si="1"/>
        <v>37984100</v>
      </c>
    </row>
    <row r="65" spans="1:8" x14ac:dyDescent="0.2">
      <c r="A65" t="s">
        <v>22</v>
      </c>
      <c r="D65" s="16">
        <f t="shared" si="1"/>
        <v>37984100</v>
      </c>
      <c r="H65">
        <f>4270884/F79</f>
        <v>0.12632533546927838</v>
      </c>
    </row>
    <row r="66" spans="1:8" x14ac:dyDescent="0.2">
      <c r="A66" t="s">
        <v>23</v>
      </c>
      <c r="D66" s="16">
        <f t="shared" si="1"/>
        <v>37984100</v>
      </c>
    </row>
    <row r="67" spans="1:8" x14ac:dyDescent="0.2">
      <c r="A67" t="s">
        <v>24</v>
      </c>
      <c r="D67" s="16">
        <f t="shared" si="1"/>
        <v>37984100</v>
      </c>
    </row>
    <row r="68" spans="1:8" x14ac:dyDescent="0.2">
      <c r="D68" s="16"/>
    </row>
    <row r="69" spans="1:8" x14ac:dyDescent="0.2">
      <c r="D69" s="16"/>
    </row>
    <row r="70" spans="1:8" x14ac:dyDescent="0.2">
      <c r="D70" s="16"/>
      <c r="E70" t="s">
        <v>27</v>
      </c>
    </row>
    <row r="71" spans="1:8" x14ac:dyDescent="0.2">
      <c r="D71" s="16"/>
      <c r="E71" s="17">
        <f>+D67/D45/(1+D45)^20</f>
        <v>75305964.006429002</v>
      </c>
    </row>
    <row r="72" spans="1:8" x14ac:dyDescent="0.2">
      <c r="D72" s="16"/>
    </row>
    <row r="74" spans="1:8" x14ac:dyDescent="0.2">
      <c r="A74" s="19" t="s">
        <v>28</v>
      </c>
      <c r="B74" s="19"/>
      <c r="C74" s="19"/>
      <c r="D74" s="19"/>
      <c r="E74" s="19"/>
      <c r="F74" s="20">
        <f>NPV(D45,D48:D67)+E71</f>
        <v>422045555.55555534</v>
      </c>
    </row>
    <row r="75" spans="1:8" x14ac:dyDescent="0.2">
      <c r="F75" s="18" t="s">
        <v>3</v>
      </c>
    </row>
    <row r="76" spans="1:8" ht="20" x14ac:dyDescent="0.2">
      <c r="A76" s="19" t="s">
        <v>37</v>
      </c>
      <c r="F76" s="22">
        <v>0</v>
      </c>
      <c r="G76" s="32"/>
    </row>
    <row r="77" spans="1:8" ht="16" thickBot="1" x14ac:dyDescent="0.25">
      <c r="A77" s="19" t="s">
        <v>29</v>
      </c>
      <c r="F77" s="23">
        <f>F74-F76</f>
        <v>422045555.55555534</v>
      </c>
      <c r="G77" s="19"/>
    </row>
    <row r="78" spans="1:8" ht="16" thickTop="1" x14ac:dyDescent="0.2"/>
    <row r="79" spans="1:8" x14ac:dyDescent="0.2">
      <c r="A79" s="19" t="s">
        <v>35</v>
      </c>
      <c r="F79" s="34">
        <v>33808610</v>
      </c>
    </row>
    <row r="80" spans="1:8" ht="16" thickBot="1" x14ac:dyDescent="0.25"/>
    <row r="81" spans="1:6" ht="16" thickBot="1" x14ac:dyDescent="0.25">
      <c r="A81" s="19" t="s">
        <v>30</v>
      </c>
      <c r="F81" s="31">
        <f>F77/F79</f>
        <v>12.483374961453764</v>
      </c>
    </row>
  </sheetData>
  <pageMargins left="0.25" right="0.25" top="0.75" bottom="0.75" header="0.3" footer="0.3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16C8-D087-C04B-8FBB-323B0DB84D14}">
  <sheetPr>
    <pageSetUpPr fitToPage="1"/>
  </sheetPr>
  <dimension ref="A1:P82"/>
  <sheetViews>
    <sheetView tabSelected="1" topLeftCell="A34" workbookViewId="0">
      <selection activeCell="I35" sqref="I35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  <col min="14" max="14" width="20.6640625" customWidth="1"/>
  </cols>
  <sheetData>
    <row r="1" spans="1:14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4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  <c r="N5" s="25" t="s">
        <v>31</v>
      </c>
    </row>
    <row r="6" spans="1:14" x14ac:dyDescent="0.2">
      <c r="A6" s="3">
        <v>2010</v>
      </c>
      <c r="C6" s="7"/>
      <c r="D6" s="5">
        <v>8089000</v>
      </c>
      <c r="E6" s="7"/>
      <c r="G6" s="5">
        <v>4168000</v>
      </c>
      <c r="H6" s="5"/>
      <c r="I6" s="9">
        <f t="shared" ref="I6:I12" si="0">D6-G6-H6</f>
        <v>3921000</v>
      </c>
      <c r="N6" s="5">
        <v>0</v>
      </c>
    </row>
    <row r="7" spans="1:14" x14ac:dyDescent="0.2">
      <c r="A7" s="3"/>
      <c r="D7" s="5"/>
      <c r="G7" s="5"/>
      <c r="H7" s="5"/>
      <c r="I7" s="9"/>
      <c r="K7" s="3"/>
      <c r="N7" s="5"/>
    </row>
    <row r="8" spans="1:14" x14ac:dyDescent="0.2">
      <c r="A8" s="3">
        <v>2011</v>
      </c>
      <c r="D8" s="5">
        <v>19312000</v>
      </c>
      <c r="G8" s="5">
        <v>4648000</v>
      </c>
      <c r="H8" s="5"/>
      <c r="I8" s="9">
        <f t="shared" si="0"/>
        <v>14664000</v>
      </c>
      <c r="K8" s="3"/>
      <c r="N8" s="5">
        <v>0</v>
      </c>
    </row>
    <row r="9" spans="1:14" x14ac:dyDescent="0.2">
      <c r="A9" s="3"/>
      <c r="D9" s="5"/>
      <c r="G9" s="5"/>
      <c r="H9" s="5"/>
      <c r="I9" s="9"/>
      <c r="K9" s="10"/>
      <c r="N9" s="5"/>
    </row>
    <row r="10" spans="1:14" x14ac:dyDescent="0.2">
      <c r="A10" s="3">
        <v>2012</v>
      </c>
      <c r="D10" s="5">
        <v>58380000</v>
      </c>
      <c r="G10" s="5">
        <v>5472000</v>
      </c>
      <c r="H10" s="5"/>
      <c r="I10" s="9">
        <f t="shared" si="0"/>
        <v>52908000</v>
      </c>
      <c r="K10" s="10"/>
      <c r="N10" s="5">
        <v>0</v>
      </c>
    </row>
    <row r="11" spans="1:14" x14ac:dyDescent="0.2">
      <c r="A11" s="36"/>
      <c r="D11" s="5"/>
      <c r="G11" s="5"/>
      <c r="H11" s="5"/>
      <c r="I11" s="9"/>
      <c r="K11" s="10"/>
      <c r="N11" s="5"/>
    </row>
    <row r="12" spans="1:14" x14ac:dyDescent="0.2">
      <c r="A12" s="3">
        <v>2013</v>
      </c>
      <c r="D12" s="5">
        <v>60169000</v>
      </c>
      <c r="G12" s="5">
        <v>9047000</v>
      </c>
      <c r="H12" s="5"/>
      <c r="I12" s="9">
        <f t="shared" si="0"/>
        <v>51122000</v>
      </c>
      <c r="K12" s="10"/>
      <c r="N12" s="5">
        <v>39500000</v>
      </c>
    </row>
    <row r="13" spans="1:14" x14ac:dyDescent="0.2">
      <c r="A13" s="3"/>
      <c r="D13" s="5"/>
      <c r="G13" s="5"/>
      <c r="H13" s="5"/>
      <c r="I13" s="9"/>
      <c r="K13" s="10"/>
      <c r="N13" s="5"/>
    </row>
    <row r="14" spans="1:14" x14ac:dyDescent="0.2">
      <c r="A14" s="3">
        <v>2014</v>
      </c>
      <c r="D14" s="5">
        <v>27678000</v>
      </c>
      <c r="G14" s="5">
        <v>19134000</v>
      </c>
      <c r="H14" s="5"/>
      <c r="I14" s="9">
        <f>D14-G14-H14</f>
        <v>8544000</v>
      </c>
      <c r="K14" s="10"/>
      <c r="N14" s="5">
        <v>14470000</v>
      </c>
    </row>
    <row r="15" spans="1:14" x14ac:dyDescent="0.2">
      <c r="A15" s="3"/>
      <c r="D15" s="5"/>
      <c r="G15" s="5"/>
      <c r="H15" s="5"/>
      <c r="I15" s="9"/>
      <c r="K15" s="21"/>
      <c r="N15" s="5"/>
    </row>
    <row r="16" spans="1:14" x14ac:dyDescent="0.2">
      <c r="A16" s="3">
        <v>2015</v>
      </c>
      <c r="D16" s="5">
        <v>56313000</v>
      </c>
      <c r="G16" s="5">
        <v>27010000</v>
      </c>
      <c r="H16" s="5"/>
      <c r="I16" s="9">
        <f>D16-G16-H16</f>
        <v>29303000</v>
      </c>
      <c r="K16" s="21"/>
      <c r="N16" s="5">
        <v>84081000</v>
      </c>
    </row>
    <row r="17" spans="1:14" x14ac:dyDescent="0.2">
      <c r="A17" s="3"/>
      <c r="D17" s="5"/>
      <c r="G17" s="5"/>
      <c r="H17" s="5"/>
      <c r="I17" s="9"/>
      <c r="K17" s="21"/>
      <c r="N17" s="5"/>
    </row>
    <row r="18" spans="1:14" x14ac:dyDescent="0.2">
      <c r="A18" s="3">
        <v>2016</v>
      </c>
      <c r="D18" s="5">
        <v>133909000</v>
      </c>
      <c r="G18" s="5">
        <v>21956000</v>
      </c>
      <c r="H18" s="5"/>
      <c r="I18" s="9">
        <f>D18-G18-H18</f>
        <v>111953000</v>
      </c>
      <c r="N18" s="5">
        <v>216494000</v>
      </c>
    </row>
    <row r="19" spans="1:14" x14ac:dyDescent="0.2">
      <c r="A19" s="3"/>
      <c r="D19" s="5"/>
      <c r="G19" s="5"/>
      <c r="H19" s="5"/>
      <c r="K19" s="12"/>
      <c r="N19" s="5"/>
    </row>
    <row r="20" spans="1:14" x14ac:dyDescent="0.2">
      <c r="A20" s="3">
        <v>2017</v>
      </c>
      <c r="D20" s="5">
        <v>160518000</v>
      </c>
      <c r="G20" s="5">
        <v>26529000</v>
      </c>
      <c r="H20" s="5"/>
      <c r="I20" s="9">
        <f>D20-G20-H20</f>
        <v>133989000</v>
      </c>
      <c r="J20" t="s">
        <v>3</v>
      </c>
      <c r="K20" s="11" t="s">
        <v>3</v>
      </c>
      <c r="N20" s="5">
        <v>0</v>
      </c>
    </row>
    <row r="21" spans="1:14" x14ac:dyDescent="0.2">
      <c r="A21" s="3"/>
      <c r="D21" s="5"/>
      <c r="G21" s="5"/>
      <c r="H21" s="5"/>
      <c r="I21" s="9" t="s">
        <v>3</v>
      </c>
      <c r="N21" s="5"/>
    </row>
    <row r="22" spans="1:14" x14ac:dyDescent="0.2">
      <c r="A22" s="3">
        <v>2018</v>
      </c>
      <c r="D22" s="5">
        <v>226993000</v>
      </c>
      <c r="G22" s="5">
        <v>35206000</v>
      </c>
      <c r="H22" s="5"/>
      <c r="I22" s="9">
        <f>D22-G22-H22</f>
        <v>191787000</v>
      </c>
      <c r="K22" t="s">
        <v>45</v>
      </c>
      <c r="N22" s="5">
        <v>217360000</v>
      </c>
    </row>
    <row r="23" spans="1:14" x14ac:dyDescent="0.2">
      <c r="A23" s="3"/>
      <c r="D23" s="5"/>
      <c r="G23" s="5"/>
      <c r="H23" s="5"/>
      <c r="N23" s="5"/>
    </row>
    <row r="24" spans="1:14" x14ac:dyDescent="0.2">
      <c r="A24" s="3">
        <v>2019</v>
      </c>
      <c r="D24" s="5">
        <v>224862000</v>
      </c>
      <c r="G24" s="5">
        <v>35218000</v>
      </c>
      <c r="H24" s="5"/>
      <c r="I24" s="9">
        <f>D24-G24-H24</f>
        <v>189644000</v>
      </c>
      <c r="K24">
        <v>68801000</v>
      </c>
      <c r="N24" s="5">
        <v>247906000</v>
      </c>
    </row>
    <row r="25" spans="1:14" x14ac:dyDescent="0.2">
      <c r="A25" s="3"/>
      <c r="D25" s="5"/>
      <c r="G25" s="5"/>
      <c r="H25" s="5"/>
      <c r="I25" s="9" t="s">
        <v>3</v>
      </c>
      <c r="K25">
        <v>121251000</v>
      </c>
      <c r="N25" s="5"/>
    </row>
    <row r="26" spans="1:14" x14ac:dyDescent="0.2">
      <c r="A26" s="3">
        <v>2020</v>
      </c>
      <c r="D26" s="5">
        <v>256826000</v>
      </c>
      <c r="G26" s="5">
        <v>37702000</v>
      </c>
      <c r="H26" s="5"/>
      <c r="I26" s="9">
        <f>D26-G26-H26</f>
        <v>219124000</v>
      </c>
      <c r="K26">
        <v>137034000</v>
      </c>
      <c r="N26" s="5">
        <v>476491000</v>
      </c>
    </row>
    <row r="27" spans="1:14" x14ac:dyDescent="0.2">
      <c r="A27" s="3"/>
      <c r="D27" s="5"/>
      <c r="G27" s="5"/>
      <c r="H27" s="5"/>
      <c r="I27" s="9"/>
      <c r="K27">
        <v>167665000</v>
      </c>
      <c r="N27" s="5"/>
    </row>
    <row r="28" spans="1:14" x14ac:dyDescent="0.2">
      <c r="A28" s="3">
        <v>2021</v>
      </c>
      <c r="D28" s="5">
        <v>305356000</v>
      </c>
      <c r="G28" s="5">
        <v>53573000</v>
      </c>
      <c r="H28" s="5"/>
      <c r="I28" s="9">
        <f>D28-G28-H28</f>
        <v>251783000</v>
      </c>
      <c r="K28">
        <v>188788000</v>
      </c>
      <c r="N28" s="5">
        <v>41264000</v>
      </c>
    </row>
    <row r="29" spans="1:14" x14ac:dyDescent="0.2">
      <c r="A29" s="3"/>
      <c r="D29" s="5"/>
      <c r="G29" s="5"/>
      <c r="H29" s="5"/>
      <c r="I29" s="9"/>
      <c r="K29">
        <v>198282000</v>
      </c>
      <c r="N29" s="5"/>
    </row>
    <row r="30" spans="1:14" x14ac:dyDescent="0.2">
      <c r="A30" s="3">
        <v>2022</v>
      </c>
      <c r="D30" s="5">
        <v>653733000</v>
      </c>
      <c r="G30" s="5">
        <v>75831000</v>
      </c>
      <c r="H30" s="5"/>
      <c r="I30" s="9">
        <f>D30-G30-H30</f>
        <v>577902000</v>
      </c>
      <c r="K30">
        <v>221517000</v>
      </c>
      <c r="N30" s="5">
        <v>69570000</v>
      </c>
    </row>
    <row r="31" spans="1:14" x14ac:dyDescent="0.2">
      <c r="A31" s="3"/>
      <c r="D31" s="5"/>
      <c r="G31" s="5"/>
      <c r="H31" s="5"/>
      <c r="I31" s="9"/>
      <c r="N31" s="5"/>
    </row>
    <row r="32" spans="1:14" x14ac:dyDescent="0.2">
      <c r="A32" s="3">
        <v>2023</v>
      </c>
      <c r="D32" s="5">
        <v>372165000</v>
      </c>
      <c r="G32" s="5">
        <v>103687000</v>
      </c>
      <c r="H32" s="5"/>
      <c r="I32" s="9">
        <f>D32-G32-H32</f>
        <v>268478000</v>
      </c>
      <c r="N32" s="5">
        <v>292175000</v>
      </c>
    </row>
    <row r="33" spans="1:16" x14ac:dyDescent="0.2">
      <c r="A33" s="3"/>
    </row>
    <row r="34" spans="1:16" x14ac:dyDescent="0.2">
      <c r="A34" s="3"/>
      <c r="I34" s="17">
        <v>180000000</v>
      </c>
    </row>
    <row r="35" spans="1:16" x14ac:dyDescent="0.2">
      <c r="H35" s="28" t="s">
        <v>4</v>
      </c>
      <c r="I35" s="29">
        <f>SUM(I14:I32)/10</f>
        <v>198250700</v>
      </c>
    </row>
    <row r="36" spans="1:16" x14ac:dyDescent="0.2">
      <c r="H36" s="28" t="s">
        <v>34</v>
      </c>
      <c r="I36" s="30">
        <f>(I32/I22)^(1/6)-1</f>
        <v>5.7665300354904137E-2</v>
      </c>
    </row>
    <row r="37" spans="1:16" x14ac:dyDescent="0.2">
      <c r="H37" s="28" t="s">
        <v>39</v>
      </c>
      <c r="I37" s="30">
        <f>(I32/I14)^(1/10)-1</f>
        <v>0.41164256934538623</v>
      </c>
      <c r="K37" t="s">
        <v>62</v>
      </c>
      <c r="P37" t="s">
        <v>77</v>
      </c>
    </row>
    <row r="38" spans="1:16" x14ac:dyDescent="0.2">
      <c r="H38" s="28" t="s">
        <v>43</v>
      </c>
      <c r="I38" s="30">
        <f>(I32/I6)^(1/14)-1</f>
        <v>0.35240880653619389</v>
      </c>
      <c r="K38" t="s">
        <v>46</v>
      </c>
      <c r="P38" t="s">
        <v>63</v>
      </c>
    </row>
    <row r="39" spans="1:16" x14ac:dyDescent="0.2">
      <c r="H39" s="28" t="s">
        <v>89</v>
      </c>
      <c r="I39" s="30">
        <f>(I24/I6)^(1/10)-1</f>
        <v>0.47385319240480461</v>
      </c>
      <c r="K39" t="s">
        <v>47</v>
      </c>
      <c r="P39" t="s">
        <v>64</v>
      </c>
    </row>
    <row r="40" spans="1:16" x14ac:dyDescent="0.2">
      <c r="K40" t="s">
        <v>48</v>
      </c>
      <c r="P40" t="s">
        <v>65</v>
      </c>
    </row>
    <row r="41" spans="1:16" x14ac:dyDescent="0.2">
      <c r="K41" t="s">
        <v>49</v>
      </c>
      <c r="P41" t="s">
        <v>66</v>
      </c>
    </row>
    <row r="42" spans="1:16" x14ac:dyDescent="0.2">
      <c r="K42" t="s">
        <v>50</v>
      </c>
      <c r="P42" t="s">
        <v>67</v>
      </c>
    </row>
    <row r="43" spans="1:16" x14ac:dyDescent="0.2">
      <c r="K43" t="s">
        <v>51</v>
      </c>
      <c r="P43" t="s">
        <v>68</v>
      </c>
    </row>
    <row r="44" spans="1:16" x14ac:dyDescent="0.2">
      <c r="A44" s="3" t="s">
        <v>25</v>
      </c>
      <c r="H44" s="28" t="s">
        <v>3</v>
      </c>
      <c r="K44" t="s">
        <v>52</v>
      </c>
      <c r="P44" t="s">
        <v>69</v>
      </c>
    </row>
    <row r="45" spans="1:16" x14ac:dyDescent="0.2">
      <c r="A45" t="s">
        <v>26</v>
      </c>
      <c r="D45" s="13">
        <v>0.09</v>
      </c>
      <c r="E45" s="19" t="s">
        <v>3</v>
      </c>
      <c r="F45" s="19"/>
      <c r="G45" s="19"/>
      <c r="H45" s="19"/>
      <c r="K45" t="s">
        <v>53</v>
      </c>
      <c r="P45" t="s">
        <v>70</v>
      </c>
    </row>
    <row r="46" spans="1:16" x14ac:dyDescent="0.2">
      <c r="A46" t="s">
        <v>36</v>
      </c>
      <c r="D46" s="14">
        <v>0.01</v>
      </c>
      <c r="E46" s="15" t="s">
        <v>3</v>
      </c>
      <c r="K46" t="s">
        <v>54</v>
      </c>
      <c r="P46" t="s">
        <v>71</v>
      </c>
    </row>
    <row r="47" spans="1:16" x14ac:dyDescent="0.2">
      <c r="K47" t="s">
        <v>55</v>
      </c>
      <c r="P47" t="s">
        <v>72</v>
      </c>
    </row>
    <row r="48" spans="1:16" x14ac:dyDescent="0.2">
      <c r="A48" t="s">
        <v>5</v>
      </c>
      <c r="D48" s="16">
        <f>I35</f>
        <v>198250700</v>
      </c>
      <c r="E48" s="33"/>
      <c r="K48" t="s">
        <v>56</v>
      </c>
      <c r="P48" t="s">
        <v>73</v>
      </c>
    </row>
    <row r="49" spans="1:16" x14ac:dyDescent="0.2">
      <c r="A49" t="s">
        <v>6</v>
      </c>
      <c r="D49" s="16">
        <f>D48*(1+D$46)</f>
        <v>200233207</v>
      </c>
      <c r="F49" t="s">
        <v>3</v>
      </c>
      <c r="K49" t="s">
        <v>57</v>
      </c>
      <c r="P49" t="s">
        <v>74</v>
      </c>
    </row>
    <row r="50" spans="1:16" x14ac:dyDescent="0.2">
      <c r="A50" t="s">
        <v>7</v>
      </c>
      <c r="D50" s="16">
        <f t="shared" ref="D50:D67" si="1">D49*(1+D$46)</f>
        <v>202235539.06999999</v>
      </c>
      <c r="K50" t="s">
        <v>58</v>
      </c>
      <c r="P50" t="s">
        <v>75</v>
      </c>
    </row>
    <row r="51" spans="1:16" x14ac:dyDescent="0.2">
      <c r="A51" t="s">
        <v>8</v>
      </c>
      <c r="D51" s="16">
        <f t="shared" si="1"/>
        <v>204257894.46070001</v>
      </c>
      <c r="K51" t="s">
        <v>59</v>
      </c>
      <c r="P51" t="s">
        <v>76</v>
      </c>
    </row>
    <row r="52" spans="1:16" x14ac:dyDescent="0.2">
      <c r="A52" t="s">
        <v>9</v>
      </c>
      <c r="D52" s="16">
        <f t="shared" si="1"/>
        <v>206300473.40530699</v>
      </c>
      <c r="G52" t="s">
        <v>33</v>
      </c>
      <c r="K52" t="s">
        <v>60</v>
      </c>
    </row>
    <row r="53" spans="1:16" x14ac:dyDescent="0.2">
      <c r="A53" t="s">
        <v>10</v>
      </c>
      <c r="D53" s="16">
        <f t="shared" si="1"/>
        <v>208363478.13936007</v>
      </c>
      <c r="K53" t="s">
        <v>61</v>
      </c>
    </row>
    <row r="54" spans="1:16" x14ac:dyDescent="0.2">
      <c r="A54" t="s">
        <v>11</v>
      </c>
      <c r="D54" s="16">
        <f t="shared" si="1"/>
        <v>210447112.92075369</v>
      </c>
    </row>
    <row r="55" spans="1:16" x14ac:dyDescent="0.2">
      <c r="A55" t="s">
        <v>12</v>
      </c>
      <c r="D55" s="16">
        <f t="shared" si="1"/>
        <v>212551584.04996124</v>
      </c>
      <c r="K55" t="s">
        <v>78</v>
      </c>
    </row>
    <row r="56" spans="1:16" x14ac:dyDescent="0.2">
      <c r="A56" t="s">
        <v>13</v>
      </c>
      <c r="D56" s="16">
        <f t="shared" si="1"/>
        <v>214677099.89046085</v>
      </c>
      <c r="K56" t="s">
        <v>79</v>
      </c>
    </row>
    <row r="57" spans="1:16" x14ac:dyDescent="0.2">
      <c r="A57" t="s">
        <v>14</v>
      </c>
      <c r="D57" s="16">
        <f t="shared" si="1"/>
        <v>216823870.88936546</v>
      </c>
      <c r="K57" t="s">
        <v>80</v>
      </c>
    </row>
    <row r="58" spans="1:16" x14ac:dyDescent="0.2">
      <c r="A58" t="s">
        <v>15</v>
      </c>
      <c r="D58" s="16">
        <f t="shared" si="1"/>
        <v>218992109.59825912</v>
      </c>
      <c r="K58" t="s">
        <v>81</v>
      </c>
    </row>
    <row r="59" spans="1:16" x14ac:dyDescent="0.2">
      <c r="A59" t="s">
        <v>16</v>
      </c>
      <c r="D59" s="16">
        <f t="shared" si="1"/>
        <v>221182030.6942417</v>
      </c>
      <c r="K59" t="s">
        <v>82</v>
      </c>
    </row>
    <row r="60" spans="1:16" x14ac:dyDescent="0.2">
      <c r="A60" t="s">
        <v>17</v>
      </c>
      <c r="D60" s="16">
        <f t="shared" si="1"/>
        <v>223393851.00118414</v>
      </c>
      <c r="K60" t="s">
        <v>83</v>
      </c>
    </row>
    <row r="61" spans="1:16" x14ac:dyDescent="0.2">
      <c r="A61" t="s">
        <v>18</v>
      </c>
      <c r="D61" s="16">
        <f t="shared" si="1"/>
        <v>225627789.51119599</v>
      </c>
      <c r="K61" t="s">
        <v>84</v>
      </c>
    </row>
    <row r="62" spans="1:16" x14ac:dyDescent="0.2">
      <c r="A62" t="s">
        <v>19</v>
      </c>
      <c r="D62" s="16">
        <f t="shared" si="1"/>
        <v>227884067.40630794</v>
      </c>
      <c r="K62" t="s">
        <v>85</v>
      </c>
    </row>
    <row r="63" spans="1:16" x14ac:dyDescent="0.2">
      <c r="A63" t="s">
        <v>20</v>
      </c>
      <c r="D63" s="16">
        <f t="shared" si="1"/>
        <v>230162908.08037102</v>
      </c>
      <c r="K63" t="s">
        <v>86</v>
      </c>
    </row>
    <row r="64" spans="1:16" x14ac:dyDescent="0.2">
      <c r="A64" t="s">
        <v>21</v>
      </c>
      <c r="D64" s="16">
        <f t="shared" si="1"/>
        <v>232464537.16117474</v>
      </c>
      <c r="K64" t="s">
        <v>87</v>
      </c>
    </row>
    <row r="65" spans="1:7" x14ac:dyDescent="0.2">
      <c r="A65" t="s">
        <v>22</v>
      </c>
      <c r="D65" s="16">
        <f t="shared" si="1"/>
        <v>234789182.53278649</v>
      </c>
    </row>
    <row r="66" spans="1:7" x14ac:dyDescent="0.2">
      <c r="A66" t="s">
        <v>23</v>
      </c>
      <c r="D66" s="16">
        <f t="shared" si="1"/>
        <v>237137074.35811436</v>
      </c>
    </row>
    <row r="67" spans="1:7" x14ac:dyDescent="0.2">
      <c r="A67" t="s">
        <v>24</v>
      </c>
      <c r="D67" s="16">
        <f t="shared" si="1"/>
        <v>239508445.10169551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474841166.33180881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2413436641.0872898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1304688000</v>
      </c>
      <c r="G76" s="32"/>
    </row>
    <row r="77" spans="1:7" ht="16" thickBot="1" x14ac:dyDescent="0.25">
      <c r="A77" s="19" t="s">
        <v>29</v>
      </c>
      <c r="F77" s="23">
        <f>F74-F76</f>
        <v>1108748641.0872898</v>
      </c>
      <c r="G77" s="19"/>
    </row>
    <row r="78" spans="1:7" ht="16" thickTop="1" x14ac:dyDescent="0.2"/>
    <row r="79" spans="1:7" x14ac:dyDescent="0.2">
      <c r="A79" s="19" t="s">
        <v>35</v>
      </c>
      <c r="F79" s="34">
        <v>38001890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29.176144688784948</v>
      </c>
    </row>
    <row r="82" spans="1:6" x14ac:dyDescent="0.2">
      <c r="E82" t="s">
        <v>44</v>
      </c>
      <c r="F82" s="38">
        <f>(F81-53)/53</f>
        <v>-0.44950670398518966</v>
      </c>
    </row>
  </sheetData>
  <pageMargins left="0.25" right="0.25" top="0.75" bottom="0.75" header="0.3" footer="0.3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19CD-54DC-834C-8410-611F6AD386D2}">
  <sheetPr>
    <pageSetUpPr fitToPage="1"/>
  </sheetPr>
  <dimension ref="A1:K81"/>
  <sheetViews>
    <sheetView topLeftCell="A13" workbookViewId="0">
      <selection activeCell="I39" sqref="I3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/>
      <c r="E6" s="7"/>
      <c r="G6" s="5"/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/>
      <c r="G8" s="5"/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/>
      <c r="G10" s="5"/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153300000</v>
      </c>
      <c r="G12" s="5"/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180600000</v>
      </c>
      <c r="G14" s="5"/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259200000</v>
      </c>
      <c r="G16" s="5">
        <v>55800000</v>
      </c>
      <c r="I16" s="9">
        <f>D16-G16-H16</f>
        <v>203400000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386500000</v>
      </c>
      <c r="G18" s="5">
        <v>61500000</v>
      </c>
      <c r="H18" s="26">
        <v>0</v>
      </c>
      <c r="I18" s="9">
        <f>D18-G18-H18</f>
        <v>325000000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475600000</v>
      </c>
      <c r="G20" s="5">
        <v>83200000</v>
      </c>
      <c r="H20" s="26">
        <v>0</v>
      </c>
      <c r="I20" s="9">
        <f>D20-G20-H20</f>
        <v>392400000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559800000</v>
      </c>
      <c r="G22" s="5">
        <v>87700000</v>
      </c>
      <c r="H22" s="26">
        <v>0</v>
      </c>
      <c r="I22" s="9">
        <f>D22-G22-H22</f>
        <v>472100000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723400000</v>
      </c>
      <c r="G24" s="5">
        <v>87600000</v>
      </c>
      <c r="H24" s="26">
        <v>0</v>
      </c>
      <c r="I24" s="9">
        <f>D24-G24-H24</f>
        <v>635800000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764600000</v>
      </c>
      <c r="G26" s="5">
        <v>66500000</v>
      </c>
      <c r="H26" s="26">
        <v>0</v>
      </c>
      <c r="I26" s="9">
        <f>D26-G26-H26</f>
        <v>698100000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829300000</v>
      </c>
      <c r="G28" s="5">
        <v>51100000</v>
      </c>
      <c r="H28" s="26">
        <v>0</v>
      </c>
      <c r="I28" s="9">
        <f>D28-G28-H28</f>
        <v>778200000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979700000</v>
      </c>
      <c r="G30" s="5">
        <v>59700000</v>
      </c>
      <c r="I30" s="9">
        <f>D30-G30-H30</f>
        <v>920000000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1047600000</v>
      </c>
      <c r="G32" s="5">
        <v>42000000</v>
      </c>
      <c r="I32" s="9">
        <f>D32-G32-H32</f>
        <v>1005600000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543060000</v>
      </c>
    </row>
    <row r="36" spans="1:9" x14ac:dyDescent="0.2">
      <c r="H36" s="28" t="s">
        <v>34</v>
      </c>
      <c r="I36" s="30">
        <f>(I32/I24)^(1/5)-1</f>
        <v>9.6026231138408136E-2</v>
      </c>
    </row>
    <row r="37" spans="1:9" x14ac:dyDescent="0.2">
      <c r="H37" s="28" t="s">
        <v>41</v>
      </c>
      <c r="I37" s="30">
        <f>(I32/I16)^(1/9)-1</f>
        <v>0.19431632439200874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0.13</v>
      </c>
      <c r="E46" s="15" t="s">
        <v>3</v>
      </c>
    </row>
    <row r="48" spans="1:9" x14ac:dyDescent="0.2">
      <c r="A48" t="s">
        <v>5</v>
      </c>
      <c r="D48" s="16">
        <f>I35</f>
        <v>543060000</v>
      </c>
      <c r="E48" s="33"/>
    </row>
    <row r="49" spans="1:7" x14ac:dyDescent="0.2">
      <c r="A49" t="s">
        <v>6</v>
      </c>
      <c r="D49" s="16">
        <f t="shared" ref="D49:D67" si="0">D48*(1+D$46)</f>
        <v>613657800</v>
      </c>
      <c r="F49" t="s">
        <v>3</v>
      </c>
    </row>
    <row r="50" spans="1:7" x14ac:dyDescent="0.2">
      <c r="A50" t="s">
        <v>7</v>
      </c>
      <c r="D50" s="16">
        <f t="shared" si="0"/>
        <v>693433313.99999988</v>
      </c>
    </row>
    <row r="51" spans="1:7" x14ac:dyDescent="0.2">
      <c r="A51" t="s">
        <v>8</v>
      </c>
      <c r="D51" s="16">
        <f t="shared" si="0"/>
        <v>783579644.81999981</v>
      </c>
    </row>
    <row r="52" spans="1:7" x14ac:dyDescent="0.2">
      <c r="A52" t="s">
        <v>9</v>
      </c>
      <c r="D52" s="16">
        <f t="shared" si="0"/>
        <v>885444998.64659965</v>
      </c>
      <c r="G52" t="s">
        <v>33</v>
      </c>
    </row>
    <row r="53" spans="1:7" x14ac:dyDescent="0.2">
      <c r="A53" t="s">
        <v>10</v>
      </c>
      <c r="D53" s="16">
        <f t="shared" si="0"/>
        <v>1000552848.4706575</v>
      </c>
    </row>
    <row r="54" spans="1:7" x14ac:dyDescent="0.2">
      <c r="A54" t="s">
        <v>11</v>
      </c>
      <c r="D54" s="16">
        <f t="shared" si="0"/>
        <v>1130624718.7718427</v>
      </c>
    </row>
    <row r="55" spans="1:7" x14ac:dyDescent="0.2">
      <c r="A55" t="s">
        <v>12</v>
      </c>
      <c r="D55" s="16">
        <f t="shared" si="0"/>
        <v>1277605932.212182</v>
      </c>
    </row>
    <row r="56" spans="1:7" x14ac:dyDescent="0.2">
      <c r="A56" t="s">
        <v>13</v>
      </c>
      <c r="D56" s="16">
        <f t="shared" si="0"/>
        <v>1443694703.3997655</v>
      </c>
    </row>
    <row r="57" spans="1:7" x14ac:dyDescent="0.2">
      <c r="A57" t="s">
        <v>14</v>
      </c>
      <c r="D57" s="16">
        <f t="shared" si="0"/>
        <v>1631375014.8417349</v>
      </c>
    </row>
    <row r="58" spans="1:7" x14ac:dyDescent="0.2">
      <c r="A58" t="s">
        <v>15</v>
      </c>
      <c r="D58" s="16">
        <f t="shared" si="0"/>
        <v>1843453766.7711604</v>
      </c>
    </row>
    <row r="59" spans="1:7" x14ac:dyDescent="0.2">
      <c r="A59" t="s">
        <v>16</v>
      </c>
      <c r="D59" s="16">
        <f t="shared" si="0"/>
        <v>2083102756.451411</v>
      </c>
    </row>
    <row r="60" spans="1:7" x14ac:dyDescent="0.2">
      <c r="A60" t="s">
        <v>17</v>
      </c>
      <c r="D60" s="16">
        <f t="shared" si="0"/>
        <v>2353906114.7900944</v>
      </c>
    </row>
    <row r="61" spans="1:7" x14ac:dyDescent="0.2">
      <c r="A61" t="s">
        <v>18</v>
      </c>
      <c r="D61" s="16">
        <f t="shared" si="0"/>
        <v>2659913909.7128062</v>
      </c>
    </row>
    <row r="62" spans="1:7" x14ac:dyDescent="0.2">
      <c r="A62" t="s">
        <v>19</v>
      </c>
      <c r="D62" s="16">
        <f t="shared" si="0"/>
        <v>3005702717.9754705</v>
      </c>
    </row>
    <row r="63" spans="1:7" x14ac:dyDescent="0.2">
      <c r="A63" t="s">
        <v>20</v>
      </c>
      <c r="D63" s="16">
        <f t="shared" si="0"/>
        <v>3396444071.3122816</v>
      </c>
    </row>
    <row r="64" spans="1:7" x14ac:dyDescent="0.2">
      <c r="A64" t="s">
        <v>21</v>
      </c>
      <c r="D64" s="16">
        <f t="shared" si="0"/>
        <v>3837981800.5828776</v>
      </c>
    </row>
    <row r="65" spans="1:7" x14ac:dyDescent="0.2">
      <c r="A65" t="s">
        <v>22</v>
      </c>
      <c r="D65" s="16">
        <f t="shared" si="0"/>
        <v>4336919434.6586514</v>
      </c>
    </row>
    <row r="66" spans="1:7" x14ac:dyDescent="0.2">
      <c r="A66" t="s">
        <v>23</v>
      </c>
      <c r="D66" s="16">
        <f t="shared" si="0"/>
        <v>4900718961.1642752</v>
      </c>
    </row>
    <row r="67" spans="1:7" x14ac:dyDescent="0.2">
      <c r="A67" t="s">
        <v>24</v>
      </c>
      <c r="D67" s="16">
        <f t="shared" si="0"/>
        <v>5537812426.1156301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10979075540.434521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25316875101.989349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3812900000</v>
      </c>
      <c r="G76" s="32"/>
    </row>
    <row r="77" spans="1:7" ht="16" thickBot="1" x14ac:dyDescent="0.25">
      <c r="A77" s="19" t="s">
        <v>29</v>
      </c>
      <c r="F77" s="23">
        <f>F74-F76</f>
        <v>21503975101.989349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565.93627366980672</v>
      </c>
    </row>
  </sheetData>
  <pageMargins left="0.25" right="0.25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965-6D30-2042-83F2-0BA8FD9D5733}">
  <sheetPr>
    <pageSetUpPr fitToPage="1"/>
  </sheetPr>
  <dimension ref="A1:K83"/>
  <sheetViews>
    <sheetView topLeftCell="A39" workbookViewId="0">
      <selection activeCell="D48" sqref="D48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K7" s="3"/>
    </row>
    <row r="8" spans="1:11" x14ac:dyDescent="0.2">
      <c r="K8" s="3"/>
    </row>
    <row r="9" spans="1:11" x14ac:dyDescent="0.2">
      <c r="K9" s="10"/>
    </row>
    <row r="10" spans="1:11" x14ac:dyDescent="0.2">
      <c r="K10" s="10"/>
    </row>
    <row r="11" spans="1:11" x14ac:dyDescent="0.2">
      <c r="K11" s="10"/>
    </row>
    <row r="12" spans="1:11" x14ac:dyDescent="0.2">
      <c r="K12" s="10"/>
    </row>
    <row r="13" spans="1:11" x14ac:dyDescent="0.2">
      <c r="K13" s="10"/>
    </row>
    <row r="14" spans="1:11" x14ac:dyDescent="0.2">
      <c r="K14" s="10"/>
    </row>
    <row r="15" spans="1:11" x14ac:dyDescent="0.2">
      <c r="A15" s="3">
        <v>2014</v>
      </c>
      <c r="D15" s="5">
        <v>111466000</v>
      </c>
      <c r="G15" s="5">
        <v>20421000</v>
      </c>
      <c r="I15" s="9">
        <f>D15-G15-H15</f>
        <v>91045000</v>
      </c>
      <c r="K15" s="21"/>
    </row>
    <row r="16" spans="1:11" x14ac:dyDescent="0.2">
      <c r="A16" s="3"/>
      <c r="D16" s="5"/>
      <c r="G16" s="5"/>
      <c r="I16" s="9"/>
      <c r="K16" s="21"/>
    </row>
    <row r="17" spans="1:11" x14ac:dyDescent="0.2">
      <c r="A17" s="3">
        <v>2015</v>
      </c>
      <c r="D17" s="5">
        <v>136891000</v>
      </c>
      <c r="G17" s="5">
        <v>23729000</v>
      </c>
      <c r="I17" s="9">
        <f>D17-G17-H17</f>
        <v>113162000</v>
      </c>
      <c r="K17" s="21"/>
    </row>
    <row r="18" spans="1:11" x14ac:dyDescent="0.2">
      <c r="A18" s="3"/>
      <c r="D18" s="5"/>
      <c r="G18" s="5"/>
      <c r="I18" s="9"/>
    </row>
    <row r="19" spans="1:11" x14ac:dyDescent="0.2">
      <c r="A19" s="3">
        <v>2016</v>
      </c>
      <c r="D19" s="5">
        <v>137030000</v>
      </c>
      <c r="G19" s="5">
        <v>32698000</v>
      </c>
      <c r="H19" s="26">
        <v>0</v>
      </c>
      <c r="I19" s="9">
        <f>D19-G19-H19</f>
        <v>104332000</v>
      </c>
      <c r="K19" s="12"/>
    </row>
    <row r="20" spans="1:11" x14ac:dyDescent="0.2">
      <c r="A20" s="3"/>
      <c r="D20" s="5"/>
      <c r="G20" s="5"/>
      <c r="H20" s="26"/>
      <c r="J20" t="s">
        <v>3</v>
      </c>
      <c r="K20" s="11" t="s">
        <v>3</v>
      </c>
    </row>
    <row r="21" spans="1:11" x14ac:dyDescent="0.2">
      <c r="A21" s="3">
        <v>2017</v>
      </c>
      <c r="D21" s="5">
        <v>123774000</v>
      </c>
      <c r="G21" s="5">
        <v>13220000</v>
      </c>
      <c r="H21" s="26">
        <v>0</v>
      </c>
      <c r="I21" s="9">
        <f>D21-G21-H21</f>
        <v>110554000</v>
      </c>
    </row>
    <row r="22" spans="1:11" x14ac:dyDescent="0.2">
      <c r="A22" s="3"/>
      <c r="D22" s="5"/>
      <c r="G22" s="5"/>
      <c r="H22" s="26"/>
      <c r="I22" s="9" t="s">
        <v>3</v>
      </c>
    </row>
    <row r="23" spans="1:11" x14ac:dyDescent="0.2">
      <c r="A23" s="3">
        <v>2018</v>
      </c>
      <c r="D23" s="5">
        <v>152119000</v>
      </c>
      <c r="G23" s="5">
        <v>11433000</v>
      </c>
      <c r="H23" s="26">
        <v>0</v>
      </c>
      <c r="I23" s="9">
        <f>D23-G23-H23</f>
        <v>140686000</v>
      </c>
    </row>
    <row r="24" spans="1:11" x14ac:dyDescent="0.2">
      <c r="A24" s="3"/>
      <c r="D24" s="5"/>
      <c r="G24" s="5"/>
      <c r="H24" s="26"/>
    </row>
    <row r="25" spans="1:11" x14ac:dyDescent="0.2">
      <c r="A25" s="3">
        <v>2019</v>
      </c>
      <c r="D25" s="5">
        <v>126733000</v>
      </c>
      <c r="G25" s="5">
        <v>16569000</v>
      </c>
      <c r="H25" s="26">
        <v>0</v>
      </c>
      <c r="I25" s="9">
        <f>D25-G25-H25</f>
        <v>110164000</v>
      </c>
    </row>
    <row r="26" spans="1:11" x14ac:dyDescent="0.2">
      <c r="A26" s="3"/>
      <c r="D26" s="5"/>
      <c r="G26" s="5"/>
      <c r="H26" s="26"/>
      <c r="I26" s="9" t="s">
        <v>3</v>
      </c>
    </row>
    <row r="27" spans="1:11" x14ac:dyDescent="0.2">
      <c r="A27" s="3">
        <v>2020</v>
      </c>
      <c r="D27" s="5">
        <v>160401000</v>
      </c>
      <c r="G27" s="5">
        <v>15094000</v>
      </c>
      <c r="H27" s="26">
        <v>0</v>
      </c>
      <c r="I27" s="9">
        <f>D27-G27-H27</f>
        <v>145307000</v>
      </c>
    </row>
    <row r="28" spans="1:11" x14ac:dyDescent="0.2">
      <c r="A28" s="3"/>
      <c r="D28" s="5"/>
      <c r="G28" s="5"/>
      <c r="H28" s="26"/>
      <c r="I28" s="9"/>
    </row>
    <row r="29" spans="1:11" x14ac:dyDescent="0.2">
      <c r="A29" s="3">
        <v>2021</v>
      </c>
      <c r="D29" s="5">
        <v>121227000</v>
      </c>
      <c r="G29" s="5">
        <v>12763000</v>
      </c>
      <c r="H29" s="26">
        <v>0</v>
      </c>
      <c r="I29" s="9">
        <f>D29-G29-H29</f>
        <v>108464000</v>
      </c>
    </row>
    <row r="30" spans="1:11" x14ac:dyDescent="0.2">
      <c r="A30" s="3"/>
      <c r="D30" s="5"/>
      <c r="G30" s="5"/>
      <c r="I30" s="9"/>
    </row>
    <row r="31" spans="1:11" x14ac:dyDescent="0.2">
      <c r="A31" s="3">
        <v>2022</v>
      </c>
      <c r="D31" s="5">
        <v>103902000</v>
      </c>
      <c r="G31" s="5">
        <v>10400000</v>
      </c>
      <c r="I31" s="9">
        <f>D31-G31-H31</f>
        <v>93502000</v>
      </c>
    </row>
    <row r="32" spans="1:11" x14ac:dyDescent="0.2">
      <c r="A32" s="3"/>
      <c r="D32" s="5"/>
      <c r="G32" s="5"/>
      <c r="I32" s="9"/>
    </row>
    <row r="33" spans="1:9" x14ac:dyDescent="0.2">
      <c r="A33" s="3">
        <v>2023</v>
      </c>
      <c r="D33" s="5">
        <v>70641000</v>
      </c>
      <c r="G33" s="5">
        <v>14494000</v>
      </c>
      <c r="I33" s="9">
        <f>D33-G33-H33</f>
        <v>56147000</v>
      </c>
    </row>
    <row r="34" spans="1:9" x14ac:dyDescent="0.2">
      <c r="A34" s="3"/>
    </row>
    <row r="35" spans="1:9" x14ac:dyDescent="0.2">
      <c r="A35" s="3"/>
    </row>
    <row r="36" spans="1:9" x14ac:dyDescent="0.2">
      <c r="H36" s="28" t="s">
        <v>4</v>
      </c>
      <c r="I36" s="29">
        <f>SUM(I15:I33)/10</f>
        <v>107336300</v>
      </c>
    </row>
    <row r="37" spans="1:9" x14ac:dyDescent="0.2">
      <c r="H37" s="28" t="s">
        <v>34</v>
      </c>
      <c r="I37" s="30">
        <f>(I33/I23)^(1/6)-1</f>
        <v>-0.14194996688485095</v>
      </c>
    </row>
    <row r="38" spans="1:9" x14ac:dyDescent="0.2">
      <c r="H38" s="19" t="s">
        <v>40</v>
      </c>
      <c r="I38" s="30">
        <f>(I33/I19)^(1/8)-1</f>
        <v>-7.4527266569304196E-2</v>
      </c>
    </row>
    <row r="39" spans="1:9" x14ac:dyDescent="0.2">
      <c r="H39" s="19" t="s">
        <v>91</v>
      </c>
      <c r="I39" s="30">
        <f>(I33/I15)^(1/10)-1</f>
        <v>-4.7188378525884977E-2</v>
      </c>
    </row>
    <row r="45" spans="1:9" x14ac:dyDescent="0.2">
      <c r="A45" s="3" t="s">
        <v>25</v>
      </c>
      <c r="H45" s="28" t="s">
        <v>3</v>
      </c>
    </row>
    <row r="46" spans="1:9" x14ac:dyDescent="0.2">
      <c r="A46" t="s">
        <v>26</v>
      </c>
      <c r="D46" s="13">
        <v>0.09</v>
      </c>
      <c r="E46" s="19" t="s">
        <v>3</v>
      </c>
      <c r="F46" s="19"/>
      <c r="G46" s="19"/>
      <c r="H46" s="19"/>
    </row>
    <row r="47" spans="1:9" x14ac:dyDescent="0.2">
      <c r="A47" t="s">
        <v>36</v>
      </c>
      <c r="D47" s="14">
        <v>0</v>
      </c>
      <c r="E47" s="15" t="s">
        <v>3</v>
      </c>
    </row>
    <row r="49" spans="1:7" x14ac:dyDescent="0.2">
      <c r="A49" t="s">
        <v>5</v>
      </c>
      <c r="D49" s="16">
        <f>I33</f>
        <v>56147000</v>
      </c>
      <c r="E49" s="15" t="s">
        <v>3</v>
      </c>
    </row>
    <row r="50" spans="1:7" x14ac:dyDescent="0.2">
      <c r="A50" t="s">
        <v>6</v>
      </c>
      <c r="D50" s="16">
        <f t="shared" ref="D50:D68" si="0">D49*(1+D$47)</f>
        <v>56147000</v>
      </c>
      <c r="F50" t="s">
        <v>3</v>
      </c>
    </row>
    <row r="51" spans="1:7" x14ac:dyDescent="0.2">
      <c r="A51" t="s">
        <v>7</v>
      </c>
      <c r="D51" s="16">
        <f t="shared" si="0"/>
        <v>56147000</v>
      </c>
    </row>
    <row r="52" spans="1:7" x14ac:dyDescent="0.2">
      <c r="A52" t="s">
        <v>8</v>
      </c>
      <c r="D52" s="16">
        <f t="shared" si="0"/>
        <v>56147000</v>
      </c>
    </row>
    <row r="53" spans="1:7" x14ac:dyDescent="0.2">
      <c r="A53" t="s">
        <v>9</v>
      </c>
      <c r="D53" s="16">
        <f t="shared" si="0"/>
        <v>56147000</v>
      </c>
      <c r="G53" t="s">
        <v>33</v>
      </c>
    </row>
    <row r="54" spans="1:7" x14ac:dyDescent="0.2">
      <c r="A54" t="s">
        <v>10</v>
      </c>
      <c r="D54" s="16">
        <f t="shared" si="0"/>
        <v>56147000</v>
      </c>
    </row>
    <row r="55" spans="1:7" x14ac:dyDescent="0.2">
      <c r="A55" t="s">
        <v>11</v>
      </c>
      <c r="D55" s="16">
        <f t="shared" si="0"/>
        <v>56147000</v>
      </c>
    </row>
    <row r="56" spans="1:7" x14ac:dyDescent="0.2">
      <c r="A56" t="s">
        <v>12</v>
      </c>
      <c r="D56" s="16">
        <f t="shared" si="0"/>
        <v>56147000</v>
      </c>
    </row>
    <row r="57" spans="1:7" x14ac:dyDescent="0.2">
      <c r="A57" t="s">
        <v>13</v>
      </c>
      <c r="D57" s="16">
        <f t="shared" si="0"/>
        <v>56147000</v>
      </c>
    </row>
    <row r="58" spans="1:7" x14ac:dyDescent="0.2">
      <c r="A58" t="s">
        <v>14</v>
      </c>
      <c r="D58" s="16">
        <f t="shared" si="0"/>
        <v>56147000</v>
      </c>
    </row>
    <row r="59" spans="1:7" x14ac:dyDescent="0.2">
      <c r="A59" t="s">
        <v>15</v>
      </c>
      <c r="D59" s="16">
        <f t="shared" si="0"/>
        <v>56147000</v>
      </c>
    </row>
    <row r="60" spans="1:7" x14ac:dyDescent="0.2">
      <c r="A60" t="s">
        <v>16</v>
      </c>
      <c r="D60" s="16">
        <f t="shared" si="0"/>
        <v>56147000</v>
      </c>
    </row>
    <row r="61" spans="1:7" x14ac:dyDescent="0.2">
      <c r="A61" t="s">
        <v>17</v>
      </c>
      <c r="D61" s="16">
        <f t="shared" si="0"/>
        <v>56147000</v>
      </c>
    </row>
    <row r="62" spans="1:7" x14ac:dyDescent="0.2">
      <c r="A62" t="s">
        <v>18</v>
      </c>
      <c r="D62" s="16">
        <f t="shared" si="0"/>
        <v>56147000</v>
      </c>
    </row>
    <row r="63" spans="1:7" x14ac:dyDescent="0.2">
      <c r="A63" t="s">
        <v>19</v>
      </c>
      <c r="D63" s="16">
        <f t="shared" si="0"/>
        <v>56147000</v>
      </c>
    </row>
    <row r="64" spans="1:7" x14ac:dyDescent="0.2">
      <c r="A64" t="s">
        <v>20</v>
      </c>
      <c r="D64" s="16">
        <f t="shared" si="0"/>
        <v>56147000</v>
      </c>
    </row>
    <row r="65" spans="1:7" x14ac:dyDescent="0.2">
      <c r="A65" t="s">
        <v>21</v>
      </c>
      <c r="D65" s="16">
        <f t="shared" si="0"/>
        <v>56147000</v>
      </c>
    </row>
    <row r="66" spans="1:7" x14ac:dyDescent="0.2">
      <c r="A66" t="s">
        <v>22</v>
      </c>
      <c r="D66" s="16">
        <f t="shared" si="0"/>
        <v>56147000</v>
      </c>
    </row>
    <row r="67" spans="1:7" x14ac:dyDescent="0.2">
      <c r="A67" t="s">
        <v>23</v>
      </c>
      <c r="D67" s="16">
        <f t="shared" si="0"/>
        <v>56147000</v>
      </c>
    </row>
    <row r="68" spans="1:7" x14ac:dyDescent="0.2">
      <c r="A68" t="s">
        <v>24</v>
      </c>
      <c r="D68" s="16">
        <f t="shared" si="0"/>
        <v>56147000</v>
      </c>
    </row>
    <row r="69" spans="1:7" x14ac:dyDescent="0.2">
      <c r="D69" s="16"/>
    </row>
    <row r="70" spans="1:7" x14ac:dyDescent="0.2">
      <c r="D70" s="16"/>
    </row>
    <row r="71" spans="1:7" x14ac:dyDescent="0.2">
      <c r="D71" s="16"/>
      <c r="E71" t="s">
        <v>27</v>
      </c>
    </row>
    <row r="72" spans="1:7" x14ac:dyDescent="0.2">
      <c r="D72" s="16"/>
      <c r="E72" s="17">
        <f>+D68/D46/(1+D46)^20</f>
        <v>111315101.87338831</v>
      </c>
    </row>
    <row r="73" spans="1:7" x14ac:dyDescent="0.2">
      <c r="D73" s="16"/>
    </row>
    <row r="75" spans="1:7" x14ac:dyDescent="0.2">
      <c r="A75" s="19" t="s">
        <v>28</v>
      </c>
      <c r="B75" s="19"/>
      <c r="C75" s="19"/>
      <c r="D75" s="19"/>
      <c r="E75" s="19"/>
      <c r="F75" s="20">
        <f>NPV(D46,D49:D68)+E72</f>
        <v>623855555.55555534</v>
      </c>
    </row>
    <row r="76" spans="1:7" x14ac:dyDescent="0.2">
      <c r="F76" s="18" t="s">
        <v>3</v>
      </c>
    </row>
    <row r="77" spans="1:7" ht="20" x14ac:dyDescent="0.2">
      <c r="A77" s="19" t="s">
        <v>37</v>
      </c>
      <c r="F77" s="22">
        <v>0</v>
      </c>
      <c r="G77" s="32"/>
    </row>
    <row r="78" spans="1:7" ht="16" thickBot="1" x14ac:dyDescent="0.25">
      <c r="A78" s="19" t="s">
        <v>29</v>
      </c>
      <c r="F78" s="23">
        <f>F75-F77</f>
        <v>623855555.55555534</v>
      </c>
      <c r="G78" s="19"/>
    </row>
    <row r="79" spans="1:7" ht="16" thickTop="1" x14ac:dyDescent="0.2"/>
    <row r="80" spans="1:7" x14ac:dyDescent="0.2">
      <c r="A80" s="19" t="s">
        <v>35</v>
      </c>
      <c r="F80" s="27">
        <v>19059572</v>
      </c>
    </row>
    <row r="81" spans="1:6" ht="16" thickBot="1" x14ac:dyDescent="0.25"/>
    <row r="82" spans="1:6" ht="16" thickBot="1" x14ac:dyDescent="0.25">
      <c r="A82" s="19" t="s">
        <v>30</v>
      </c>
      <c r="F82" s="31">
        <f>F78/F80</f>
        <v>32.731876432249123</v>
      </c>
    </row>
    <row r="83" spans="1:6" x14ac:dyDescent="0.2">
      <c r="F83" s="39">
        <f>F82+11.89</f>
        <v>44.621876432249124</v>
      </c>
    </row>
  </sheetData>
  <pageMargins left="0.25" right="0.25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164E-CA6F-894E-AAB7-934FDDB1CE32}">
  <sheetPr>
    <pageSetUpPr fitToPage="1"/>
  </sheetPr>
  <dimension ref="A1:K74"/>
  <sheetViews>
    <sheetView topLeftCell="A52" zoomScale="112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7.33203125" bestFit="1" customWidth="1"/>
    <col min="5" max="5" width="34" bestFit="1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59713000000</v>
      </c>
      <c r="G7" s="5">
        <v>9571000000</v>
      </c>
      <c r="I7" s="9">
        <f>D7-G7-H7</f>
        <v>50142000000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81266000000</v>
      </c>
      <c r="G9" s="5">
        <v>11247000000</v>
      </c>
      <c r="I9" s="9">
        <f>D9-G9-H9</f>
        <v>70019000000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65824000000</v>
      </c>
      <c r="G11" s="5">
        <v>12734000000</v>
      </c>
      <c r="H11" s="26">
        <v>0</v>
      </c>
      <c r="I11" s="9">
        <f>D11-G11-H11</f>
        <v>53090000000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64225000000</v>
      </c>
      <c r="G13" s="5">
        <v>12451000000</v>
      </c>
      <c r="H13" s="26">
        <v>0</v>
      </c>
      <c r="I13" s="9">
        <f>D13-G13-H13</f>
        <v>51774000000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77434000000</v>
      </c>
      <c r="G15" s="5">
        <v>13313000000</v>
      </c>
      <c r="H15" s="26">
        <v>0</v>
      </c>
      <c r="I15" s="9">
        <f>D15-G15-H15</f>
        <v>64121000000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69391000000</v>
      </c>
      <c r="G17" s="5">
        <v>10495000000</v>
      </c>
      <c r="H17" s="26">
        <v>0</v>
      </c>
      <c r="I17" s="9">
        <f>D17-G17-H17</f>
        <v>58896000000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80674000000</v>
      </c>
      <c r="G19" s="5">
        <v>7309000000</v>
      </c>
      <c r="H19" s="26">
        <v>0</v>
      </c>
      <c r="I19" s="9">
        <f>D19-G19-H19</f>
        <v>73365000000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104038000000</v>
      </c>
      <c r="G21" s="5">
        <v>11085000000</v>
      </c>
      <c r="H21" s="26">
        <v>0</v>
      </c>
      <c r="I21" s="9">
        <f>D21-G21-H21</f>
        <v>92953000000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122151000000</v>
      </c>
      <c r="G23" s="5">
        <v>10708000000</v>
      </c>
      <c r="I23" s="9">
        <f>D23-G23-H23</f>
        <v>111443000000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110543000000</v>
      </c>
      <c r="G25" s="5">
        <v>10959000000</v>
      </c>
      <c r="I25" s="9">
        <f>D25-G25-H25</f>
        <v>99584000000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72538700000</v>
      </c>
    </row>
    <row r="29" spans="1:11" x14ac:dyDescent="0.2">
      <c r="H29" s="28" t="s">
        <v>39</v>
      </c>
      <c r="I29" s="30">
        <f>(I25/I7)^(1/H30)-1</f>
        <v>7.1022985428797147E-2</v>
      </c>
    </row>
    <row r="30" spans="1:11" x14ac:dyDescent="0.2">
      <c r="H30" s="19">
        <v>10</v>
      </c>
    </row>
    <row r="31" spans="1:11" x14ac:dyDescent="0.2">
      <c r="H31" s="19" t="s">
        <v>34</v>
      </c>
      <c r="I31" s="30">
        <f>(I$25/I$15)^(1/6)-1</f>
        <v>7.6130350105456435E-2</v>
      </c>
    </row>
    <row r="32" spans="1:11" x14ac:dyDescent="0.2">
      <c r="H32" t="s">
        <v>88</v>
      </c>
      <c r="I32" s="30">
        <f>(I$25/I$21)^(1/3)-1</f>
        <v>2.3234996154744891E-2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7.0000000000000007E-2</v>
      </c>
      <c r="E39" s="15" t="s">
        <v>3</v>
      </c>
    </row>
    <row r="41" spans="1:8" x14ac:dyDescent="0.2">
      <c r="A41" t="s">
        <v>5</v>
      </c>
      <c r="D41" s="16">
        <f>I28</f>
        <v>72538700000</v>
      </c>
      <c r="E41" s="15" t="s">
        <v>3</v>
      </c>
      <c r="F41" s="16">
        <f>SUM(D42:D46)</f>
        <v>446351711052.4151</v>
      </c>
    </row>
    <row r="42" spans="1:8" x14ac:dyDescent="0.2">
      <c r="A42" t="s">
        <v>6</v>
      </c>
      <c r="D42" s="16">
        <f t="shared" ref="D42:D60" si="0">D41*(1+D$39)</f>
        <v>77616409000</v>
      </c>
      <c r="F42" s="39">
        <f>F41-F69</f>
        <v>336264711052.4151</v>
      </c>
    </row>
    <row r="43" spans="1:8" x14ac:dyDescent="0.2">
      <c r="A43" t="s">
        <v>7</v>
      </c>
      <c r="D43" s="16">
        <f t="shared" si="0"/>
        <v>83049557630</v>
      </c>
    </row>
    <row r="44" spans="1:8" x14ac:dyDescent="0.2">
      <c r="A44" t="s">
        <v>8</v>
      </c>
      <c r="D44" s="16">
        <f t="shared" si="0"/>
        <v>88863026664.100006</v>
      </c>
    </row>
    <row r="45" spans="1:8" x14ac:dyDescent="0.2">
      <c r="A45" t="s">
        <v>9</v>
      </c>
      <c r="D45" s="16">
        <f t="shared" si="0"/>
        <v>95083438530.587006</v>
      </c>
      <c r="G45" t="s">
        <v>33</v>
      </c>
    </row>
    <row r="46" spans="1:8" x14ac:dyDescent="0.2">
      <c r="A46" t="s">
        <v>10</v>
      </c>
      <c r="D46" s="16">
        <f t="shared" si="0"/>
        <v>101739279227.7281</v>
      </c>
    </row>
    <row r="47" spans="1:8" x14ac:dyDescent="0.2">
      <c r="A47" t="s">
        <v>11</v>
      </c>
      <c r="D47" s="16">
        <f t="shared" si="0"/>
        <v>108861028773.66908</v>
      </c>
    </row>
    <row r="48" spans="1:8" x14ac:dyDescent="0.2">
      <c r="A48" t="s">
        <v>12</v>
      </c>
      <c r="D48" s="16">
        <f t="shared" si="0"/>
        <v>116481300787.82593</v>
      </c>
    </row>
    <row r="49" spans="1:5" x14ac:dyDescent="0.2">
      <c r="A49" t="s">
        <v>13</v>
      </c>
      <c r="D49" s="16">
        <f t="shared" si="0"/>
        <v>124634991842.97375</v>
      </c>
    </row>
    <row r="50" spans="1:5" x14ac:dyDescent="0.2">
      <c r="A50" t="s">
        <v>14</v>
      </c>
      <c r="D50" s="16">
        <f t="shared" si="0"/>
        <v>133359441271.98192</v>
      </c>
    </row>
    <row r="51" spans="1:5" x14ac:dyDescent="0.2">
      <c r="A51" t="s">
        <v>15</v>
      </c>
      <c r="D51" s="16">
        <f t="shared" si="0"/>
        <v>142694602161.02066</v>
      </c>
    </row>
    <row r="52" spans="1:5" x14ac:dyDescent="0.2">
      <c r="A52" t="s">
        <v>16</v>
      </c>
      <c r="D52" s="16">
        <f t="shared" si="0"/>
        <v>152683224312.29211</v>
      </c>
    </row>
    <row r="53" spans="1:5" x14ac:dyDescent="0.2">
      <c r="A53" t="s">
        <v>17</v>
      </c>
      <c r="D53" s="16">
        <f t="shared" si="0"/>
        <v>163371050014.15256</v>
      </c>
    </row>
    <row r="54" spans="1:5" x14ac:dyDescent="0.2">
      <c r="A54" t="s">
        <v>18</v>
      </c>
      <c r="D54" s="16">
        <f t="shared" si="0"/>
        <v>174807023515.14325</v>
      </c>
    </row>
    <row r="55" spans="1:5" x14ac:dyDescent="0.2">
      <c r="A55" t="s">
        <v>19</v>
      </c>
      <c r="D55" s="16">
        <f t="shared" si="0"/>
        <v>187043515161.20328</v>
      </c>
    </row>
    <row r="56" spans="1:5" x14ac:dyDescent="0.2">
      <c r="A56" t="s">
        <v>20</v>
      </c>
      <c r="D56" s="16">
        <f t="shared" si="0"/>
        <v>200136561222.48752</v>
      </c>
    </row>
    <row r="57" spans="1:5" x14ac:dyDescent="0.2">
      <c r="A57" t="s">
        <v>21</v>
      </c>
      <c r="D57" s="16">
        <f t="shared" si="0"/>
        <v>214146120508.06165</v>
      </c>
    </row>
    <row r="58" spans="1:5" x14ac:dyDescent="0.2">
      <c r="A58" t="s">
        <v>22</v>
      </c>
      <c r="D58" s="16">
        <f t="shared" si="0"/>
        <v>229136348943.62598</v>
      </c>
    </row>
    <row r="59" spans="1:5" x14ac:dyDescent="0.2">
      <c r="A59" t="s">
        <v>23</v>
      </c>
      <c r="D59" s="16">
        <f t="shared" si="0"/>
        <v>245175893369.67981</v>
      </c>
    </row>
    <row r="60" spans="1:5" x14ac:dyDescent="0.2">
      <c r="A60" t="s">
        <v>24</v>
      </c>
      <c r="D60" s="41">
        <f t="shared" si="0"/>
        <v>262338205905.5574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41">
        <f>+D60/D38/(1+D38)^20</f>
        <v>520102661151.24652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1642743347707.9937</v>
      </c>
    </row>
    <row r="68" spans="1:7" x14ac:dyDescent="0.2">
      <c r="F68" s="18" t="s">
        <v>3</v>
      </c>
    </row>
    <row r="69" spans="1:7" x14ac:dyDescent="0.2">
      <c r="A69" s="19" t="s">
        <v>37</v>
      </c>
      <c r="F69" s="22">
        <v>110087000000</v>
      </c>
    </row>
    <row r="70" spans="1:7" ht="16" thickBot="1" x14ac:dyDescent="0.25">
      <c r="A70" s="19" t="s">
        <v>29</v>
      </c>
      <c r="F70" s="23">
        <f>F67-F69</f>
        <v>1532656347707.9937</v>
      </c>
      <c r="G70" s="19"/>
    </row>
    <row r="71" spans="1:7" ht="16" thickTop="1" x14ac:dyDescent="0.2"/>
    <row r="72" spans="1:7" x14ac:dyDescent="0.2">
      <c r="A72" s="19" t="s">
        <v>35</v>
      </c>
      <c r="F72" s="40">
        <v>15204137000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100.80521819212716</v>
      </c>
    </row>
  </sheetData>
  <pageMargins left="0.25" right="0.25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4561-2033-534D-9240-9CB604031B0F}">
  <sheetPr>
    <pageSetUpPr fitToPage="1"/>
  </sheetPr>
  <dimension ref="A1:K81"/>
  <sheetViews>
    <sheetView topLeftCell="A17" workbookViewId="0">
      <selection activeCell="D46" sqref="D46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296339000</v>
      </c>
      <c r="E6" s="7"/>
      <c r="G6" s="5">
        <v>88784000</v>
      </c>
      <c r="I6" s="9">
        <f t="shared" ref="I6:I14" si="0">D6-G6-H6</f>
        <v>207555000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360046000</v>
      </c>
      <c r="G8" s="5">
        <v>76925000</v>
      </c>
      <c r="I8" s="9">
        <f t="shared" si="0"/>
        <v>283121000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464654000</v>
      </c>
      <c r="G10" s="5">
        <v>33113000</v>
      </c>
      <c r="I10" s="9">
        <f t="shared" si="0"/>
        <v>431541000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332718000</v>
      </c>
      <c r="G12" s="5">
        <v>20905000</v>
      </c>
      <c r="I12" s="9">
        <f t="shared" si="0"/>
        <v>311813000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309958000</v>
      </c>
      <c r="G14" s="5">
        <v>36041000</v>
      </c>
      <c r="I14" s="9">
        <f t="shared" si="0"/>
        <v>273917000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249234000</v>
      </c>
      <c r="G16" s="5">
        <v>66635000</v>
      </c>
      <c r="I16" s="9">
        <f>D16-G16-H16</f>
        <v>182599000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382277000</v>
      </c>
      <c r="G18" s="5">
        <v>53919000</v>
      </c>
      <c r="H18" s="26">
        <v>0</v>
      </c>
      <c r="I18" s="9">
        <f>D18-G18-H18</f>
        <v>328358000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369143000</v>
      </c>
      <c r="G20" s="5">
        <v>78437000</v>
      </c>
      <c r="H20" s="26">
        <v>0</v>
      </c>
      <c r="I20" s="9">
        <f>D20-G20-H20</f>
        <v>290706000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499610000</v>
      </c>
      <c r="G22" s="5">
        <v>94681000</v>
      </c>
      <c r="H22" s="26">
        <v>0</v>
      </c>
      <c r="I22" s="9">
        <f>D22-G22-H22</f>
        <v>404929000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551428000</v>
      </c>
      <c r="G24" s="5">
        <v>128079000</v>
      </c>
      <c r="H24" s="26">
        <v>0</v>
      </c>
      <c r="I24" s="9">
        <f>D24-G24-H24</f>
        <v>423349000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718684000</v>
      </c>
      <c r="G26" s="5">
        <v>87210000</v>
      </c>
      <c r="H26" s="26">
        <v>0</v>
      </c>
      <c r="I26" s="9">
        <f>D26-G26-H26</f>
        <v>631474000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736526000</v>
      </c>
      <c r="G28" s="5">
        <v>79964000</v>
      </c>
      <c r="H28" s="26">
        <v>0</v>
      </c>
      <c r="I28" s="9">
        <f>D28-G28-H28</f>
        <v>656562000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602822000</v>
      </c>
      <c r="G30" s="5">
        <v>76130000</v>
      </c>
      <c r="I30" s="9">
        <f>D30-G30-H30</f>
        <v>526692000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258838000</v>
      </c>
      <c r="G32" s="5">
        <v>66699000</v>
      </c>
      <c r="I32" s="9">
        <f>D32-G32-H32</f>
        <v>192139000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391072500</v>
      </c>
    </row>
    <row r="36" spans="1:9" x14ac:dyDescent="0.2">
      <c r="H36" s="28" t="s">
        <v>34</v>
      </c>
      <c r="I36" s="30">
        <f>(I32/I22)^(1/6)-1</f>
        <v>-0.11683989823443086</v>
      </c>
    </row>
    <row r="37" spans="1:9" x14ac:dyDescent="0.2">
      <c r="H37" s="28" t="s">
        <v>41</v>
      </c>
      <c r="I37" s="30">
        <f>(I32/I14)^(1/10)-1</f>
        <v>-3.4839246169142912E-2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0.14000000000000001</v>
      </c>
      <c r="E46" s="15" t="s">
        <v>3</v>
      </c>
    </row>
    <row r="48" spans="1:9" x14ac:dyDescent="0.2">
      <c r="A48" t="s">
        <v>5</v>
      </c>
      <c r="D48" s="16">
        <f>I35</f>
        <v>391072500</v>
      </c>
      <c r="E48" s="33"/>
    </row>
    <row r="49" spans="1:7" x14ac:dyDescent="0.2">
      <c r="A49" t="s">
        <v>6</v>
      </c>
      <c r="D49" s="16">
        <f t="shared" ref="D49:D67" si="1">D48*(1+D$46)</f>
        <v>445822650.00000006</v>
      </c>
      <c r="F49" t="s">
        <v>3</v>
      </c>
    </row>
    <row r="50" spans="1:7" x14ac:dyDescent="0.2">
      <c r="A50" t="s">
        <v>7</v>
      </c>
      <c r="D50" s="16">
        <f t="shared" si="1"/>
        <v>508237821.00000012</v>
      </c>
    </row>
    <row r="51" spans="1:7" x14ac:dyDescent="0.2">
      <c r="A51" t="s">
        <v>8</v>
      </c>
      <c r="D51" s="16">
        <f t="shared" si="1"/>
        <v>579391115.94000018</v>
      </c>
    </row>
    <row r="52" spans="1:7" x14ac:dyDescent="0.2">
      <c r="A52" t="s">
        <v>9</v>
      </c>
      <c r="D52" s="16">
        <f t="shared" si="1"/>
        <v>660505872.17160022</v>
      </c>
      <c r="G52" t="s">
        <v>33</v>
      </c>
    </row>
    <row r="53" spans="1:7" x14ac:dyDescent="0.2">
      <c r="A53" t="s">
        <v>10</v>
      </c>
      <c r="D53" s="16">
        <f t="shared" si="1"/>
        <v>752976694.27562439</v>
      </c>
    </row>
    <row r="54" spans="1:7" x14ac:dyDescent="0.2">
      <c r="A54" t="s">
        <v>11</v>
      </c>
      <c r="D54" s="16">
        <f t="shared" si="1"/>
        <v>858393431.47421193</v>
      </c>
    </row>
    <row r="55" spans="1:7" x14ac:dyDescent="0.2">
      <c r="A55" t="s">
        <v>12</v>
      </c>
      <c r="D55" s="16">
        <f t="shared" si="1"/>
        <v>978568511.88060176</v>
      </c>
    </row>
    <row r="56" spans="1:7" x14ac:dyDescent="0.2">
      <c r="A56" t="s">
        <v>13</v>
      </c>
      <c r="D56" s="16">
        <f t="shared" si="1"/>
        <v>1115568103.5438862</v>
      </c>
    </row>
    <row r="57" spans="1:7" x14ac:dyDescent="0.2">
      <c r="A57" t="s">
        <v>14</v>
      </c>
      <c r="D57" s="16">
        <f t="shared" si="1"/>
        <v>1271747638.0400305</v>
      </c>
    </row>
    <row r="58" spans="1:7" x14ac:dyDescent="0.2">
      <c r="A58" t="s">
        <v>15</v>
      </c>
      <c r="D58" s="16">
        <f t="shared" si="1"/>
        <v>1449792307.3656349</v>
      </c>
    </row>
    <row r="59" spans="1:7" x14ac:dyDescent="0.2">
      <c r="A59" t="s">
        <v>16</v>
      </c>
      <c r="D59" s="16">
        <f t="shared" si="1"/>
        <v>1652763230.3968239</v>
      </c>
    </row>
    <row r="60" spans="1:7" x14ac:dyDescent="0.2">
      <c r="A60" t="s">
        <v>17</v>
      </c>
      <c r="D60" s="16">
        <f t="shared" si="1"/>
        <v>1884150082.6523795</v>
      </c>
    </row>
    <row r="61" spans="1:7" x14ac:dyDescent="0.2">
      <c r="A61" t="s">
        <v>18</v>
      </c>
      <c r="D61" s="16">
        <f t="shared" si="1"/>
        <v>2147931094.2237129</v>
      </c>
    </row>
    <row r="62" spans="1:7" x14ac:dyDescent="0.2">
      <c r="A62" t="s">
        <v>19</v>
      </c>
      <c r="D62" s="16">
        <f t="shared" si="1"/>
        <v>2448641447.4150329</v>
      </c>
    </row>
    <row r="63" spans="1:7" x14ac:dyDescent="0.2">
      <c r="A63" t="s">
        <v>20</v>
      </c>
      <c r="D63" s="16">
        <f t="shared" si="1"/>
        <v>2791451250.0531378</v>
      </c>
    </row>
    <row r="64" spans="1:7" x14ac:dyDescent="0.2">
      <c r="A64" t="s">
        <v>21</v>
      </c>
      <c r="D64" s="16">
        <f t="shared" si="1"/>
        <v>3182254425.0605774</v>
      </c>
    </row>
    <row r="65" spans="1:8" x14ac:dyDescent="0.2">
      <c r="A65" t="s">
        <v>22</v>
      </c>
      <c r="D65" s="16">
        <f t="shared" si="1"/>
        <v>3627770044.5690584</v>
      </c>
    </row>
    <row r="66" spans="1:8" x14ac:dyDescent="0.2">
      <c r="A66" t="s">
        <v>23</v>
      </c>
      <c r="D66" s="16">
        <f t="shared" si="1"/>
        <v>4135657850.8087273</v>
      </c>
    </row>
    <row r="67" spans="1:8" x14ac:dyDescent="0.2">
      <c r="A67" t="s">
        <v>24</v>
      </c>
      <c r="D67" s="16">
        <f t="shared" si="1"/>
        <v>4714649949.9219494</v>
      </c>
    </row>
    <row r="68" spans="1:8" x14ac:dyDescent="0.2">
      <c r="D68" s="16"/>
    </row>
    <row r="69" spans="1:8" x14ac:dyDescent="0.2">
      <c r="D69" s="16"/>
    </row>
    <row r="70" spans="1:8" x14ac:dyDescent="0.2">
      <c r="D70" s="16"/>
      <c r="E70" t="s">
        <v>27</v>
      </c>
    </row>
    <row r="71" spans="1:8" x14ac:dyDescent="0.2">
      <c r="D71" s="16"/>
      <c r="E71" s="17">
        <f>+D67/D45/(1+D45)^20</f>
        <v>9347102061.9610462</v>
      </c>
    </row>
    <row r="72" spans="1:8" x14ac:dyDescent="0.2">
      <c r="D72" s="16"/>
    </row>
    <row r="74" spans="1:8" x14ac:dyDescent="0.2">
      <c r="A74" s="19" t="s">
        <v>28</v>
      </c>
      <c r="B74" s="19"/>
      <c r="C74" s="19"/>
      <c r="D74" s="19"/>
      <c r="E74" s="19"/>
      <c r="F74" s="20">
        <f>NPV(D45,D48:D67)+E71</f>
        <v>20705905493.105095</v>
      </c>
    </row>
    <row r="75" spans="1:8" x14ac:dyDescent="0.2">
      <c r="F75" s="18" t="s">
        <v>3</v>
      </c>
    </row>
    <row r="76" spans="1:8" ht="20" x14ac:dyDescent="0.2">
      <c r="A76" s="19" t="s">
        <v>37</v>
      </c>
      <c r="F76" s="22">
        <v>2770895000</v>
      </c>
      <c r="G76" s="32"/>
    </row>
    <row r="77" spans="1:8" ht="16" thickBot="1" x14ac:dyDescent="0.25">
      <c r="A77" s="19" t="s">
        <v>29</v>
      </c>
      <c r="F77" s="23">
        <f>F74-F76</f>
        <v>17935010493.105095</v>
      </c>
      <c r="G77" s="19"/>
    </row>
    <row r="78" spans="1:8" ht="16" thickTop="1" x14ac:dyDescent="0.2"/>
    <row r="79" spans="1:8" x14ac:dyDescent="0.2">
      <c r="A79" s="19" t="s">
        <v>35</v>
      </c>
      <c r="F79" s="34">
        <v>129320488</v>
      </c>
      <c r="H79">
        <f>20*605706000</f>
        <v>12114120000</v>
      </c>
    </row>
    <row r="80" spans="1:8" ht="16" thickBot="1" x14ac:dyDescent="0.25">
      <c r="H80">
        <f>H79/F79</f>
        <v>93.675180068915296</v>
      </c>
    </row>
    <row r="81" spans="1:6" ht="16" thickBot="1" x14ac:dyDescent="0.25">
      <c r="A81" s="19" t="s">
        <v>30</v>
      </c>
      <c r="F81" s="31">
        <f>F77/F79</f>
        <v>138.68653583417574</v>
      </c>
    </row>
  </sheetData>
  <pageMargins left="0.25" right="0.25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ECE-23FC-6C4E-9183-5878D031B3DB}">
  <sheetPr>
    <pageSetUpPr fitToPage="1"/>
  </sheetPr>
  <dimension ref="A1:K81"/>
  <sheetViews>
    <sheetView topLeftCell="A33" workbookViewId="0">
      <selection activeCell="F79" sqref="F7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175883000</v>
      </c>
      <c r="E6" s="7"/>
      <c r="G6" s="5">
        <v>35088000</v>
      </c>
      <c r="I6" s="9">
        <f t="shared" ref="I6:I14" si="0">D6-G6-H6</f>
        <v>140795000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256316000</v>
      </c>
      <c r="G8" s="5">
        <v>56535000</v>
      </c>
      <c r="I8" s="9">
        <f t="shared" si="0"/>
        <v>199781000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289177000</v>
      </c>
      <c r="G10" s="5">
        <v>50056000</v>
      </c>
      <c r="I10" s="9">
        <f t="shared" si="0"/>
        <v>239121000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309217000</v>
      </c>
      <c r="G12" s="5">
        <v>53725000</v>
      </c>
      <c r="I12" s="9">
        <f t="shared" si="0"/>
        <v>255492000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340698000</v>
      </c>
      <c r="G14" s="5">
        <v>62830000</v>
      </c>
      <c r="I14" s="9">
        <f t="shared" si="0"/>
        <v>277868000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438236000</v>
      </c>
      <c r="G16" s="5">
        <v>75057000</v>
      </c>
      <c r="I16" s="9">
        <f>D16-G16-H16</f>
        <v>363179000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442081000</v>
      </c>
      <c r="G18" s="5">
        <v>82956000</v>
      </c>
      <c r="H18" s="26">
        <v>0</v>
      </c>
      <c r="I18" s="9">
        <f>D18-G18-H18</f>
        <v>359125000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452991000</v>
      </c>
      <c r="G20" s="5">
        <v>40753000</v>
      </c>
      <c r="H20" s="26">
        <v>0</v>
      </c>
      <c r="I20" s="9">
        <f>D20-G20-H20</f>
        <v>412238000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572322000</v>
      </c>
      <c r="G22" s="5">
        <v>42484000</v>
      </c>
      <c r="H22" s="26">
        <v>0</v>
      </c>
      <c r="I22" s="9">
        <f>D22-G22-H22</f>
        <v>529838000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519629000</v>
      </c>
      <c r="G24" s="5">
        <v>59464000</v>
      </c>
      <c r="H24" s="26">
        <v>0</v>
      </c>
      <c r="I24" s="9">
        <f>D24-G24-H24</f>
        <v>460165000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596528000</v>
      </c>
      <c r="G26" s="5">
        <v>33377000</v>
      </c>
      <c r="H26" s="26">
        <v>0</v>
      </c>
      <c r="I26" s="9">
        <f>D26-G26-H26</f>
        <v>563151000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603136000</v>
      </c>
      <c r="G28" s="5">
        <v>36611000</v>
      </c>
      <c r="H28" s="26">
        <v>0</v>
      </c>
      <c r="I28" s="9">
        <f>D28-G28-H28</f>
        <v>566525000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683750000</v>
      </c>
      <c r="G30" s="5">
        <v>61120000</v>
      </c>
      <c r="I30" s="9">
        <f>D30-G30-H30</f>
        <v>622630000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636881000</v>
      </c>
      <c r="G32" s="5">
        <v>45874000</v>
      </c>
      <c r="I32" s="9">
        <f>D32-G32-H32</f>
        <v>591007000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474572600</v>
      </c>
    </row>
    <row r="36" spans="1:9" x14ac:dyDescent="0.2">
      <c r="H36" s="28" t="s">
        <v>34</v>
      </c>
      <c r="I36" s="30">
        <f>(I32/I22)^(1/6)-1</f>
        <v>1.8376229574909031E-2</v>
      </c>
    </row>
    <row r="37" spans="1:9" x14ac:dyDescent="0.2">
      <c r="H37" s="28" t="s">
        <v>41</v>
      </c>
      <c r="I37" s="30">
        <f>(I32/I14)^(1/10)-1</f>
        <v>7.8388899991520322E-2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0.02</v>
      </c>
      <c r="E46" s="15" t="s">
        <v>3</v>
      </c>
    </row>
    <row r="48" spans="1:9" x14ac:dyDescent="0.2">
      <c r="A48" t="s">
        <v>5</v>
      </c>
      <c r="D48" s="16">
        <f>I35</f>
        <v>474572600</v>
      </c>
      <c r="E48" s="33"/>
    </row>
    <row r="49" spans="1:7" x14ac:dyDescent="0.2">
      <c r="A49" t="s">
        <v>6</v>
      </c>
      <c r="D49" s="16">
        <f t="shared" ref="D49:D67" si="1">D48*(1+D$46)</f>
        <v>484064052</v>
      </c>
      <c r="F49" t="s">
        <v>3</v>
      </c>
    </row>
    <row r="50" spans="1:7" x14ac:dyDescent="0.2">
      <c r="A50" t="s">
        <v>7</v>
      </c>
      <c r="D50" s="16">
        <f t="shared" si="1"/>
        <v>493745333.04000002</v>
      </c>
    </row>
    <row r="51" spans="1:7" x14ac:dyDescent="0.2">
      <c r="A51" t="s">
        <v>8</v>
      </c>
      <c r="D51" s="16">
        <f t="shared" si="1"/>
        <v>503620239.7008</v>
      </c>
    </row>
    <row r="52" spans="1:7" x14ac:dyDescent="0.2">
      <c r="A52" t="s">
        <v>9</v>
      </c>
      <c r="D52" s="16">
        <f t="shared" si="1"/>
        <v>513692644.49481601</v>
      </c>
      <c r="G52" t="s">
        <v>33</v>
      </c>
    </row>
    <row r="53" spans="1:7" x14ac:dyDescent="0.2">
      <c r="A53" t="s">
        <v>10</v>
      </c>
      <c r="D53" s="16">
        <f t="shared" si="1"/>
        <v>523966497.38471234</v>
      </c>
    </row>
    <row r="54" spans="1:7" x14ac:dyDescent="0.2">
      <c r="A54" t="s">
        <v>11</v>
      </c>
      <c r="D54" s="16">
        <f t="shared" si="1"/>
        <v>534445827.33240658</v>
      </c>
    </row>
    <row r="55" spans="1:7" x14ac:dyDescent="0.2">
      <c r="A55" t="s">
        <v>12</v>
      </c>
      <c r="D55" s="16">
        <f t="shared" si="1"/>
        <v>545134743.87905467</v>
      </c>
    </row>
    <row r="56" spans="1:7" x14ac:dyDescent="0.2">
      <c r="A56" t="s">
        <v>13</v>
      </c>
      <c r="D56" s="16">
        <f t="shared" si="1"/>
        <v>556037438.75663579</v>
      </c>
    </row>
    <row r="57" spans="1:7" x14ac:dyDescent="0.2">
      <c r="A57" t="s">
        <v>14</v>
      </c>
      <c r="D57" s="16">
        <f t="shared" si="1"/>
        <v>567158187.53176856</v>
      </c>
    </row>
    <row r="58" spans="1:7" x14ac:dyDescent="0.2">
      <c r="A58" t="s">
        <v>15</v>
      </c>
      <c r="D58" s="16">
        <f t="shared" si="1"/>
        <v>578501351.28240395</v>
      </c>
    </row>
    <row r="59" spans="1:7" x14ac:dyDescent="0.2">
      <c r="A59" t="s">
        <v>16</v>
      </c>
      <c r="D59" s="16">
        <f t="shared" si="1"/>
        <v>590071378.30805206</v>
      </c>
    </row>
    <row r="60" spans="1:7" x14ac:dyDescent="0.2">
      <c r="A60" t="s">
        <v>17</v>
      </c>
      <c r="D60" s="16">
        <f t="shared" si="1"/>
        <v>601872805.8742131</v>
      </c>
    </row>
    <row r="61" spans="1:7" x14ac:dyDescent="0.2">
      <c r="A61" t="s">
        <v>18</v>
      </c>
      <c r="D61" s="16">
        <f t="shared" si="1"/>
        <v>613910261.99169743</v>
      </c>
    </row>
    <row r="62" spans="1:7" x14ac:dyDescent="0.2">
      <c r="A62" t="s">
        <v>19</v>
      </c>
      <c r="D62" s="16">
        <f t="shared" si="1"/>
        <v>626188467.23153138</v>
      </c>
    </row>
    <row r="63" spans="1:7" x14ac:dyDescent="0.2">
      <c r="A63" t="s">
        <v>20</v>
      </c>
      <c r="D63" s="16">
        <f t="shared" si="1"/>
        <v>638712236.57616198</v>
      </c>
    </row>
    <row r="64" spans="1:7" x14ac:dyDescent="0.2">
      <c r="A64" t="s">
        <v>21</v>
      </c>
      <c r="D64" s="16">
        <f t="shared" si="1"/>
        <v>651486481.30768526</v>
      </c>
    </row>
    <row r="65" spans="1:7" x14ac:dyDescent="0.2">
      <c r="A65" t="s">
        <v>22</v>
      </c>
      <c r="D65" s="16">
        <f t="shared" si="1"/>
        <v>664516210.93383896</v>
      </c>
    </row>
    <row r="66" spans="1:7" x14ac:dyDescent="0.2">
      <c r="A66" t="s">
        <v>23</v>
      </c>
      <c r="D66" s="16">
        <f t="shared" si="1"/>
        <v>677806535.15251577</v>
      </c>
    </row>
    <row r="67" spans="1:7" x14ac:dyDescent="0.2">
      <c r="A67" t="s">
        <v>24</v>
      </c>
      <c r="D67" s="16">
        <f t="shared" si="1"/>
        <v>691362665.85556614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1370671729.2316539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6352742232.8964243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0</v>
      </c>
      <c r="G76" s="32"/>
    </row>
    <row r="77" spans="1:7" ht="16" thickBot="1" x14ac:dyDescent="0.25">
      <c r="A77" s="19" t="s">
        <v>29</v>
      </c>
      <c r="F77" s="23">
        <f>F74-F76</f>
        <v>6352742232.8964243</v>
      </c>
      <c r="G77" s="19"/>
    </row>
    <row r="78" spans="1:7" ht="16" thickTop="1" x14ac:dyDescent="0.2"/>
    <row r="79" spans="1:7" x14ac:dyDescent="0.2">
      <c r="A79" s="19" t="s">
        <v>35</v>
      </c>
      <c r="F79" s="34">
        <v>104056508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61.050888166422268</v>
      </c>
    </row>
  </sheetData>
  <pageMargins left="0.25" right="0.25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BB93-1D9D-3647-960D-F198FA19C888}">
  <sheetPr>
    <pageSetUpPr fitToPage="1"/>
  </sheetPr>
  <dimension ref="A1:K81"/>
  <sheetViews>
    <sheetView topLeftCell="A12" workbookViewId="0">
      <selection activeCell="F77" sqref="F77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176543000</v>
      </c>
      <c r="E6" s="7"/>
      <c r="G6" s="5">
        <v>97115000</v>
      </c>
      <c r="I6" s="9">
        <f t="shared" ref="I6:I12" si="0">D6-G6-H6</f>
        <v>79428000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220887000</v>
      </c>
      <c r="G8" s="5">
        <v>128636000</v>
      </c>
      <c r="I8" s="9">
        <f t="shared" si="0"/>
        <v>92251000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239001000</v>
      </c>
      <c r="G10" s="5">
        <v>188578000</v>
      </c>
      <c r="I10" s="9">
        <f t="shared" si="0"/>
        <v>50423000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239001000</v>
      </c>
      <c r="G12" s="5">
        <v>226024000</v>
      </c>
      <c r="I12" s="9">
        <f t="shared" si="0"/>
        <v>12977000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/>
      <c r="G14" s="5">
        <v>249067000</v>
      </c>
      <c r="I14" s="9">
        <f>D14-G14-H14</f>
        <v>-249067000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375874000</v>
      </c>
      <c r="G16" s="5">
        <v>299167000</v>
      </c>
      <c r="I16" s="9">
        <f>D16-G16-H16</f>
        <v>76707000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634385000</v>
      </c>
      <c r="G18" s="5">
        <v>373447000</v>
      </c>
      <c r="H18" s="26">
        <v>0</v>
      </c>
      <c r="I18" s="9">
        <f>D18-G18-H18</f>
        <v>260938000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779366000</v>
      </c>
      <c r="G20" s="5">
        <v>440714000</v>
      </c>
      <c r="H20" s="26">
        <v>0</v>
      </c>
      <c r="I20" s="9">
        <f>D20-G20-H20</f>
        <v>338652000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956127000</v>
      </c>
      <c r="G22" s="5">
        <v>319400000</v>
      </c>
      <c r="H22" s="26">
        <v>0</v>
      </c>
      <c r="I22" s="9">
        <f>D22-G22-H22</f>
        <v>636727000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1101293000</v>
      </c>
      <c r="G24" s="5">
        <v>298534000</v>
      </c>
      <c r="H24" s="26">
        <v>0</v>
      </c>
      <c r="I24" s="9">
        <f>D24-G24-H24</f>
        <v>802759000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810355000</v>
      </c>
      <c r="G26" s="5">
        <v>151866000</v>
      </c>
      <c r="H26" s="26">
        <v>0</v>
      </c>
      <c r="I26" s="9">
        <f>D26-G26-H26</f>
        <v>658489000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1059265000</v>
      </c>
      <c r="G28" s="5">
        <v>172187000</v>
      </c>
      <c r="H28" s="26">
        <v>0</v>
      </c>
      <c r="I28" s="9">
        <f>D28-G28-H28</f>
        <v>887078000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1481915000</v>
      </c>
      <c r="G30" s="5">
        <v>312126000</v>
      </c>
      <c r="I30" s="9">
        <f>D30-G30-H30</f>
        <v>1169789000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1476266000</v>
      </c>
      <c r="G32" s="5">
        <v>435267000</v>
      </c>
      <c r="I32" s="9">
        <f>D32-G32-H32</f>
        <v>1040999000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562307100</v>
      </c>
    </row>
    <row r="36" spans="1:9" x14ac:dyDescent="0.2">
      <c r="H36" s="28" t="s">
        <v>34</v>
      </c>
      <c r="I36" s="30">
        <f>(I32/I22)^(1/6)-1</f>
        <v>8.5382564968383479E-2</v>
      </c>
    </row>
    <row r="37" spans="1:9" x14ac:dyDescent="0.2">
      <c r="H37" s="28" t="s">
        <v>41</v>
      </c>
      <c r="I37" s="30">
        <f>(I32/I16)^(1/9)-1</f>
        <v>0.33612209565571116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0.09</v>
      </c>
      <c r="E46" s="15" t="s">
        <v>3</v>
      </c>
    </row>
    <row r="48" spans="1:9" x14ac:dyDescent="0.2">
      <c r="A48" t="s">
        <v>5</v>
      </c>
      <c r="D48" s="16">
        <f>I35</f>
        <v>562307100</v>
      </c>
      <c r="E48" s="33"/>
    </row>
    <row r="49" spans="1:7" x14ac:dyDescent="0.2">
      <c r="A49" t="s">
        <v>6</v>
      </c>
      <c r="D49" s="16">
        <f t="shared" ref="D49:D67" si="1">D48*(1+D$46)</f>
        <v>612914739</v>
      </c>
      <c r="F49" t="s">
        <v>3</v>
      </c>
    </row>
    <row r="50" spans="1:7" x14ac:dyDescent="0.2">
      <c r="A50" t="s">
        <v>7</v>
      </c>
      <c r="D50" s="16">
        <f t="shared" si="1"/>
        <v>668077065.50999999</v>
      </c>
    </row>
    <row r="51" spans="1:7" x14ac:dyDescent="0.2">
      <c r="A51" t="s">
        <v>8</v>
      </c>
      <c r="D51" s="16">
        <f t="shared" si="1"/>
        <v>728204001.4059</v>
      </c>
    </row>
    <row r="52" spans="1:7" x14ac:dyDescent="0.2">
      <c r="A52" t="s">
        <v>9</v>
      </c>
      <c r="D52" s="16">
        <f t="shared" si="1"/>
        <v>793742361.53243101</v>
      </c>
      <c r="G52" t="s">
        <v>33</v>
      </c>
    </row>
    <row r="53" spans="1:7" x14ac:dyDescent="0.2">
      <c r="A53" t="s">
        <v>10</v>
      </c>
      <c r="D53" s="16">
        <f t="shared" si="1"/>
        <v>865179174.07034981</v>
      </c>
    </row>
    <row r="54" spans="1:7" x14ac:dyDescent="0.2">
      <c r="A54" t="s">
        <v>11</v>
      </c>
      <c r="D54" s="16">
        <f t="shared" si="1"/>
        <v>943045299.73668134</v>
      </c>
    </row>
    <row r="55" spans="1:7" x14ac:dyDescent="0.2">
      <c r="A55" t="s">
        <v>12</v>
      </c>
      <c r="D55" s="16">
        <f t="shared" si="1"/>
        <v>1027919376.7129828</v>
      </c>
    </row>
    <row r="56" spans="1:7" x14ac:dyDescent="0.2">
      <c r="A56" t="s">
        <v>13</v>
      </c>
      <c r="D56" s="16">
        <f t="shared" si="1"/>
        <v>1120432120.6171513</v>
      </c>
    </row>
    <row r="57" spans="1:7" x14ac:dyDescent="0.2">
      <c r="A57" t="s">
        <v>14</v>
      </c>
      <c r="D57" s="16">
        <f t="shared" si="1"/>
        <v>1221271011.4726949</v>
      </c>
    </row>
    <row r="58" spans="1:7" x14ac:dyDescent="0.2">
      <c r="A58" t="s">
        <v>15</v>
      </c>
      <c r="D58" s="16">
        <f t="shared" si="1"/>
        <v>1331185402.5052376</v>
      </c>
    </row>
    <row r="59" spans="1:7" x14ac:dyDescent="0.2">
      <c r="A59" t="s">
        <v>16</v>
      </c>
      <c r="D59" s="16">
        <f t="shared" si="1"/>
        <v>1450992088.7307091</v>
      </c>
    </row>
    <row r="60" spans="1:7" x14ac:dyDescent="0.2">
      <c r="A60" t="s">
        <v>17</v>
      </c>
      <c r="D60" s="16">
        <f t="shared" si="1"/>
        <v>1581581376.7164731</v>
      </c>
    </row>
    <row r="61" spans="1:7" x14ac:dyDescent="0.2">
      <c r="A61" t="s">
        <v>18</v>
      </c>
      <c r="D61" s="16">
        <f t="shared" si="1"/>
        <v>1723923700.6209557</v>
      </c>
    </row>
    <row r="62" spans="1:7" x14ac:dyDescent="0.2">
      <c r="A62" t="s">
        <v>19</v>
      </c>
      <c r="D62" s="16">
        <f t="shared" si="1"/>
        <v>1879076833.676842</v>
      </c>
    </row>
    <row r="63" spans="1:7" x14ac:dyDescent="0.2">
      <c r="A63" t="s">
        <v>20</v>
      </c>
      <c r="D63" s="16">
        <f t="shared" si="1"/>
        <v>2048193748.7077579</v>
      </c>
    </row>
    <row r="64" spans="1:7" x14ac:dyDescent="0.2">
      <c r="A64" t="s">
        <v>21</v>
      </c>
      <c r="D64" s="16">
        <f t="shared" si="1"/>
        <v>2232531186.0914564</v>
      </c>
    </row>
    <row r="65" spans="1:7" x14ac:dyDescent="0.2">
      <c r="A65" t="s">
        <v>22</v>
      </c>
      <c r="D65" s="16">
        <f t="shared" si="1"/>
        <v>2433458992.8396878</v>
      </c>
    </row>
    <row r="66" spans="1:7" x14ac:dyDescent="0.2">
      <c r="A66" t="s">
        <v>23</v>
      </c>
      <c r="D66" s="16">
        <f t="shared" si="1"/>
        <v>2652470302.19526</v>
      </c>
    </row>
    <row r="67" spans="1:7" x14ac:dyDescent="0.2">
      <c r="A67" t="s">
        <v>24</v>
      </c>
      <c r="D67" s="16">
        <f t="shared" si="1"/>
        <v>2891192629.3928337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5731978593.2721729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16049540061.162081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1769492000</v>
      </c>
      <c r="G76" s="32"/>
    </row>
    <row r="77" spans="1:7" ht="16" thickBot="1" x14ac:dyDescent="0.25">
      <c r="A77" s="19" t="s">
        <v>29</v>
      </c>
      <c r="F77" s="23">
        <f>F74-F76</f>
        <v>14280048061.162081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375.81875672894455</v>
      </c>
    </row>
  </sheetData>
  <pageMargins left="0.25" right="0.25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C072-6FF9-FD44-86A6-1D69A0783DEF}">
  <sheetPr>
    <pageSetUpPr fitToPage="1"/>
  </sheetPr>
  <dimension ref="A1:K81"/>
  <sheetViews>
    <sheetView topLeftCell="A17" workbookViewId="0">
      <selection activeCell="H80" sqref="H8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155797000</v>
      </c>
      <c r="E6" s="7"/>
      <c r="G6" s="5">
        <v>19131000</v>
      </c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132786000</v>
      </c>
      <c r="G8" s="5">
        <v>22284000</v>
      </c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110973000</v>
      </c>
      <c r="G10" s="5">
        <v>17476000</v>
      </c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214306000</v>
      </c>
      <c r="G12" s="5">
        <v>27823000</v>
      </c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225551000</v>
      </c>
      <c r="G14" s="5">
        <v>30052000</v>
      </c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225551000</v>
      </c>
      <c r="G16" s="5">
        <v>41213000</v>
      </c>
      <c r="I16" s="9">
        <f>D16-G16-H16</f>
        <v>184338000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157421000</v>
      </c>
      <c r="G18" s="5">
        <v>38375000</v>
      </c>
      <c r="H18" s="26">
        <v>0</v>
      </c>
      <c r="I18" s="9">
        <f>D18-G18-H18</f>
        <v>119046000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163821000</v>
      </c>
      <c r="G20" s="5">
        <v>28168000</v>
      </c>
      <c r="H20" s="26">
        <v>0</v>
      </c>
      <c r="I20" s="9">
        <f>D20-G20-H20</f>
        <v>135653000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210412000</v>
      </c>
      <c r="G22" s="5">
        <v>32902000</v>
      </c>
      <c r="H22" s="26">
        <v>0</v>
      </c>
      <c r="I22" s="9">
        <f>D22-G22-H22</f>
        <v>177510000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226781000</v>
      </c>
      <c r="G24" s="5">
        <v>34978000</v>
      </c>
      <c r="H24" s="26">
        <v>0</v>
      </c>
      <c r="I24" s="9">
        <f>D24-G24-H24</f>
        <v>191803000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209354000</v>
      </c>
      <c r="G26" s="5">
        <v>32498000</v>
      </c>
      <c r="H26" s="26">
        <v>0</v>
      </c>
      <c r="I26" s="9">
        <f>D26-G26-H26</f>
        <v>176856000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226552000</v>
      </c>
      <c r="G28" s="5">
        <v>29855000</v>
      </c>
      <c r="H28" s="26">
        <v>0</v>
      </c>
      <c r="I28" s="9">
        <f>D28-G28-H28</f>
        <v>196697000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220547000</v>
      </c>
      <c r="G30" s="5">
        <v>44352000</v>
      </c>
      <c r="I30" s="9">
        <f>D30-G30-H30</f>
        <v>176195000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225239000</v>
      </c>
      <c r="G32" s="5">
        <v>44949000</v>
      </c>
      <c r="I32" s="9">
        <f>D32-G32-H32</f>
        <v>180290000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153838800</v>
      </c>
    </row>
    <row r="36" spans="1:9" x14ac:dyDescent="0.2">
      <c r="H36" s="28" t="s">
        <v>34</v>
      </c>
      <c r="I36" s="30">
        <f>(I32/I24)^(1/5)-1</f>
        <v>-1.230410541109106E-2</v>
      </c>
    </row>
    <row r="37" spans="1:9" x14ac:dyDescent="0.2">
      <c r="H37" s="28" t="s">
        <v>41</v>
      </c>
      <c r="I37" s="30">
        <f>(I32/I16)^(1/9)-1</f>
        <v>-2.4641105758881343E-3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</v>
      </c>
      <c r="E46" s="15" t="s">
        <v>3</v>
      </c>
    </row>
    <row r="48" spans="1:9" x14ac:dyDescent="0.2">
      <c r="A48" t="s">
        <v>5</v>
      </c>
      <c r="D48" s="16">
        <f>I35</f>
        <v>153838800</v>
      </c>
      <c r="E48" s="33"/>
    </row>
    <row r="49" spans="1:7" x14ac:dyDescent="0.2">
      <c r="A49" t="s">
        <v>6</v>
      </c>
      <c r="D49" s="16">
        <f t="shared" ref="D49:D67" si="0">D48*(1+D$46)</f>
        <v>153838800</v>
      </c>
      <c r="F49" t="s">
        <v>3</v>
      </c>
    </row>
    <row r="50" spans="1:7" x14ac:dyDescent="0.2">
      <c r="A50" t="s">
        <v>7</v>
      </c>
      <c r="D50" s="16">
        <f t="shared" si="0"/>
        <v>153838800</v>
      </c>
    </row>
    <row r="51" spans="1:7" x14ac:dyDescent="0.2">
      <c r="A51" t="s">
        <v>8</v>
      </c>
      <c r="D51" s="16">
        <f t="shared" si="0"/>
        <v>153838800</v>
      </c>
    </row>
    <row r="52" spans="1:7" x14ac:dyDescent="0.2">
      <c r="A52" t="s">
        <v>9</v>
      </c>
      <c r="D52" s="16">
        <f t="shared" si="0"/>
        <v>153838800</v>
      </c>
      <c r="G52" t="s">
        <v>33</v>
      </c>
    </row>
    <row r="53" spans="1:7" x14ac:dyDescent="0.2">
      <c r="A53" t="s">
        <v>10</v>
      </c>
      <c r="D53" s="16">
        <f t="shared" si="0"/>
        <v>153838800</v>
      </c>
    </row>
    <row r="54" spans="1:7" x14ac:dyDescent="0.2">
      <c r="A54" t="s">
        <v>11</v>
      </c>
      <c r="D54" s="16">
        <f t="shared" si="0"/>
        <v>153838800</v>
      </c>
    </row>
    <row r="55" spans="1:7" x14ac:dyDescent="0.2">
      <c r="A55" t="s">
        <v>12</v>
      </c>
      <c r="D55" s="16">
        <f t="shared" si="0"/>
        <v>153838800</v>
      </c>
    </row>
    <row r="56" spans="1:7" x14ac:dyDescent="0.2">
      <c r="A56" t="s">
        <v>13</v>
      </c>
      <c r="D56" s="16">
        <f t="shared" si="0"/>
        <v>153838800</v>
      </c>
    </row>
    <row r="57" spans="1:7" x14ac:dyDescent="0.2">
      <c r="A57" t="s">
        <v>14</v>
      </c>
      <c r="D57" s="16">
        <f t="shared" si="0"/>
        <v>153838800</v>
      </c>
    </row>
    <row r="58" spans="1:7" x14ac:dyDescent="0.2">
      <c r="A58" t="s">
        <v>15</v>
      </c>
      <c r="D58" s="16">
        <f t="shared" si="0"/>
        <v>153838800</v>
      </c>
    </row>
    <row r="59" spans="1:7" x14ac:dyDescent="0.2">
      <c r="A59" t="s">
        <v>16</v>
      </c>
      <c r="D59" s="16">
        <f t="shared" si="0"/>
        <v>153838800</v>
      </c>
    </row>
    <row r="60" spans="1:7" x14ac:dyDescent="0.2">
      <c r="A60" t="s">
        <v>17</v>
      </c>
      <c r="D60" s="16">
        <f t="shared" si="0"/>
        <v>153838800</v>
      </c>
    </row>
    <row r="61" spans="1:7" x14ac:dyDescent="0.2">
      <c r="A61" t="s">
        <v>18</v>
      </c>
      <c r="D61" s="16">
        <f t="shared" si="0"/>
        <v>153838800</v>
      </c>
    </row>
    <row r="62" spans="1:7" x14ac:dyDescent="0.2">
      <c r="A62" t="s">
        <v>19</v>
      </c>
      <c r="D62" s="16">
        <f t="shared" si="0"/>
        <v>153838800</v>
      </c>
    </row>
    <row r="63" spans="1:7" x14ac:dyDescent="0.2">
      <c r="A63" t="s">
        <v>20</v>
      </c>
      <c r="D63" s="16">
        <f t="shared" si="0"/>
        <v>153838800</v>
      </c>
    </row>
    <row r="64" spans="1:7" x14ac:dyDescent="0.2">
      <c r="A64" t="s">
        <v>21</v>
      </c>
      <c r="D64" s="16">
        <f t="shared" si="0"/>
        <v>153838800</v>
      </c>
    </row>
    <row r="65" spans="1:7" x14ac:dyDescent="0.2">
      <c r="A65" t="s">
        <v>22</v>
      </c>
      <c r="D65" s="16">
        <f t="shared" si="0"/>
        <v>153838800</v>
      </c>
    </row>
    <row r="66" spans="1:7" x14ac:dyDescent="0.2">
      <c r="A66" t="s">
        <v>23</v>
      </c>
      <c r="D66" s="16">
        <f t="shared" si="0"/>
        <v>153838800</v>
      </c>
    </row>
    <row r="67" spans="1:7" x14ac:dyDescent="0.2">
      <c r="A67" t="s">
        <v>24</v>
      </c>
      <c r="D67" s="16">
        <f t="shared" si="0"/>
        <v>153838800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304995488.52262467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1709319999.999999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1077329000</v>
      </c>
      <c r="G76" s="32"/>
    </row>
    <row r="77" spans="1:7" ht="16" thickBot="1" x14ac:dyDescent="0.25">
      <c r="A77" s="19" t="s">
        <v>29</v>
      </c>
      <c r="F77" s="23">
        <f>F74-F76</f>
        <v>631990999.99999905</v>
      </c>
      <c r="G77" s="19"/>
    </row>
    <row r="78" spans="1:7" ht="16" thickTop="1" x14ac:dyDescent="0.2"/>
    <row r="79" spans="1:7" x14ac:dyDescent="0.2">
      <c r="A79" s="19" t="s">
        <v>35</v>
      </c>
      <c r="F79" s="37">
        <v>64045887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9.8677843278210684</v>
      </c>
    </row>
  </sheetData>
  <pageMargins left="0.25" right="0.25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00F5-DBF1-4E4A-A20F-5401E2D375A0}">
  <sheetPr>
    <pageSetUpPr fitToPage="1"/>
  </sheetPr>
  <dimension ref="A1:K74"/>
  <sheetViews>
    <sheetView topLeftCell="A24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375762000</v>
      </c>
      <c r="G7" s="5">
        <v>39739000</v>
      </c>
      <c r="I7" s="9">
        <f>D7-G7-H7</f>
        <v>336023000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370039000</v>
      </c>
      <c r="G9" s="5">
        <v>68321000</v>
      </c>
      <c r="I9" s="9">
        <f>D9-G9-H9</f>
        <v>301718000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514325000</v>
      </c>
      <c r="G11" s="5">
        <v>79220000</v>
      </c>
      <c r="H11" s="26">
        <v>0</v>
      </c>
      <c r="I11" s="9">
        <f>D11-G11-H11</f>
        <v>435105000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385729000</v>
      </c>
      <c r="G13" s="5">
        <v>80049000</v>
      </c>
      <c r="H13" s="26">
        <v>0</v>
      </c>
      <c r="I13" s="9">
        <f>D13-G13-H13</f>
        <v>305680000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606547000</v>
      </c>
      <c r="G15" s="5">
        <v>89802000</v>
      </c>
      <c r="H15" s="26">
        <v>0</v>
      </c>
      <c r="I15" s="9">
        <f>D15-G15-H15</f>
        <v>516745000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483748000</v>
      </c>
      <c r="G17" s="5">
        <v>91604000</v>
      </c>
      <c r="H17" s="26">
        <v>0</v>
      </c>
      <c r="I17" s="9">
        <f>D17-G17-H17</f>
        <v>392144000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748736000</v>
      </c>
      <c r="G19" s="5">
        <v>46595000</v>
      </c>
      <c r="H19" s="26">
        <v>0</v>
      </c>
      <c r="I19" s="9">
        <f>D19-G19-H19</f>
        <v>702141000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143474000</v>
      </c>
      <c r="G21" s="5">
        <v>42572000</v>
      </c>
      <c r="H21" s="26">
        <v>0</v>
      </c>
      <c r="I21" s="9">
        <f>D21-G21-H21</f>
        <v>100902000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181834000</v>
      </c>
      <c r="G23" s="5">
        <v>44272000</v>
      </c>
      <c r="I23" s="9">
        <f>D23-G23-H23</f>
        <v>137562000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203919000</v>
      </c>
      <c r="G25" s="5">
        <v>35207000</v>
      </c>
      <c r="I25" s="9">
        <f>D25-G25-H25</f>
        <v>168712000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339673200</v>
      </c>
    </row>
    <row r="29" spans="1:11" x14ac:dyDescent="0.2">
      <c r="H29" s="28" t="s">
        <v>39</v>
      </c>
      <c r="I29" s="30">
        <f>(I25/I7)^(1/H30)-1</f>
        <v>-6.6578721609626856E-2</v>
      </c>
    </row>
    <row r="30" spans="1:11" x14ac:dyDescent="0.2">
      <c r="H30" s="19">
        <v>10</v>
      </c>
    </row>
    <row r="31" spans="1:11" x14ac:dyDescent="0.2">
      <c r="H31" s="19" t="s">
        <v>34</v>
      </c>
      <c r="I31" s="30">
        <f>(I$25/I$15)^(1/6)-1</f>
        <v>-0.17019073065995061</v>
      </c>
    </row>
    <row r="32" spans="1:11" x14ac:dyDescent="0.2">
      <c r="H32" t="s">
        <v>88</v>
      </c>
      <c r="I32" s="30">
        <f>(I$25/I$21)^(1/3)-1</f>
        <v>0.18690347057973278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-7.0000000000000007E-2</v>
      </c>
      <c r="E39" s="15" t="s">
        <v>3</v>
      </c>
    </row>
    <row r="41" spans="1:8" x14ac:dyDescent="0.2">
      <c r="A41" t="s">
        <v>5</v>
      </c>
      <c r="D41" s="16">
        <f>I28</f>
        <v>339673200</v>
      </c>
      <c r="E41" s="15" t="s">
        <v>3</v>
      </c>
      <c r="F41" s="16">
        <f>SUM(D42:D46)</f>
        <v>1373297857.4184446</v>
      </c>
    </row>
    <row r="42" spans="1:8" x14ac:dyDescent="0.2">
      <c r="A42" t="s">
        <v>6</v>
      </c>
      <c r="D42" s="16">
        <f t="shared" ref="D42:D60" si="0">D41*(1+D$39)</f>
        <v>315896076</v>
      </c>
      <c r="F42" s="39">
        <f>F41-F69</f>
        <v>-388451142.58155537</v>
      </c>
    </row>
    <row r="43" spans="1:8" x14ac:dyDescent="0.2">
      <c r="A43" t="s">
        <v>7</v>
      </c>
      <c r="D43" s="16">
        <f t="shared" si="0"/>
        <v>293783350.68000001</v>
      </c>
    </row>
    <row r="44" spans="1:8" x14ac:dyDescent="0.2">
      <c r="A44" t="s">
        <v>8</v>
      </c>
      <c r="D44" s="16">
        <f t="shared" si="0"/>
        <v>273218516.13239998</v>
      </c>
    </row>
    <row r="45" spans="1:8" x14ac:dyDescent="0.2">
      <c r="A45" t="s">
        <v>9</v>
      </c>
      <c r="D45" s="16">
        <f t="shared" si="0"/>
        <v>254093220.00313196</v>
      </c>
      <c r="G45" t="s">
        <v>33</v>
      </c>
    </row>
    <row r="46" spans="1:8" x14ac:dyDescent="0.2">
      <c r="A46" t="s">
        <v>10</v>
      </c>
      <c r="D46" s="16">
        <f t="shared" si="0"/>
        <v>236306694.60291269</v>
      </c>
    </row>
    <row r="47" spans="1:8" x14ac:dyDescent="0.2">
      <c r="A47" t="s">
        <v>11</v>
      </c>
      <c r="D47" s="16">
        <f t="shared" si="0"/>
        <v>219765225.98070878</v>
      </c>
    </row>
    <row r="48" spans="1:8" x14ac:dyDescent="0.2">
      <c r="A48" t="s">
        <v>12</v>
      </c>
      <c r="D48" s="16">
        <f t="shared" si="0"/>
        <v>204381660.16205916</v>
      </c>
    </row>
    <row r="49" spans="1:5" x14ac:dyDescent="0.2">
      <c r="A49" t="s">
        <v>13</v>
      </c>
      <c r="D49" s="16">
        <f t="shared" si="0"/>
        <v>190074943.95071501</v>
      </c>
    </row>
    <row r="50" spans="1:5" x14ac:dyDescent="0.2">
      <c r="A50" t="s">
        <v>14</v>
      </c>
      <c r="D50" s="16">
        <f t="shared" si="0"/>
        <v>176769697.87416494</v>
      </c>
    </row>
    <row r="51" spans="1:5" x14ac:dyDescent="0.2">
      <c r="A51" t="s">
        <v>15</v>
      </c>
      <c r="D51" s="16">
        <f t="shared" si="0"/>
        <v>164395819.02297339</v>
      </c>
    </row>
    <row r="52" spans="1:5" x14ac:dyDescent="0.2">
      <c r="A52" t="s">
        <v>16</v>
      </c>
      <c r="D52" s="16">
        <f t="shared" si="0"/>
        <v>152888111.69136524</v>
      </c>
    </row>
    <row r="53" spans="1:5" x14ac:dyDescent="0.2">
      <c r="A53" t="s">
        <v>17</v>
      </c>
      <c r="D53" s="16">
        <f t="shared" si="0"/>
        <v>142185943.87296966</v>
      </c>
    </row>
    <row r="54" spans="1:5" x14ac:dyDescent="0.2">
      <c r="A54" t="s">
        <v>18</v>
      </c>
      <c r="D54" s="16">
        <f t="shared" si="0"/>
        <v>132232927.80186178</v>
      </c>
    </row>
    <row r="55" spans="1:5" x14ac:dyDescent="0.2">
      <c r="A55" t="s">
        <v>19</v>
      </c>
      <c r="D55" s="16">
        <f t="shared" si="0"/>
        <v>122976622.85573144</v>
      </c>
    </row>
    <row r="56" spans="1:5" x14ac:dyDescent="0.2">
      <c r="A56" t="s">
        <v>20</v>
      </c>
      <c r="D56" s="16">
        <f t="shared" si="0"/>
        <v>114368259.25583023</v>
      </c>
    </row>
    <row r="57" spans="1:5" x14ac:dyDescent="0.2">
      <c r="A57" t="s">
        <v>21</v>
      </c>
      <c r="D57" s="16">
        <f t="shared" si="0"/>
        <v>106362481.10792211</v>
      </c>
    </row>
    <row r="58" spans="1:5" x14ac:dyDescent="0.2">
      <c r="A58" t="s">
        <v>22</v>
      </c>
      <c r="D58" s="16">
        <f t="shared" si="0"/>
        <v>98917107.430367559</v>
      </c>
    </row>
    <row r="59" spans="1:5" x14ac:dyDescent="0.2">
      <c r="A59" t="s">
        <v>23</v>
      </c>
      <c r="D59" s="16">
        <f t="shared" si="0"/>
        <v>91992909.910241827</v>
      </c>
    </row>
    <row r="60" spans="1:5" x14ac:dyDescent="0.2">
      <c r="A60" t="s">
        <v>24</v>
      </c>
      <c r="D60" s="16">
        <f t="shared" si="0"/>
        <v>85553406.216524899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169615226.61242527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2203842761.1907988</v>
      </c>
    </row>
    <row r="68" spans="1:7" x14ac:dyDescent="0.2">
      <c r="F68" s="18" t="s">
        <v>3</v>
      </c>
    </row>
    <row r="69" spans="1:7" x14ac:dyDescent="0.2">
      <c r="A69" s="19" t="s">
        <v>37</v>
      </c>
      <c r="F69" s="22">
        <f>2361749000-600000000</f>
        <v>1761749000</v>
      </c>
    </row>
    <row r="70" spans="1:7" ht="16" thickBot="1" x14ac:dyDescent="0.25">
      <c r="A70" s="19" t="s">
        <v>29</v>
      </c>
      <c r="F70" s="23">
        <f>F67-F69</f>
        <v>442093761.19079876</v>
      </c>
      <c r="G70" s="19"/>
    </row>
    <row r="71" spans="1:7" ht="16" thickTop="1" x14ac:dyDescent="0.2"/>
    <row r="72" spans="1:7" x14ac:dyDescent="0.2">
      <c r="A72" s="19" t="s">
        <v>35</v>
      </c>
      <c r="F72" s="27">
        <v>43991000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10.049641090013838</v>
      </c>
    </row>
  </sheetData>
  <pageMargins left="0.25" right="0.25" top="0.75" bottom="0.75" header="0.3" footer="0.3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"/>
  <sheetViews>
    <sheetView topLeftCell="A21" workbookViewId="0">
      <selection activeCell="H56" sqref="H56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K7" s="3"/>
    </row>
    <row r="8" spans="1:11" x14ac:dyDescent="0.2">
      <c r="K8" s="3"/>
    </row>
    <row r="9" spans="1:11" x14ac:dyDescent="0.2">
      <c r="K9" s="10"/>
    </row>
    <row r="10" spans="1:11" x14ac:dyDescent="0.2">
      <c r="K10" s="10"/>
    </row>
    <row r="11" spans="1:11" x14ac:dyDescent="0.2">
      <c r="K11" s="10"/>
    </row>
    <row r="12" spans="1:11" x14ac:dyDescent="0.2">
      <c r="K12" s="10"/>
    </row>
    <row r="13" spans="1:11" x14ac:dyDescent="0.2">
      <c r="K13" s="10"/>
    </row>
    <row r="14" spans="1:11" x14ac:dyDescent="0.2">
      <c r="K14" s="10"/>
    </row>
    <row r="15" spans="1:11" x14ac:dyDescent="0.2">
      <c r="A15" s="3">
        <v>2014</v>
      </c>
      <c r="D15" s="5">
        <v>-788488000</v>
      </c>
      <c r="G15" s="5">
        <v>22599000</v>
      </c>
      <c r="I15" s="9">
        <f>D15-G15-H15</f>
        <v>-811087000</v>
      </c>
      <c r="K15" s="21"/>
    </row>
    <row r="16" spans="1:11" x14ac:dyDescent="0.2">
      <c r="A16" s="3"/>
      <c r="D16" s="5"/>
      <c r="G16" s="5"/>
      <c r="I16" s="9"/>
      <c r="K16" s="21"/>
    </row>
    <row r="17" spans="1:11" x14ac:dyDescent="0.2">
      <c r="A17" s="3">
        <v>2015</v>
      </c>
      <c r="D17" s="5">
        <v>-419646000</v>
      </c>
      <c r="G17" s="5">
        <v>91355000</v>
      </c>
      <c r="I17" s="9">
        <f>D17-G17-H17</f>
        <v>-511001000</v>
      </c>
      <c r="K17" s="21"/>
    </row>
    <row r="18" spans="1:11" x14ac:dyDescent="0.2">
      <c r="A18" s="3"/>
      <c r="D18" s="5"/>
      <c r="G18" s="5"/>
      <c r="I18" s="9"/>
    </row>
    <row r="19" spans="1:11" x14ac:dyDescent="0.2">
      <c r="A19" s="3">
        <v>2016</v>
      </c>
      <c r="D19" s="5">
        <v>507804000</v>
      </c>
      <c r="G19" s="5">
        <v>76439000</v>
      </c>
      <c r="H19" s="26">
        <v>0</v>
      </c>
      <c r="I19" s="9">
        <f>D19-G19-H19</f>
        <v>431365000</v>
      </c>
      <c r="K19" s="12"/>
    </row>
    <row r="20" spans="1:11" x14ac:dyDescent="0.2">
      <c r="A20" s="3"/>
      <c r="D20" s="5"/>
      <c r="G20" s="5"/>
      <c r="H20" s="26"/>
      <c r="J20" t="s">
        <v>3</v>
      </c>
      <c r="K20" s="11" t="s">
        <v>3</v>
      </c>
    </row>
    <row r="21" spans="1:11" x14ac:dyDescent="0.2">
      <c r="A21" s="3">
        <v>2017</v>
      </c>
      <c r="D21" s="5">
        <v>982374000</v>
      </c>
      <c r="G21" s="5">
        <v>111773000</v>
      </c>
      <c r="H21" s="26">
        <v>0</v>
      </c>
      <c r="I21" s="9">
        <f>D21-G21-H21</f>
        <v>870601000</v>
      </c>
    </row>
    <row r="22" spans="1:11" x14ac:dyDescent="0.2">
      <c r="A22" s="3"/>
      <c r="D22" s="5"/>
      <c r="G22" s="5"/>
      <c r="H22" s="26"/>
      <c r="I22" s="9" t="s">
        <v>3</v>
      </c>
    </row>
    <row r="23" spans="1:11" x14ac:dyDescent="0.2">
      <c r="A23" s="3">
        <v>2018</v>
      </c>
      <c r="D23" s="5">
        <v>1691747000</v>
      </c>
      <c r="G23" s="5">
        <v>130439000</v>
      </c>
      <c r="H23" s="26">
        <v>0</v>
      </c>
      <c r="I23" s="9">
        <f>D23-G23-H23</f>
        <v>1561308000</v>
      </c>
    </row>
    <row r="24" spans="1:11" x14ac:dyDescent="0.2">
      <c r="A24" s="3"/>
      <c r="D24" s="5"/>
      <c r="G24" s="5"/>
      <c r="H24" s="26"/>
    </row>
    <row r="25" spans="1:11" x14ac:dyDescent="0.2">
      <c r="A25" s="3">
        <v>2019</v>
      </c>
      <c r="D25" s="5">
        <v>1482343000</v>
      </c>
      <c r="G25" s="5">
        <v>86497000</v>
      </c>
      <c r="H25" s="26">
        <v>0</v>
      </c>
      <c r="I25" s="9">
        <f>D25-G25-H25</f>
        <v>1395846000</v>
      </c>
    </row>
    <row r="26" spans="1:11" x14ac:dyDescent="0.2">
      <c r="A26" s="3"/>
      <c r="D26" s="5"/>
      <c r="G26" s="5"/>
      <c r="H26" s="26"/>
      <c r="I26" s="9" t="s">
        <v>3</v>
      </c>
    </row>
    <row r="27" spans="1:11" x14ac:dyDescent="0.2">
      <c r="A27" s="3">
        <v>2020</v>
      </c>
      <c r="D27" s="5">
        <v>4190819000</v>
      </c>
      <c r="G27" s="5">
        <v>72752000</v>
      </c>
      <c r="H27" s="26">
        <v>0</v>
      </c>
      <c r="I27" s="9">
        <f>D27-G27-H27</f>
        <v>4118067000</v>
      </c>
    </row>
    <row r="28" spans="1:11" x14ac:dyDescent="0.2">
      <c r="A28" s="3"/>
      <c r="D28" s="5"/>
      <c r="G28" s="5"/>
      <c r="H28" s="26"/>
      <c r="I28" s="9"/>
    </row>
    <row r="29" spans="1:11" x14ac:dyDescent="0.2">
      <c r="A29" s="3">
        <v>2021</v>
      </c>
      <c r="D29" s="5">
        <v>2532774000</v>
      </c>
      <c r="G29" s="5">
        <v>65172000</v>
      </c>
      <c r="H29" s="26">
        <v>0</v>
      </c>
      <c r="I29" s="9">
        <f>D29-G29-H29</f>
        <v>2467602000</v>
      </c>
    </row>
    <row r="30" spans="1:11" x14ac:dyDescent="0.2">
      <c r="A30" s="3"/>
      <c r="D30" s="5"/>
      <c r="G30" s="5"/>
      <c r="I30" s="9"/>
    </row>
    <row r="31" spans="1:11" x14ac:dyDescent="0.2">
      <c r="A31" s="3">
        <v>2022</v>
      </c>
      <c r="D31" s="5">
        <v>3265668000</v>
      </c>
      <c r="G31" s="5">
        <v>57214000</v>
      </c>
      <c r="I31" s="9">
        <f>D31-G31-H31</f>
        <v>3208454000</v>
      </c>
    </row>
    <row r="32" spans="1:11" x14ac:dyDescent="0.2">
      <c r="A32" s="3"/>
      <c r="D32" s="5"/>
      <c r="G32" s="5"/>
      <c r="I32" s="9"/>
    </row>
    <row r="33" spans="1:9" x14ac:dyDescent="0.2">
      <c r="A33" s="3">
        <v>2023</v>
      </c>
      <c r="D33" s="5">
        <v>5179738000</v>
      </c>
      <c r="G33" s="5">
        <v>99799000</v>
      </c>
      <c r="I33" s="9">
        <f>D33-G33-H33</f>
        <v>5079939000</v>
      </c>
    </row>
    <row r="34" spans="1:9" x14ac:dyDescent="0.2">
      <c r="A34" s="3"/>
    </row>
    <row r="35" spans="1:9" x14ac:dyDescent="0.2">
      <c r="A35" s="3"/>
    </row>
    <row r="36" spans="1:9" x14ac:dyDescent="0.2">
      <c r="H36" s="28" t="s">
        <v>4</v>
      </c>
      <c r="I36" s="29">
        <f>SUM(I15:I33)/10</f>
        <v>1781109400</v>
      </c>
    </row>
    <row r="37" spans="1:9" x14ac:dyDescent="0.2">
      <c r="H37" s="28" t="s">
        <v>34</v>
      </c>
      <c r="I37" s="30">
        <f>(I33/I23)^(1/6)-1</f>
        <v>0.21729260970413566</v>
      </c>
    </row>
    <row r="38" spans="1:9" x14ac:dyDescent="0.2">
      <c r="H38" s="19" t="s">
        <v>40</v>
      </c>
      <c r="I38" s="30">
        <f>(I33/I19)^(1/8)-1</f>
        <v>0.36105820846018966</v>
      </c>
    </row>
    <row r="45" spans="1:9" x14ac:dyDescent="0.2">
      <c r="A45" s="3" t="s">
        <v>25</v>
      </c>
      <c r="H45" s="28" t="s">
        <v>3</v>
      </c>
    </row>
    <row r="46" spans="1:9" x14ac:dyDescent="0.2">
      <c r="A46" t="s">
        <v>26</v>
      </c>
      <c r="D46" s="13">
        <v>0.09</v>
      </c>
      <c r="E46" s="19" t="s">
        <v>3</v>
      </c>
      <c r="F46" s="19"/>
      <c r="G46" s="19"/>
      <c r="H46" s="19"/>
    </row>
    <row r="47" spans="1:9" x14ac:dyDescent="0.2">
      <c r="A47" t="s">
        <v>36</v>
      </c>
      <c r="D47" s="14">
        <v>0.08</v>
      </c>
      <c r="E47" s="15" t="s">
        <v>3</v>
      </c>
    </row>
    <row r="49" spans="1:8" x14ac:dyDescent="0.2">
      <c r="A49" t="s">
        <v>5</v>
      </c>
      <c r="D49" s="16">
        <f>I36</f>
        <v>1781109400</v>
      </c>
      <c r="E49" s="15" t="s">
        <v>3</v>
      </c>
    </row>
    <row r="50" spans="1:8" x14ac:dyDescent="0.2">
      <c r="A50" t="s">
        <v>6</v>
      </c>
      <c r="D50" s="16">
        <f t="shared" ref="D50:D68" si="0">D49*(1+D$47)</f>
        <v>1923598152.0000002</v>
      </c>
      <c r="F50" t="s">
        <v>3</v>
      </c>
    </row>
    <row r="51" spans="1:8" x14ac:dyDescent="0.2">
      <c r="A51" t="s">
        <v>7</v>
      </c>
      <c r="D51" s="16">
        <f t="shared" si="0"/>
        <v>2077486004.1600003</v>
      </c>
    </row>
    <row r="52" spans="1:8" x14ac:dyDescent="0.2">
      <c r="A52" t="s">
        <v>8</v>
      </c>
      <c r="D52" s="16">
        <f t="shared" si="0"/>
        <v>2243684884.4928007</v>
      </c>
    </row>
    <row r="53" spans="1:8" x14ac:dyDescent="0.2">
      <c r="A53" t="s">
        <v>9</v>
      </c>
      <c r="D53" s="16">
        <f t="shared" si="0"/>
        <v>2423179675.2522249</v>
      </c>
      <c r="G53" t="s">
        <v>33</v>
      </c>
    </row>
    <row r="54" spans="1:8" x14ac:dyDescent="0.2">
      <c r="A54" t="s">
        <v>10</v>
      </c>
      <c r="D54" s="16">
        <f t="shared" si="0"/>
        <v>2617034049.2724032</v>
      </c>
    </row>
    <row r="55" spans="1:8" x14ac:dyDescent="0.2">
      <c r="A55" t="s">
        <v>11</v>
      </c>
      <c r="D55" s="16">
        <f t="shared" si="0"/>
        <v>2826396773.2141957</v>
      </c>
    </row>
    <row r="56" spans="1:8" x14ac:dyDescent="0.2">
      <c r="A56" t="s">
        <v>12</v>
      </c>
      <c r="D56" s="16">
        <f t="shared" si="0"/>
        <v>3052508515.0713315</v>
      </c>
      <c r="H56" t="s">
        <v>90</v>
      </c>
    </row>
    <row r="57" spans="1:8" x14ac:dyDescent="0.2">
      <c r="A57" t="s">
        <v>13</v>
      </c>
      <c r="D57" s="16">
        <f t="shared" si="0"/>
        <v>3296709196.2770381</v>
      </c>
    </row>
    <row r="58" spans="1:8" x14ac:dyDescent="0.2">
      <c r="A58" t="s">
        <v>14</v>
      </c>
      <c r="D58" s="16">
        <f t="shared" si="0"/>
        <v>3560445931.9792013</v>
      </c>
    </row>
    <row r="59" spans="1:8" x14ac:dyDescent="0.2">
      <c r="A59" t="s">
        <v>15</v>
      </c>
      <c r="D59" s="16">
        <f t="shared" si="0"/>
        <v>3845281606.5375376</v>
      </c>
    </row>
    <row r="60" spans="1:8" x14ac:dyDescent="0.2">
      <c r="A60" t="s">
        <v>16</v>
      </c>
      <c r="D60" s="16">
        <f t="shared" si="0"/>
        <v>4152904135.0605407</v>
      </c>
    </row>
    <row r="61" spans="1:8" x14ac:dyDescent="0.2">
      <c r="A61" t="s">
        <v>17</v>
      </c>
      <c r="D61" s="16">
        <f t="shared" si="0"/>
        <v>4485136465.8653841</v>
      </c>
    </row>
    <row r="62" spans="1:8" x14ac:dyDescent="0.2">
      <c r="A62" t="s">
        <v>18</v>
      </c>
      <c r="D62" s="16">
        <f t="shared" si="0"/>
        <v>4843947383.1346149</v>
      </c>
    </row>
    <row r="63" spans="1:8" x14ac:dyDescent="0.2">
      <c r="A63" t="s">
        <v>19</v>
      </c>
      <c r="D63" s="16">
        <f t="shared" si="0"/>
        <v>5231463173.7853842</v>
      </c>
    </row>
    <row r="64" spans="1:8" x14ac:dyDescent="0.2">
      <c r="A64" t="s">
        <v>20</v>
      </c>
      <c r="D64" s="16">
        <f t="shared" si="0"/>
        <v>5649980227.6882153</v>
      </c>
    </row>
    <row r="65" spans="1:7" x14ac:dyDescent="0.2">
      <c r="A65" t="s">
        <v>21</v>
      </c>
      <c r="D65" s="16">
        <f t="shared" si="0"/>
        <v>6101978645.9032726</v>
      </c>
    </row>
    <row r="66" spans="1:7" x14ac:dyDescent="0.2">
      <c r="A66" t="s">
        <v>22</v>
      </c>
      <c r="D66" s="16">
        <f t="shared" si="0"/>
        <v>6590136937.5755348</v>
      </c>
    </row>
    <row r="67" spans="1:7" x14ac:dyDescent="0.2">
      <c r="A67" t="s">
        <v>23</v>
      </c>
      <c r="D67" s="16">
        <f t="shared" si="0"/>
        <v>7117347892.5815783</v>
      </c>
    </row>
    <row r="68" spans="1:7" x14ac:dyDescent="0.2">
      <c r="A68" t="s">
        <v>24</v>
      </c>
      <c r="D68" s="16">
        <f t="shared" si="0"/>
        <v>7686735723.9881048</v>
      </c>
    </row>
    <row r="69" spans="1:7" x14ac:dyDescent="0.2">
      <c r="D69" s="16"/>
    </row>
    <row r="70" spans="1:7" x14ac:dyDescent="0.2">
      <c r="D70" s="16"/>
    </row>
    <row r="71" spans="1:7" x14ac:dyDescent="0.2">
      <c r="D71" s="16"/>
      <c r="E71" t="s">
        <v>27</v>
      </c>
    </row>
    <row r="72" spans="1:7" x14ac:dyDescent="0.2">
      <c r="D72" s="16"/>
      <c r="E72" s="17">
        <f>+D68/D46/(1+D46)^20</f>
        <v>15239456608.359291</v>
      </c>
    </row>
    <row r="73" spans="1:7" x14ac:dyDescent="0.2">
      <c r="D73" s="16"/>
    </row>
    <row r="75" spans="1:7" x14ac:dyDescent="0.2">
      <c r="A75" s="19" t="s">
        <v>28</v>
      </c>
      <c r="B75" s="19"/>
      <c r="C75" s="19"/>
      <c r="D75" s="19"/>
      <c r="E75" s="19"/>
      <c r="F75" s="20">
        <f>NPV(D46,D49:D68)+E72</f>
        <v>45222878375.106995</v>
      </c>
    </row>
    <row r="76" spans="1:7" x14ac:dyDescent="0.2">
      <c r="F76" s="18" t="s">
        <v>3</v>
      </c>
    </row>
    <row r="77" spans="1:7" ht="20" x14ac:dyDescent="0.2">
      <c r="A77" s="19" t="s">
        <v>37</v>
      </c>
      <c r="F77" s="22">
        <v>2816482000</v>
      </c>
      <c r="G77" s="32"/>
    </row>
    <row r="78" spans="1:7" ht="16" thickBot="1" x14ac:dyDescent="0.25">
      <c r="A78" s="19" t="s">
        <v>29</v>
      </c>
      <c r="F78" s="23">
        <f>F75-F77</f>
        <v>42406396375.106995</v>
      </c>
      <c r="G78" s="19"/>
    </row>
    <row r="79" spans="1:7" ht="16" thickTop="1" x14ac:dyDescent="0.2"/>
    <row r="80" spans="1:7" x14ac:dyDescent="0.2">
      <c r="A80" s="19" t="s">
        <v>35</v>
      </c>
      <c r="F80" s="27">
        <v>283319000</v>
      </c>
    </row>
    <row r="81" spans="1:6" ht="16" thickBot="1" x14ac:dyDescent="0.25"/>
    <row r="82" spans="1:6" ht="16" thickBot="1" x14ac:dyDescent="0.25">
      <c r="A82" s="19" t="s">
        <v>30</v>
      </c>
      <c r="F82" s="31">
        <f>F78/F80</f>
        <v>149.67720617080744</v>
      </c>
    </row>
  </sheetData>
  <pageMargins left="0.25" right="0.25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BRBR</vt:lpstr>
      <vt:lpstr>USNA</vt:lpstr>
      <vt:lpstr>AAPL</vt:lpstr>
      <vt:lpstr>BAH</vt:lpstr>
      <vt:lpstr>RHI</vt:lpstr>
      <vt:lpstr>ULTA</vt:lpstr>
      <vt:lpstr>SPH</vt:lpstr>
      <vt:lpstr>AMCX</vt:lpstr>
      <vt:lpstr>LEN</vt:lpstr>
      <vt:lpstr>BBW</vt:lpstr>
      <vt:lpstr>VFC</vt:lpstr>
      <vt:lpstr>ANF</vt:lpstr>
      <vt:lpstr>CCRN</vt:lpstr>
      <vt:lpstr>AMN</vt:lpstr>
      <vt:lpstr>GDDY</vt:lpstr>
    </vt:vector>
  </TitlesOfParts>
  <Company>Baldwin-Wallace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</dc:creator>
  <cp:lastModifiedBy>Gooch, Eli</cp:lastModifiedBy>
  <cp:lastPrinted>2014-12-31T21:36:26Z</cp:lastPrinted>
  <dcterms:created xsi:type="dcterms:W3CDTF">2012-10-12T17:55:56Z</dcterms:created>
  <dcterms:modified xsi:type="dcterms:W3CDTF">2025-02-22T07:18:02Z</dcterms:modified>
</cp:coreProperties>
</file>