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lleleeuwerke/Desktop/Scripts used copy/"/>
    </mc:Choice>
  </mc:AlternateContent>
  <xr:revisionPtr revIDLastSave="0" documentId="13_ncr:1_{FBBDD031-B6E8-7E49-99F7-2C367A55E0F4}" xr6:coauthVersionLast="47" xr6:coauthVersionMax="47" xr10:uidLastSave="{00000000-0000-0000-0000-000000000000}"/>
  <bookViews>
    <workbookView xWindow="29400" yWindow="1700" windowWidth="38400" windowHeight="21100" xr2:uid="{1FD93E00-A3D7-B144-B777-ED79C0DB2BAA}"/>
  </bookViews>
  <sheets>
    <sheet name="Read me" sheetId="4" r:id="rId1"/>
    <sheet name="All observations" sheetId="1" r:id="rId2"/>
    <sheet name="Per day" sheetId="2" r:id="rId3"/>
    <sheet name="Winsorization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1" l="1"/>
  <c r="L4" i="2" l="1" a="1"/>
  <c r="L4" i="2" s="1"/>
  <c r="I2" i="2"/>
  <c r="C2" i="2"/>
  <c r="AE2" i="1"/>
  <c r="W2" i="1"/>
  <c r="X2" i="1" s="1"/>
  <c r="T2" i="1" a="1"/>
  <c r="T2" i="1" s="1"/>
  <c r="U2" i="1" s="1"/>
  <c r="H4" i="2" s="1" a="1"/>
  <c r="H4" i="2" s="1"/>
  <c r="F2" i="1"/>
  <c r="D4" i="2" s="1" a="1"/>
  <c r="D4" i="2" s="1"/>
  <c r="E2" i="1"/>
  <c r="V2" i="1" l="1"/>
  <c r="G4" i="2" s="1" a="1"/>
  <c r="G4" i="2" s="1"/>
  <c r="Q2" i="1"/>
  <c r="R2" i="1" s="1"/>
  <c r="A2" i="3"/>
  <c r="S4" i="1" s="1"/>
  <c r="B4" i="2" s="1" a="1"/>
  <c r="B4" i="2" s="1"/>
  <c r="A5" i="3"/>
  <c r="AD2" i="1"/>
  <c r="AB2" i="1"/>
  <c r="Z2" i="1"/>
  <c r="Y2" i="1"/>
  <c r="J4" i="2" l="1" a="1"/>
  <c r="J4" i="2" s="1"/>
  <c r="AA2" i="1"/>
  <c r="AC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<sst xmlns="http://schemas.openxmlformats.org/spreadsheetml/2006/main" count="31" uniqueCount="29">
  <si>
    <t>Amount0 USDC</t>
  </si>
  <si>
    <t>Amount1 ETH</t>
  </si>
  <si>
    <t>Price</t>
  </si>
  <si>
    <t>ABS price</t>
  </si>
  <si>
    <t>Wins price</t>
  </si>
  <si>
    <t>Noise traders</t>
  </si>
  <si>
    <t>ABS Noise traders</t>
  </si>
  <si>
    <t>ABS Volume</t>
  </si>
  <si>
    <t>Date</t>
  </si>
  <si>
    <t>Date_rounded_1min</t>
  </si>
  <si>
    <t>Min. Min price</t>
  </si>
  <si>
    <t>Min. Max price</t>
  </si>
  <si>
    <t>ABS D.price</t>
  </si>
  <si>
    <t>Vol. ETH</t>
  </si>
  <si>
    <t>Price impact</t>
  </si>
  <si>
    <t>Positive volume</t>
  </si>
  <si>
    <t>Fees</t>
  </si>
  <si>
    <t>Daily SD</t>
  </si>
  <si>
    <t>Annualized SD</t>
  </si>
  <si>
    <t>Daily volume ETH</t>
  </si>
  <si>
    <t>Trades per day</t>
  </si>
  <si>
    <t>Tradesize</t>
  </si>
  <si>
    <t>ABS daily volume ETH</t>
  </si>
  <si>
    <t>Noise traders ETH</t>
  </si>
  <si>
    <t xml:space="preserve">Percentage noise </t>
  </si>
  <si>
    <t>Med price impact</t>
  </si>
  <si>
    <t>Avg price impact</t>
  </si>
  <si>
    <t>&lt;COUNT</t>
  </si>
  <si>
    <t xml:space="preserve">After obtaining the raw swaps data from the Python script I transfrom the data to daily observations. I use the sheet All observations for creating the variables and the sheet Per day to construct daily figures.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</si>
</sst>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€&quot;\ * #,##0.00_ ;_ &quot;€&quot;\ * \-#,##0.00_ ;_ &quot;€&quot;\ * &quot;-&quot;??_ ;_ @_ "/>
  </numFmts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name val="Aptos Narrow"/>
      <family val="2"/>
      <scheme val="minor"/>
    </font>
    <font>
      <sz val="12"/>
      <color theme="1"/>
      <name val="Apto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14" fontId="4" fillId="0" borderId="0" xfId="0" applyNumberFormat="1" applyFont="1" applyAlignment="1">
      <alignment vertical="center"/>
    </xf>
    <xf numFmtId="14" fontId="2" fillId="0" borderId="4" xfId="0" applyNumberFormat="1" applyFont="1" applyBorder="1" applyAlignment="1">
      <alignment horizontal="center" vertical="top"/>
    </xf>
    <xf numFmtId="2" fontId="0" fillId="0" borderId="0" xfId="0" applyNumberFormat="1"/>
    <xf numFmtId="14" fontId="0" fillId="0" borderId="0" xfId="0" applyNumberFormat="1"/>
    <xf numFmtId="0" fontId="3" fillId="2" borderId="3" xfId="0" applyFont="1" applyFill="1" applyBorder="1" applyAlignment="1">
      <alignment horizontal="center" vertical="top"/>
    </xf>
    <xf numFmtId="44" fontId="0" fillId="0" borderId="0" xfId="1" applyFont="1"/>
    <xf numFmtId="0" fontId="0" fillId="3" borderId="0" xfId="0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92CAE-BC78-594C-A7FA-8ACCFEEB2F55}">
  <dimension ref="B3"/>
  <sheetViews>
    <sheetView tabSelected="1" workbookViewId="0">
      <selection activeCell="B4" sqref="B4"/>
    </sheetView>
  </sheetViews>
  <sheetFormatPr baseColWidth="10" defaultRowHeight="16" x14ac:dyDescent="0.2"/>
  <cols>
    <col min="1" max="16384" width="10.83203125" style="10"/>
  </cols>
  <sheetData>
    <row r="3" spans="2:2" x14ac:dyDescent="0.2">
      <c r="B3" s="1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ED48D-0674-554F-AFEA-13AE015C2E76}">
  <dimension ref="E1:AE4"/>
  <sheetViews>
    <sheetView topLeftCell="P1" workbookViewId="0">
      <selection activeCell="AC8" sqref="AC8"/>
    </sheetView>
  </sheetViews>
  <sheetFormatPr baseColWidth="10" defaultRowHeight="16" x14ac:dyDescent="0.2"/>
  <sheetData>
    <row r="1" spans="5:31" x14ac:dyDescent="0.2">
      <c r="E1" s="1" t="s">
        <v>0</v>
      </c>
      <c r="F1" s="1" t="s">
        <v>1</v>
      </c>
      <c r="Q1" s="2" t="s">
        <v>2</v>
      </c>
      <c r="R1" s="3" t="s">
        <v>3</v>
      </c>
      <c r="S1" s="8" t="s">
        <v>4</v>
      </c>
      <c r="T1" s="3" t="s">
        <v>5</v>
      </c>
      <c r="U1" s="3" t="s">
        <v>6</v>
      </c>
      <c r="V1" s="3" t="s">
        <v>7</v>
      </c>
      <c r="W1" s="4" t="s">
        <v>8</v>
      </c>
      <c r="X1" s="5" t="s">
        <v>9</v>
      </c>
      <c r="Y1" s="6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</row>
    <row r="2" spans="5:31" x14ac:dyDescent="0.2">
      <c r="E2">
        <f>A2+-B2</f>
        <v>0</v>
      </c>
      <c r="F2">
        <f>C2+-D2</f>
        <v>0</v>
      </c>
      <c r="M2">
        <f>INT(DATE(1970,1,1) + (L2 / 86400))</f>
        <v>25569</v>
      </c>
      <c r="Q2" t="e">
        <f>E2/F2</f>
        <v>#DIV/0!</v>
      </c>
      <c r="R2" t="e">
        <f>ABS(Q2)</f>
        <v>#DIV/0!</v>
      </c>
      <c r="T2" t="str" cm="1">
        <f t="array" ref="T2">IF(
  SUMPRODUCT(
    (O2:O100=O2) *
    ( ((F2&lt;0)*(E2:F100&gt;0)) + ((F2&gt;0)*(F2:F100&lt;0)) ) *
    ( (ABS(E2:E100) &gt;= 0.75*ABS(F2)) * (ABS(F2:$F100) &lt;= ABS(F2)) )
  )&gt;=1,
  F2,
  ""
)</f>
        <v/>
      </c>
      <c r="U2" t="str">
        <f>IF(ISNUMBER(T2), ABS(T2), "")</f>
        <v/>
      </c>
      <c r="V2">
        <f>ABS(F2)</f>
        <v>0</v>
      </c>
      <c r="W2" s="7">
        <f>(DATE(1970,1,1) + (L2 / 86400))</f>
        <v>25569</v>
      </c>
      <c r="X2" s="7">
        <f>FLOOR(W2, "0:01")</f>
        <v>25569</v>
      </c>
      <c r="Y2" s="6">
        <f>_xlfn.MINIFS(S:S, X:X, X2)</f>
        <v>0</v>
      </c>
      <c r="Z2" s="6">
        <f>_xlfn.MAXIFS(S:S, X:X, X2)</f>
        <v>0</v>
      </c>
      <c r="AA2" s="6">
        <f>Z2-Y2</f>
        <v>0</v>
      </c>
      <c r="AB2">
        <f>SUMIFS(V:V, X:X, X2)</f>
        <v>0</v>
      </c>
      <c r="AC2" t="e">
        <f>AA2/AB2</f>
        <v>#DIV/0!</v>
      </c>
      <c r="AD2">
        <f>SUMIFS(F:F, X:X, X2)</f>
        <v>0</v>
      </c>
      <c r="AE2">
        <f>0.3/100*G2</f>
        <v>0</v>
      </c>
    </row>
    <row r="4" spans="5:31" x14ac:dyDescent="0.2">
      <c r="S4" t="e">
        <f>IF(R2 &lt; Winsorization!$A$2, Winsorization!$A$2, IF(R2 &gt; Winsorization!$A$5, Winsorization!$A$5, R2))</f>
        <v>#DIV/0!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95E50-9565-C04E-93C6-33446F42E85C}">
  <dimension ref="A1:L4"/>
  <sheetViews>
    <sheetView workbookViewId="0">
      <selection activeCell="M9" sqref="M9"/>
    </sheetView>
  </sheetViews>
  <sheetFormatPr baseColWidth="10" defaultRowHeight="16" x14ac:dyDescent="0.2"/>
  <sheetData>
    <row r="1" spans="1:12" x14ac:dyDescent="0.2">
      <c r="A1" s="7" t="s">
        <v>8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s="6" t="s">
        <v>23</v>
      </c>
      <c r="I1" t="s">
        <v>24</v>
      </c>
      <c r="J1" s="9" t="s">
        <v>25</v>
      </c>
      <c r="K1" s="9" t="s">
        <v>26</v>
      </c>
      <c r="L1" t="s">
        <v>16</v>
      </c>
    </row>
    <row r="2" spans="1:12" x14ac:dyDescent="0.2">
      <c r="C2">
        <f>B2*SQRT(365)</f>
        <v>0</v>
      </c>
      <c r="I2" t="e">
        <f>H2/G2</f>
        <v>#DIV/0!</v>
      </c>
    </row>
    <row r="4" spans="1:12" x14ac:dyDescent="0.2">
      <c r="B4" t="e" cm="1">
        <f t="array" ref="B4">_xlfn.STDEV.S(IF('All observations'!$M$2:$M$51538=A2, 'All observations'!$S$2:$S$51538))</f>
        <v>#DIV/0!</v>
      </c>
      <c r="D4" cm="1">
        <f t="array" ref="D4">SUM(IF('All observations'!$M$2:$M$51538=A2, 'All observations'!$F$2:$F$51538))</f>
        <v>0</v>
      </c>
      <c r="E4" t="s">
        <v>27</v>
      </c>
      <c r="G4" cm="1">
        <f t="array" ref="G4">SUM(IF('All observations'!$M$2:$M$51538=A2, 'All observations'!$V$2:$V$51538))</f>
        <v>0</v>
      </c>
      <c r="H4" cm="1">
        <f t="array" ref="H4">SUM(IF('All observations'!$M$2:$M$51538=A2, 'All observations'!$U$2:$U$51538))</f>
        <v>0</v>
      </c>
      <c r="J4" t="e" cm="1">
        <f t="array" ref="J4">MEDIAN(IF(('All observations'!$M$2:$M$51538=A2)*('All observations'!$AD$2:$AD$51538&gt;0), 'All observations'!$AC$2:$AC$51538))</f>
        <v>#NUM!</v>
      </c>
      <c r="L4" cm="1">
        <f t="array" ref="L4">SUM(IF('All observations'!$M$2:$M$51538=A2, 'All observations'!$AE$2:$AE$51538))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8FA93-E3D3-A14A-9DBD-61B66DF0ADB4}">
  <dimension ref="A2:A5"/>
  <sheetViews>
    <sheetView workbookViewId="0">
      <selection activeCell="A3" sqref="A3"/>
    </sheetView>
  </sheetViews>
  <sheetFormatPr baseColWidth="10" defaultRowHeight="16" x14ac:dyDescent="0.2"/>
  <sheetData>
    <row r="2" spans="1:1" x14ac:dyDescent="0.2">
      <c r="A2" t="e">
        <f>_xlfn.PERCENTILE.EXC('All observations'!R2:R100, 0.001)</f>
        <v>#DIV/0!</v>
      </c>
    </row>
    <row r="5" spans="1:1" x14ac:dyDescent="0.2">
      <c r="A5" t="e">
        <f>_xlfn.PERCENTILE.EXC('All observations'!R2:R100, 0.999)</f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 me</vt:lpstr>
      <vt:lpstr>All observations</vt:lpstr>
      <vt:lpstr>Per day</vt:lpstr>
      <vt:lpstr>Winsorization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Leeuwerke, J.M. (Jelle)</dc:creator>
  <cp:lastModifiedBy>Leeuwerke, J.M. (Jelle)</cp:lastModifiedBy>
  <dcterms:created xsi:type="dcterms:W3CDTF">2025-04-22T12:24:16Z</dcterms:created>
  <dcterms:modified xsi:type="dcterms:W3CDTF">2025-06-20T09:21:06Z</dcterms:modified>
</cp:coreProperties>
</file>