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elleleeuwerke/Desktop/Scripts used copy/"/>
    </mc:Choice>
  </mc:AlternateContent>
  <xr:revisionPtr revIDLastSave="0" documentId="13_ncr:1_{3614D78B-A82E-CC4F-B048-E1E1EEDE18DC}" xr6:coauthVersionLast="47" xr6:coauthVersionMax="47" xr10:uidLastSave="{00000000-0000-0000-0000-000000000000}"/>
  <bookViews>
    <workbookView xWindow="29400" yWindow="1700" windowWidth="38400" windowHeight="21100" activeTab="4" xr2:uid="{F3D43A84-659D-9F4E-A5FD-4EC5999F8ECA}"/>
  </bookViews>
  <sheets>
    <sheet name="Read me" sheetId="7" r:id="rId1"/>
    <sheet name="All observations" sheetId="1" r:id="rId2"/>
    <sheet name="Liquidity" sheetId="4" r:id="rId3"/>
    <sheet name="Per block" sheetId="6" r:id="rId4"/>
    <sheet name="Per day" sheetId="2" r:id="rId5"/>
    <sheet name="Winsorization" sheetId="3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K2" i="1" l="1"/>
  <c r="AK3" i="1" s="1"/>
  <c r="AL2" i="1" l="1"/>
  <c r="AP6" i="1"/>
  <c r="D4" i="2" a="1"/>
  <c r="D4" i="2" s="1"/>
  <c r="AH3" i="1" l="1" a="1"/>
  <c r="AH3" i="1" s="1"/>
  <c r="AA2" i="1"/>
  <c r="F2" i="6" l="1"/>
  <c r="E2" i="6"/>
  <c r="D2" i="6"/>
  <c r="I2" i="2" l="1"/>
  <c r="C2" i="2"/>
  <c r="AW3" i="1"/>
  <c r="AX3" i="1" s="1"/>
  <c r="AV3" i="1"/>
  <c r="AO3" i="1"/>
  <c r="AJ3" i="1"/>
  <c r="AI3" i="1"/>
  <c r="AE3" i="1"/>
  <c r="AF3" i="1" s="1"/>
  <c r="AW2" i="1"/>
  <c r="AX2" i="1" s="1"/>
  <c r="AV2" i="1"/>
  <c r="J4" i="2" s="1" a="1"/>
  <c r="J4" i="2" s="1"/>
  <c r="AO2" i="1"/>
  <c r="AL3" i="1"/>
  <c r="AJ2" i="1"/>
  <c r="G4" i="2" s="1" a="1"/>
  <c r="G4" i="2" s="1"/>
  <c r="AH2" i="1" a="1"/>
  <c r="AH2" i="1" s="1"/>
  <c r="AI2" i="1" s="1"/>
  <c r="H4" i="2" s="1" a="1"/>
  <c r="H4" i="2" s="1"/>
  <c r="AF2" i="1"/>
  <c r="AE2" i="1"/>
  <c r="BB2" i="1" l="1"/>
  <c r="AY2" i="1"/>
  <c r="A2" i="3"/>
  <c r="AG6" i="1" s="1"/>
  <c r="B4" i="2" s="1" a="1"/>
  <c r="B4" i="2" s="1"/>
  <c r="A5" i="3"/>
  <c r="AM3" i="1"/>
  <c r="AR3" i="1" s="1"/>
  <c r="AT3" i="1" s="1"/>
  <c r="AN3" i="1"/>
  <c r="AQ3" i="1" s="1"/>
  <c r="AS3" i="1" s="1"/>
  <c r="BD2" i="1"/>
  <c r="AZ2" i="1"/>
  <c r="BD3" i="1"/>
  <c r="BB3" i="1"/>
  <c r="AZ3" i="1"/>
  <c r="AY3" i="1"/>
  <c r="AN2" i="1"/>
  <c r="AQ2" i="1" s="1"/>
  <c r="AS2" i="1" s="1"/>
  <c r="AM2" i="1"/>
  <c r="AR2" i="1" s="1"/>
  <c r="AT2" i="1" s="1"/>
  <c r="AU13" i="1" l="1"/>
  <c r="AU3" i="1"/>
  <c r="O4" i="2" a="1"/>
  <c r="O4" i="2" s="1"/>
  <c r="BA3" i="1"/>
  <c r="BC3" i="1" s="1"/>
  <c r="AU2" i="1"/>
  <c r="K4" i="2" s="1" a="1"/>
  <c r="K4" i="2" s="1"/>
  <c r="BA2" i="1"/>
  <c r="BC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<sst xmlns="http://schemas.openxmlformats.org/spreadsheetml/2006/main" count="60" uniqueCount="56">
  <si>
    <t>Price</t>
  </si>
  <si>
    <t>ABS price</t>
  </si>
  <si>
    <t>Wins price</t>
  </si>
  <si>
    <t>Noise traders</t>
  </si>
  <si>
    <t>ABS Noise traders</t>
  </si>
  <si>
    <t>ABS Volume</t>
  </si>
  <si>
    <t>Tick lower bound</t>
  </si>
  <si>
    <t>Tick upper bound</t>
  </si>
  <si>
    <t>SQRT P Low</t>
  </si>
  <si>
    <t>SQRT P up</t>
  </si>
  <si>
    <t>SQRT P Curr</t>
  </si>
  <si>
    <t>Liquidity</t>
  </si>
  <si>
    <t>Real A</t>
  </si>
  <si>
    <t>Real B</t>
  </si>
  <si>
    <t>Real A adj</t>
  </si>
  <si>
    <t>Real B adj</t>
  </si>
  <si>
    <t>Active TVL</t>
  </si>
  <si>
    <t>Fees</t>
  </si>
  <si>
    <t>Date</t>
  </si>
  <si>
    <t>Date_rounded_1min</t>
  </si>
  <si>
    <t>Min. Min price</t>
  </si>
  <si>
    <t>Min. Max price</t>
  </si>
  <si>
    <t>ABS D.price</t>
  </si>
  <si>
    <t>Vol. ETH</t>
  </si>
  <si>
    <t>Price impact</t>
  </si>
  <si>
    <t>Positive volume</t>
  </si>
  <si>
    <t>Daily SD</t>
  </si>
  <si>
    <t>Annualized SD</t>
  </si>
  <si>
    <t>Daily volume ETH</t>
  </si>
  <si>
    <t>Trades per day</t>
  </si>
  <si>
    <t>Tradesize</t>
  </si>
  <si>
    <t>ABS daily volume ETH</t>
  </si>
  <si>
    <t>Noise traders ETH</t>
  </si>
  <si>
    <t xml:space="preserve">Percentage noise </t>
  </si>
  <si>
    <t>Avg liq</t>
  </si>
  <si>
    <t>Med liq</t>
  </si>
  <si>
    <t>Min liq</t>
  </si>
  <si>
    <t>Max liq</t>
  </si>
  <si>
    <t>Med price impact</t>
  </si>
  <si>
    <t>&lt;COUNT</t>
  </si>
  <si>
    <t>Kopie</t>
  </si>
  <si>
    <t>Hard kopie</t>
  </si>
  <si>
    <t>Rij 2</t>
  </si>
  <si>
    <t>Rij 3</t>
  </si>
  <si>
    <t>Block</t>
  </si>
  <si>
    <t>Transactions</t>
  </si>
  <si>
    <t>Min</t>
  </si>
  <si>
    <t>Max</t>
  </si>
  <si>
    <t>Avg</t>
  </si>
  <si>
    <t xml:space="preserve"> =UNIQUE('All observations'!AB2:AB211414)</t>
  </si>
  <si>
    <t xml:space="preserve"> =COUNT(IF('All observations'!$AB$2:$AB$211414=A2; 'All observations'!$H$2:$H$211414))</t>
  </si>
  <si>
    <t>ETH</t>
  </si>
  <si>
    <t>BTC</t>
  </si>
  <si>
    <t xml:space="preserve">After obtaining the raw swaps data from the Python script I transfrom the data to daily observations. I use the sheet All observations for creating the variables and the sheet Per day to construct daily figures. </t>
  </si>
  <si>
    <t>With the sheet Per block I check how many observations I have per Ethereum Blockumber</t>
  </si>
  <si>
    <t>INSERT LIQ 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</si>
</sst>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 &quot;€&quot;\ * #,##0.00_ ;_ &quot;€&quot;\ * \-#,##0.00_ ;_ &quot;€&quot;\ * &quot;-&quot;??_ ;_ @_ "/>
  </numFmts>
  <fonts count="5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1"/>
      <name val="Calibri"/>
      <family val="2"/>
    </font>
    <font>
      <sz val="12"/>
      <color theme="1"/>
      <name val="Aptos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7">
    <xf numFmtId="0" fontId="0" fillId="0" borderId="0" xfId="0"/>
    <xf numFmtId="0" fontId="2" fillId="0" borderId="1" xfId="0" applyFont="1" applyBorder="1" applyAlignment="1">
      <alignment horizontal="center" vertical="top"/>
    </xf>
    <xf numFmtId="0" fontId="2" fillId="2" borderId="1" xfId="0" applyFont="1" applyFill="1" applyBorder="1" applyAlignment="1">
      <alignment horizontal="center" vertical="top"/>
    </xf>
    <xf numFmtId="14" fontId="3" fillId="0" borderId="0" xfId="0" applyNumberFormat="1" applyFont="1" applyAlignment="1">
      <alignment vertical="center"/>
    </xf>
    <xf numFmtId="0" fontId="2" fillId="0" borderId="2" xfId="0" applyFont="1" applyBorder="1" applyAlignment="1">
      <alignment horizontal="center" vertical="top"/>
    </xf>
    <xf numFmtId="2" fontId="0" fillId="0" borderId="0" xfId="0" applyNumberFormat="1"/>
    <xf numFmtId="0" fontId="0" fillId="2" borderId="0" xfId="0" applyFill="1"/>
    <xf numFmtId="14" fontId="0" fillId="0" borderId="0" xfId="0" applyNumberFormat="1"/>
    <xf numFmtId="0" fontId="0" fillId="0" borderId="0" xfId="1" applyNumberFormat="1" applyFont="1"/>
    <xf numFmtId="0" fontId="4" fillId="0" borderId="0" xfId="0" applyFont="1"/>
    <xf numFmtId="2" fontId="4" fillId="0" borderId="0" xfId="0" applyNumberFormat="1" applyFont="1"/>
    <xf numFmtId="0" fontId="0" fillId="0" borderId="0" xfId="0" quotePrefix="1"/>
    <xf numFmtId="0" fontId="2" fillId="0" borderId="3" xfId="0" applyFont="1" applyBorder="1" applyAlignment="1">
      <alignment horizontal="center" vertical="top"/>
    </xf>
    <xf numFmtId="0" fontId="2" fillId="3" borderId="1" xfId="0" applyFont="1" applyFill="1" applyBorder="1" applyAlignment="1">
      <alignment horizontal="center" vertical="top"/>
    </xf>
    <xf numFmtId="0" fontId="0" fillId="3" borderId="0" xfId="0" applyFill="1"/>
    <xf numFmtId="0" fontId="0" fillId="4" borderId="0" xfId="0" applyFill="1"/>
    <xf numFmtId="0" fontId="0" fillId="0" borderId="0" xfId="0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F4B83-168F-7D4A-8199-5909F10378A6}">
  <dimension ref="B3:B4"/>
  <sheetViews>
    <sheetView workbookViewId="0">
      <selection activeCell="B5" sqref="B5"/>
    </sheetView>
  </sheetViews>
  <sheetFormatPr baseColWidth="10" defaultRowHeight="16" x14ac:dyDescent="0.2"/>
  <cols>
    <col min="1" max="16384" width="10.83203125" style="15"/>
  </cols>
  <sheetData>
    <row r="3" spans="2:2" x14ac:dyDescent="0.2">
      <c r="B3" s="15" t="s">
        <v>53</v>
      </c>
    </row>
    <row r="4" spans="2:2" x14ac:dyDescent="0.2">
      <c r="B4" s="15" t="s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E82AB-95DD-7A44-9A43-8E5C5FC231E5}">
  <dimension ref="G1:BD13"/>
  <sheetViews>
    <sheetView topLeftCell="AL1" zoomScale="92" zoomScaleNormal="120" workbookViewId="0">
      <selection activeCell="BH10" sqref="BH10"/>
    </sheetView>
  </sheetViews>
  <sheetFormatPr baseColWidth="10" defaultRowHeight="16" x14ac:dyDescent="0.2"/>
  <cols>
    <col min="8" max="8" width="13.1640625" bestFit="1" customWidth="1"/>
    <col min="47" max="47" width="10.83203125" style="14"/>
    <col min="56" max="56" width="14" bestFit="1" customWidth="1"/>
  </cols>
  <sheetData>
    <row r="1" spans="7:56" x14ac:dyDescent="0.2">
      <c r="AA1" t="s">
        <v>18</v>
      </c>
      <c r="AC1" t="s">
        <v>51</v>
      </c>
      <c r="AE1" s="1" t="s">
        <v>0</v>
      </c>
      <c r="AF1" s="1" t="s">
        <v>1</v>
      </c>
      <c r="AG1" s="2" t="s">
        <v>2</v>
      </c>
      <c r="AH1" s="1" t="s">
        <v>3</v>
      </c>
      <c r="AI1" s="1" t="s">
        <v>4</v>
      </c>
      <c r="AJ1" s="1" t="s">
        <v>5</v>
      </c>
      <c r="AK1" s="1" t="s">
        <v>6</v>
      </c>
      <c r="AL1" s="13" t="s">
        <v>7</v>
      </c>
      <c r="AM1" s="1" t="s">
        <v>8</v>
      </c>
      <c r="AN1" s="1" t="s">
        <v>9</v>
      </c>
      <c r="AO1" s="1" t="s">
        <v>10</v>
      </c>
      <c r="AP1" s="2" t="s">
        <v>11</v>
      </c>
      <c r="AQ1" s="1" t="s">
        <v>12</v>
      </c>
      <c r="AR1" s="1" t="s">
        <v>13</v>
      </c>
      <c r="AS1" s="1" t="s">
        <v>14</v>
      </c>
      <c r="AT1" s="1" t="s">
        <v>15</v>
      </c>
      <c r="AU1" s="13" t="s">
        <v>16</v>
      </c>
      <c r="AV1" s="1" t="s">
        <v>17</v>
      </c>
      <c r="AW1" s="3" t="s">
        <v>18</v>
      </c>
      <c r="AX1" s="4" t="s">
        <v>19</v>
      </c>
      <c r="AY1" s="5" t="s">
        <v>20</v>
      </c>
      <c r="AZ1" t="s">
        <v>21</v>
      </c>
      <c r="BA1" t="s">
        <v>22</v>
      </c>
      <c r="BB1" t="s">
        <v>23</v>
      </c>
      <c r="BC1" t="s">
        <v>24</v>
      </c>
      <c r="BD1" t="s">
        <v>25</v>
      </c>
    </row>
    <row r="2" spans="7:56" x14ac:dyDescent="0.2">
      <c r="AA2">
        <f>INT(DATE(1970,1,1) + (B2 / 86400))</f>
        <v>25569</v>
      </c>
      <c r="AC2" t="s">
        <v>42</v>
      </c>
      <c r="AD2" t="s">
        <v>41</v>
      </c>
      <c r="AE2" t="e">
        <f>G2/H2</f>
        <v>#DIV/0!</v>
      </c>
      <c r="AF2" t="e">
        <f>ABS(AE2)</f>
        <v>#DIV/0!</v>
      </c>
      <c r="AH2" t="str" cm="1">
        <f t="array" ref="AH2">IF(
  SUMPRODUCT(
    (AB2:AB100=AB2) *
    ( ((H2&lt;0)*(G2:H100&gt;0)) + ((H2&gt;0)*(H2:H100&lt;0)) ) *
    ( (ABS(G2:G100) &gt;= 0.75*ABS(H2)) * (ABS(H2:$H100) &lt;= ABS(H2)) )
  )&gt;=1,
  H2,
  ""
)</f>
        <v/>
      </c>
      <c r="AI2" t="str">
        <f>IF(ISNUMBER(AH2), ABS(AH2), "")</f>
        <v/>
      </c>
      <c r="AJ2">
        <f>ABS(H2)</f>
        <v>0</v>
      </c>
      <c r="AK2" s="6">
        <f>IF(MOD(K2,60)=0, K2-60, FLOOR(K2,60))</f>
        <v>-60</v>
      </c>
      <c r="AL2" s="6">
        <f>AK2+60</f>
        <v>0</v>
      </c>
      <c r="AM2">
        <f>SQRT(1.0001^AK2)</f>
        <v>0.99700464504409014</v>
      </c>
      <c r="AN2">
        <f>SQRT(1.0001^AL2)</f>
        <v>1</v>
      </c>
      <c r="AO2">
        <f>SQRT(1.0001^K2)</f>
        <v>1</v>
      </c>
      <c r="AQ2">
        <f>AP2/AO2-AP2/AN2</f>
        <v>0</v>
      </c>
      <c r="AR2">
        <f>AP2*AO2-AP2*AM2</f>
        <v>0</v>
      </c>
      <c r="AS2">
        <f>AQ2/(10^P2)</f>
        <v>0</v>
      </c>
      <c r="AT2">
        <f>AR2/10^T2</f>
        <v>0</v>
      </c>
      <c r="AU2" s="14">
        <f>AS2+AT2*AG2</f>
        <v>0</v>
      </c>
      <c r="AV2">
        <f>V2/1000000*I2</f>
        <v>0</v>
      </c>
      <c r="AW2" s="7">
        <f>(DATE(1970,1,1) + (B2 / 86400))</f>
        <v>25569</v>
      </c>
      <c r="AX2" s="7">
        <f>FLOOR(AW2, "0:01")</f>
        <v>25569</v>
      </c>
      <c r="AY2" s="5">
        <f>_xlfn.MINIFS(AG:AG, AX:AX, AX2)</f>
        <v>0</v>
      </c>
      <c r="AZ2" s="5">
        <f>_xlfn.MAXIFS(AG:AG, AX:AX, AX2)</f>
        <v>0</v>
      </c>
      <c r="BA2" s="5">
        <f>AZ2-AY2</f>
        <v>0</v>
      </c>
      <c r="BB2">
        <f>SUMIFS(AJ:AJ, AX:AX, AX2)</f>
        <v>0</v>
      </c>
      <c r="BC2" t="e">
        <f>BA2/BB2</f>
        <v>#DIV/0!</v>
      </c>
      <c r="BD2">
        <f>SUMIFS(H:H, AX:AX, AX2)</f>
        <v>0</v>
      </c>
    </row>
    <row r="3" spans="7:56" x14ac:dyDescent="0.2">
      <c r="AC3" t="s">
        <v>43</v>
      </c>
      <c r="AE3" t="e">
        <f>G3/H3</f>
        <v>#DIV/0!</v>
      </c>
      <c r="AF3" t="e">
        <f>ABS(AE3)</f>
        <v>#DIV/0!</v>
      </c>
      <c r="AH3" t="str" cm="1">
        <f t="array" ref="AH3">IF(
  SUMPRODUCT(
    (AB3:AB101=AB3) *
    ( ((H3&lt;0)*(G3:H101&gt;0)) + ((H3&gt;0)*(H3:H101&lt;0)) ) *
    ( (ABS(G3:G101) &gt;= 0.75*ABS(H3)) * (ABS(H3:$H101) &lt;= ABS(H3)) )
  )&gt;=1,
  H3,
  ""
)</f>
        <v/>
      </c>
      <c r="AI3" t="str">
        <f>IF(ISNUMBER(AH3), ABS(AH3), "")</f>
        <v/>
      </c>
      <c r="AJ3">
        <f>ABS(H3)</f>
        <v>0</v>
      </c>
      <c r="AK3" s="6">
        <f>IF(MOD(K3,60)=0, IF(OR(K3 = AK2, K3 = AK2 + 60), AK2, K3 - 60), FLOOR(K3,60))</f>
        <v>-60</v>
      </c>
      <c r="AL3" s="6">
        <f>AK3+60</f>
        <v>0</v>
      </c>
      <c r="AM3">
        <f>SQRT(1.0001^AK3)</f>
        <v>0.99700464504409014</v>
      </c>
      <c r="AN3">
        <f>SQRT(1.0001^AL3)</f>
        <v>1</v>
      </c>
      <c r="AO3">
        <f>SQRT(1.0001^K3)</f>
        <v>1</v>
      </c>
      <c r="AQ3">
        <f>AP3/AO3-AP3/AN3</f>
        <v>0</v>
      </c>
      <c r="AR3">
        <f>AP3*AO3-AP3*AM3</f>
        <v>0</v>
      </c>
      <c r="AS3">
        <f>AQ3/10^P3</f>
        <v>0</v>
      </c>
      <c r="AT3">
        <f>AR3/10^T3</f>
        <v>0</v>
      </c>
      <c r="AU3" s="14">
        <f>AS3+AT3*AG3</f>
        <v>0</v>
      </c>
      <c r="AV3">
        <f>V3/1000000*I3</f>
        <v>0</v>
      </c>
      <c r="AW3" s="7">
        <f>(DATE(1970,1,1) + (B3 / 86400))</f>
        <v>25569</v>
      </c>
      <c r="AX3" s="7">
        <f>FLOOR(AW3, "0:01")</f>
        <v>25569</v>
      </c>
      <c r="AY3" s="5">
        <f>_xlfn.MINIFS(AG:AG, AX:AX, AX3)</f>
        <v>0</v>
      </c>
      <c r="AZ3" s="5">
        <f>_xlfn.MAXIFS(AG:AG, AX:AX, AX3)</f>
        <v>0</v>
      </c>
      <c r="BA3" s="5">
        <f>AZ3-AY3</f>
        <v>0</v>
      </c>
      <c r="BB3">
        <f>SUMIFS(AJ:AJ, AX:AX, AX3)</f>
        <v>0</v>
      </c>
      <c r="BC3" t="e">
        <f>BA3/BB3</f>
        <v>#DIV/0!</v>
      </c>
      <c r="BD3">
        <f>SUMIFS(H:H, AX:AX, AX3)</f>
        <v>0</v>
      </c>
    </row>
    <row r="4" spans="7:56" x14ac:dyDescent="0.2">
      <c r="G4" s="12"/>
      <c r="H4" s="12"/>
      <c r="I4" s="12"/>
    </row>
    <row r="6" spans="7:56" x14ac:dyDescent="0.2">
      <c r="AC6" t="s">
        <v>42</v>
      </c>
      <c r="AD6" t="s">
        <v>40</v>
      </c>
      <c r="AG6" t="e">
        <f>IF(AF2 &lt; Winsorization!$A$2, Winsorization!$A$2, IF(AF2 &gt; Winsorization!$A$5, Winsorization!$A$5, AF2))</f>
        <v>#DIV/0!</v>
      </c>
      <c r="AP6">
        <f>_xlfn.XLOOKUP(AB2, Liquidity!$A$2:$A$214925, Liquidity!$B$2:$B$214925, 0)</f>
        <v>0</v>
      </c>
    </row>
    <row r="13" spans="7:56" x14ac:dyDescent="0.2">
      <c r="AT13" t="s">
        <v>52</v>
      </c>
      <c r="AU13" s="14" t="e">
        <f>((ABS(G2)+ABS(H2)+AS2+AT2)/(ABS(G2)+ABS(H2))-1)*I2</f>
        <v>#DIV/0!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C030B0-9E94-4844-A6F1-2697509F16E6}">
  <dimension ref="A1:B1"/>
  <sheetViews>
    <sheetView workbookViewId="0">
      <selection activeCell="A2" sqref="A2"/>
    </sheetView>
  </sheetViews>
  <sheetFormatPr baseColWidth="10" defaultRowHeight="16" x14ac:dyDescent="0.2"/>
  <sheetData>
    <row r="1" spans="1:2" x14ac:dyDescent="0.2">
      <c r="A1" s="16" t="s">
        <v>55</v>
      </c>
      <c r="B1" s="16"/>
    </row>
  </sheetData>
  <mergeCells count="1">
    <mergeCell ref="A1:B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1BE9B6-5188-C141-A751-5FAAC0BD8319}">
  <dimension ref="A1:F2"/>
  <sheetViews>
    <sheetView workbookViewId="0">
      <selection activeCell="B16" sqref="B16"/>
    </sheetView>
  </sheetViews>
  <sheetFormatPr baseColWidth="10" defaultRowHeight="16" x14ac:dyDescent="0.2"/>
  <cols>
    <col min="1" max="1" width="37" bestFit="1" customWidth="1"/>
    <col min="2" max="2" width="76.5" bestFit="1" customWidth="1"/>
  </cols>
  <sheetData>
    <row r="1" spans="1:6" x14ac:dyDescent="0.2">
      <c r="A1" s="9" t="s">
        <v>44</v>
      </c>
      <c r="B1" s="10" t="s">
        <v>45</v>
      </c>
      <c r="C1" s="9"/>
      <c r="D1" s="9" t="s">
        <v>46</v>
      </c>
      <c r="E1" s="9" t="s">
        <v>47</v>
      </c>
      <c r="F1" s="9" t="s">
        <v>48</v>
      </c>
    </row>
    <row r="2" spans="1:6" x14ac:dyDescent="0.2">
      <c r="A2" s="11" t="s">
        <v>49</v>
      </c>
      <c r="B2" s="11" t="s">
        <v>50</v>
      </c>
      <c r="D2">
        <f>MINA(B2:B125247)</f>
        <v>0</v>
      </c>
      <c r="E2">
        <f>MAXA(B2:B125247)</f>
        <v>0</v>
      </c>
      <c r="F2" t="e">
        <f>AVERAGE(B2:B125247)</f>
        <v>#DIV/0!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4262B5-D654-544E-B090-55A076F0E327}">
  <dimension ref="A1:O4"/>
  <sheetViews>
    <sheetView tabSelected="1" workbookViewId="0">
      <selection activeCell="H1" sqref="H1"/>
    </sheetView>
  </sheetViews>
  <sheetFormatPr baseColWidth="10" defaultRowHeight="16" x14ac:dyDescent="0.2"/>
  <sheetData>
    <row r="1" spans="1:15" x14ac:dyDescent="0.2">
      <c r="A1" s="7" t="s">
        <v>18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s="5" t="s">
        <v>32</v>
      </c>
      <c r="I1" t="s">
        <v>33</v>
      </c>
      <c r="J1" s="8" t="s">
        <v>17</v>
      </c>
      <c r="K1" s="8" t="s">
        <v>34</v>
      </c>
      <c r="L1" s="8" t="s">
        <v>35</v>
      </c>
      <c r="M1" s="8" t="s">
        <v>36</v>
      </c>
      <c r="N1" s="8" t="s">
        <v>37</v>
      </c>
      <c r="O1" s="8" t="s">
        <v>38</v>
      </c>
    </row>
    <row r="2" spans="1:15" x14ac:dyDescent="0.2">
      <c r="A2" s="7"/>
      <c r="C2">
        <f>B2*SQRT(365)</f>
        <v>0</v>
      </c>
      <c r="H2" s="5"/>
      <c r="I2" t="e">
        <f>H2/G2</f>
        <v>#DIV/0!</v>
      </c>
      <c r="J2" s="8"/>
      <c r="K2" s="8"/>
      <c r="L2" s="8"/>
      <c r="M2" s="8"/>
      <c r="N2" s="8"/>
      <c r="O2" s="8"/>
    </row>
    <row r="3" spans="1:15" x14ac:dyDescent="0.2">
      <c r="A3" s="7"/>
      <c r="H3" s="5"/>
      <c r="J3" s="8"/>
      <c r="K3" s="8"/>
      <c r="L3" s="8"/>
      <c r="M3" s="8"/>
      <c r="N3" s="8"/>
      <c r="O3" s="8"/>
    </row>
    <row r="4" spans="1:15" x14ac:dyDescent="0.2">
      <c r="B4" t="e" cm="1">
        <f t="array" ref="B4">_xlfn.STDEV.S(IF('All observations'!$C$2:$C$134402=A2, 'All observations'!$AG$2:$AG$134402))</f>
        <v>#DIV/0!</v>
      </c>
      <c r="D4" cm="1">
        <f t="array" ref="D4">SUM(IF('All observations'!$C$2:$C$134402=A2, 'All observations'!$H$2:$H$134402))</f>
        <v>0</v>
      </c>
      <c r="E4" t="s">
        <v>39</v>
      </c>
      <c r="G4" cm="1">
        <f t="array" ref="G4">SUM(IF('All observations'!$C$2:$C$134402=A2, 'All observations'!$AJ$2:$AJ$134402))</f>
        <v>0</v>
      </c>
      <c r="H4" cm="1">
        <f t="array" ref="H4">SUM(IF('All observations'!$C$2:$C$134402=A2, 'All observations'!$AI$2:$AI$134402))</f>
        <v>0</v>
      </c>
      <c r="J4" cm="1">
        <f t="array" ref="J4">SUM(IF('All observations'!$C$2:$C$134402=A2, 'All observations'!$AV$2:$AV$134402))</f>
        <v>0</v>
      </c>
      <c r="K4" t="e" cm="1">
        <f t="array" ref="K4">AVERAGE(IF('All observations'!$C$2:$C$134402=A2, 'All observations'!$AU$2:$AU$134402))</f>
        <v>#DIV/0!</v>
      </c>
      <c r="O4" t="e" cm="1">
        <f t="array" ref="O4">MEDIAN(IF(('All observations'!$C$2:$C$134402=A2)*('All observations'!$BD$2:$BD$134402&gt;0), 'All observations'!$BC$2:$BC$134402))</f>
        <v>#NUM!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536B38-1033-B14F-AE67-772177580A1F}">
  <dimension ref="A2:A5"/>
  <sheetViews>
    <sheetView workbookViewId="0">
      <selection activeCell="F36" sqref="F36"/>
    </sheetView>
  </sheetViews>
  <sheetFormatPr baseColWidth="10" defaultRowHeight="16" x14ac:dyDescent="0.2"/>
  <sheetData>
    <row r="2" spans="1:1" x14ac:dyDescent="0.2">
      <c r="A2" t="e">
        <f>_xlfn.PERCENTILE.EXC('All observations'!AF2:AF100,0.001)</f>
        <v>#DIV/0!</v>
      </c>
    </row>
    <row r="5" spans="1:1" x14ac:dyDescent="0.2">
      <c r="A5" t="e">
        <f>_xlfn.PERCENTILE.EXC('All observations'!AF2:AF100,0.999)</f>
        <v>#DIV/0!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Read me</vt:lpstr>
      <vt:lpstr>All observations</vt:lpstr>
      <vt:lpstr>Liquidity</vt:lpstr>
      <vt:lpstr>Per block</vt:lpstr>
      <vt:lpstr>Per day</vt:lpstr>
      <vt:lpstr>Winsorization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Leeuwerke, J.M. (Jelle)</dc:creator>
  <cp:lastModifiedBy>Leeuwerke, J.M. (Jelle)</cp:lastModifiedBy>
  <dcterms:created xsi:type="dcterms:W3CDTF">2025-04-20T07:23:09Z</dcterms:created>
  <dcterms:modified xsi:type="dcterms:W3CDTF">2025-06-20T09:23:17Z</dcterms:modified>
</cp:coreProperties>
</file>