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入力_出力" sheetId="1" r:id="rId4"/>
    <sheet state="visible" name="定義" sheetId="2" r:id="rId5"/>
  </sheets>
  <definedNames/>
  <calcPr/>
</workbook>
</file>

<file path=xl/sharedStrings.xml><?xml version="1.0" encoding="utf-8"?>
<sst xmlns="http://schemas.openxmlformats.org/spreadsheetml/2006/main" count="250" uniqueCount="164">
  <si>
    <r>
      <rPr/>
      <t xml:space="preserve">Original: </t>
    </r>
    <r>
      <rPr>
        <color rgb="FF1155CC"/>
        <u/>
      </rPr>
      <t>https://docs.google.com/spreadsheets/d/168yQqMraFk7bT6RY7EYIYnq3xiPL9NeDUHJOtSBOmFs</t>
    </r>
    <r>
      <rPr/>
      <t xml:space="preserve"> . I translated a few things. If you have any feedback, contact communistmountain on Discord</t>
    </r>
  </si>
  <si>
    <t>Differences: skill activation, "rushing", downhill options (downhill WIP). Considers Pace Down and Speed Up modes. Fix: recovery levels have +0.02 per level not *1.02</t>
  </si>
  <si>
    <t>Latest update: 8/7/2025</t>
  </si>
  <si>
    <t>Make a copy, then edit the boxes with this background color.</t>
  </si>
  <si>
    <t>Uma's Status</t>
  </si>
  <si>
    <t>Speed</t>
  </si>
  <si>
    <t>Stamina</t>
  </si>
  <si>
    <t>Power</t>
  </si>
  <si>
    <t>Guts</t>
  </si>
  <si>
    <t>Wit</t>
  </si>
  <si>
    <t>Track Aptitude</t>
  </si>
  <si>
    <t>Turf</t>
  </si>
  <si>
    <t>S</t>
  </si>
  <si>
    <t>Dirt</t>
  </si>
  <si>
    <t>B</t>
  </si>
  <si>
    <t>Distance Apt.</t>
  </si>
  <si>
    <t>Sprint</t>
  </si>
  <si>
    <t>A</t>
  </si>
  <si>
    <t>Mile</t>
  </si>
  <si>
    <t>Medium</t>
  </si>
  <si>
    <t>D</t>
  </si>
  <si>
    <t>Long</t>
  </si>
  <si>
    <t>G</t>
  </si>
  <si>
    <t>PLEASE MAKE A COPY! I WILL NOT SHARE ACCESS! THANK YOU &lt;3</t>
  </si>
  <si>
    <t>Style Apt.</t>
  </si>
  <si>
    <t>Front</t>
  </si>
  <si>
    <t>Pace</t>
  </si>
  <si>
    <t>Late</t>
  </si>
  <si>
    <t>E</t>
  </si>
  <si>
    <t>End</t>
  </si>
  <si>
    <t>Mood</t>
  </si>
  <si>
    <t>Awful</t>
  </si>
  <si>
    <t>Style</t>
  </si>
  <si>
    <t>Assume "Rushing" never happens (0), always happens (1) or at the rate below (anything else)</t>
  </si>
  <si>
    <t>Original Calculator uses "never happens"</t>
  </si>
  <si>
    <t>Recovery Skills</t>
  </si>
  <si>
    <t>HP recovery</t>
  </si>
  <si>
    <t>Non-Uniques</t>
  </si>
  <si>
    <t>Unique Level (e.g. Urara; assume it reliably procs)</t>
  </si>
  <si>
    <t>Enter number of skills</t>
  </si>
  <si>
    <t>Enter level. +0.02 effect per level above 1, e.g. lvl 3, base 5.5%: 5.5% * 1.04 = 5.72%</t>
  </si>
  <si>
    <t>↑ White Skills, Inherited Uniques (inherited is under non-unique col)</t>
  </si>
  <si>
    <t>Check Stamina Recovery of skills at</t>
  </si>
  <si>
    <t>↑ 1-star or 2-star Uniques</t>
  </si>
  <si>
    <t>https://gametora.com/umamusume/skills</t>
  </si>
  <si>
    <t>Ensure server is set to Global</t>
  </si>
  <si>
    <t>↑ Gold Skills and 3-star+ Uniques</t>
  </si>
  <si>
    <t>Custom</t>
  </si>
  <si>
    <t>For skills in the future which give things like 0.35% or 7.5% Enter the exact % instead of number of skills or level of unique for this (note the Unique level formula).</t>
  </si>
  <si>
    <t>Consider Skill Proc Rate (1=Yes, 0=No)</t>
  </si>
  <si>
    <t xml:space="preserve">"No" lets you know the minimum Wit-reliant skills that need to proc to survive. Original Calculator uses "No". </t>
  </si>
  <si>
    <t>"Yes" means taking the average HP gain from Wit-reliant skills over multiple races.</t>
  </si>
  <si>
    <t>Race Information</t>
  </si>
  <si>
    <t>Surface</t>
  </si>
  <si>
    <t>Condition</t>
  </si>
  <si>
    <t>Firm</t>
  </si>
  <si>
    <t>Distance</t>
  </si>
  <si>
    <t>Category</t>
  </si>
  <si>
    <t>Output!</t>
  </si>
  <si>
    <t>Uma's Actual Stats</t>
  </si>
  <si>
    <t>Wisdom</t>
  </si>
  <si>
    <t>Last Spurt
完走する為に→</t>
  </si>
  <si>
    <t>Stamina Needed</t>
  </si>
  <si>
    <t>Skill Proc
Rate</t>
  </si>
  <si>
    <t>"Rushing"
Rate</t>
  </si>
  <si>
    <t>Other Data</t>
  </si>
  <si>
    <t>Initial HP</t>
  </si>
  <si>
    <t>Displayed Time</t>
  </si>
  <si>
    <t>[s]</t>
  </si>
  <si>
    <t>With Skills</t>
  </si>
  <si>
    <t>Spurt Length</t>
  </si>
  <si>
    <t>[m]</t>
  </si>
  <si>
    <t>End HP Drain</t>
  </si>
  <si>
    <t>Base Speed</t>
  </si>
  <si>
    <t>[m/s]</t>
  </si>
  <si>
    <t>Start Speed (m/s)</t>
  </si>
  <si>
    <t>Goal Speed (m/s)</t>
  </si>
  <si>
    <t>Acceleration(m/s^2)</t>
  </si>
  <si>
    <t>Time (s)</t>
  </si>
  <si>
    <t>Distance (m)</t>
  </si>
  <si>
    <t>HP Consumption</t>
  </si>
  <si>
    <t>Start Dash</t>
  </si>
  <si>
    <t>Early (Accelerating)</t>
  </si>
  <si>
    <t>Early (Top Speed)</t>
  </si>
  <si>
    <t>Mid (Accelerating)</t>
  </si>
  <si>
    <t>Mid (Top Speed)</t>
  </si>
  <si>
    <t>End (Accelerating)</t>
  </si>
  <si>
    <t>End (Top Speed)</t>
  </si>
  <si>
    <t>Spurt (Accel.)</t>
  </si>
  <si>
    <t>Spurt (Top Speed)</t>
  </si>
  <si>
    <t>Post-HP0 (Slowdown)</t>
  </si>
  <si>
    <t>-</t>
  </si>
  <si>
    <t>Sum Total</t>
  </si>
  <si>
    <t>定義</t>
  </si>
  <si>
    <t>Coefficient</t>
  </si>
  <si>
    <t>Distance Aptitude</t>
  </si>
  <si>
    <t>Speed Correction</t>
  </si>
  <si>
    <t>Acceleration Correction</t>
  </si>
  <si>
    <t>Style Aptitude</t>
  </si>
  <si>
    <t>Aptitude Name</t>
  </si>
  <si>
    <t>HP Correction</t>
  </si>
  <si>
    <t>C</t>
  </si>
  <si>
    <t>F</t>
  </si>
  <si>
    <t>Track</t>
  </si>
  <si>
    <t>Value</t>
  </si>
  <si>
    <t>補正スピード</t>
  </si>
  <si>
    <t>補正パワー</t>
  </si>
  <si>
    <t>HP消費係数</t>
  </si>
  <si>
    <t>Good</t>
  </si>
  <si>
    <t>Soft</t>
  </si>
  <si>
    <t>Heavy</t>
  </si>
  <si>
    <t>やる気</t>
  </si>
  <si>
    <t>補正</t>
  </si>
  <si>
    <t>Great</t>
  </si>
  <si>
    <t>Normal</t>
  </si>
  <si>
    <t>Bad</t>
  </si>
  <si>
    <t>計算</t>
  </si>
  <si>
    <t>表示レース時間</t>
  </si>
  <si>
    <t>（上限・下限による補正を受けない場合）</t>
  </si>
  <si>
    <t>ラストスパート距離</t>
  </si>
  <si>
    <t>ベーススピード</t>
  </si>
  <si>
    <t>補正後パラメータ</t>
  </si>
  <si>
    <t>回復スキルHP</t>
  </si>
  <si>
    <t>&lt;- change from Original: skill proc rate taken into account. Recovery values not hardcoded.</t>
  </si>
  <si>
    <t>初期HP</t>
  </si>
  <si>
    <t>スピード値</t>
  </si>
  <si>
    <t>固有回復スキルHP</t>
  </si>
  <si>
    <t>&lt;- change from Original: Recovery values not hardcoded.</t>
  </si>
  <si>
    <t>回復スキル込HP</t>
  </si>
  <si>
    <t>Stamina value</t>
  </si>
  <si>
    <t>Battlefield HP consumption coefficient</t>
  </si>
  <si>
    <t>パワー値</t>
  </si>
  <si>
    <t>終盤HP消費係数</t>
  </si>
  <si>
    <t>根性値</t>
  </si>
  <si>
    <t>生レース時間</t>
  </si>
  <si>
    <t>賢さ値</t>
  </si>
  <si>
    <t>開始秒速 [m/s]</t>
  </si>
  <si>
    <t>目標秒速 [m/s]</t>
  </si>
  <si>
    <t>加速度 [m/s^2]</t>
  </si>
  <si>
    <t>時間 [s]</t>
  </si>
  <si>
    <t>距離 [m]</t>
  </si>
  <si>
    <t>HP消費量</t>
  </si>
  <si>
    <t>Mid-leg top speed before Modes</t>
  </si>
  <si>
    <t>スタートダッシュ</t>
  </si>
  <si>
    <t>Non-normal Mode Uptime</t>
  </si>
  <si>
    <t>&lt;- Rough estimate of the uptime of non-normal modes like Speed Up and Pace Down. They stop even if Exit conditions are not met after running 1 section (1/24 of total distance), then there's a 3s cooldown before the next possible mode</t>
  </si>
  <si>
    <t>phase = 0 / 加速</t>
  </si>
  <si>
    <t>Pace Down Chance Assumption</t>
  </si>
  <si>
    <t>phase = 0 / 定常</t>
  </si>
  <si>
    <t xml:space="preserve"> phase = 1 / 加減速</t>
  </si>
  <si>
    <t>phase = 1 / 定常</t>
  </si>
  <si>
    <t>&lt;- change from Original:</t>
  </si>
  <si>
    <t>1. Consider "rushing" in col G. Assume that it occurs completely in this section.</t>
  </si>
  <si>
    <t>phase = 2 / 加速</t>
  </si>
  <si>
    <t>2. Consider Speed Up (for Front) and Pace Down (for non-Front) in col B and G</t>
  </si>
  <si>
    <t>phase = 2, 3 / 定常</t>
  </si>
  <si>
    <t>ラストスパート / 加速</t>
  </si>
  <si>
    <t>ラストスパート / 定常</t>
  </si>
  <si>
    <t>HP0 / 減速</t>
  </si>
  <si>
    <t>総和</t>
  </si>
  <si>
    <t>理想スパート / 加速</t>
  </si>
  <si>
    <t>理想スパート / 定常</t>
  </si>
  <si>
    <t>Ideal spurt HP required</t>
  </si>
  <si>
    <t>スタミナ置き換え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</si>
</sst>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0.0"/>
    <numFmt numFmtId="166" formatCode="0.000"/>
    <numFmt numFmtId="167" formatCode="0.0#"/>
    <numFmt numFmtId="168" formatCode="0.0000"/>
  </numFmts>
  <fonts count="34">
    <font>
      <sz val="10.0"/>
      <color rgb="FF000000"/>
      <name val="Arial"/>
      <scheme val="minor"/>
    </font>
    <font>
      <u/>
      <color rgb="FF0000FF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8.0"/>
      <color rgb="FF6AA84F"/>
      <name val="Arial"/>
      <scheme val="minor"/>
    </font>
    <font>
      <b/>
      <sz val="12.0"/>
      <color rgb="FFFFFFFF"/>
      <name val="Arial"/>
      <scheme val="minor"/>
    </font>
    <font/>
    <font>
      <b/>
      <sz val="24.0"/>
      <color rgb="FF5B0F00"/>
      <name val="Arial"/>
      <scheme val="minor"/>
    </font>
    <font>
      <b/>
      <sz val="12.0"/>
      <color rgb="FF5B0F00"/>
      <name val="Arial"/>
      <scheme val="minor"/>
    </font>
    <font>
      <b/>
      <sz val="14.0"/>
      <color theme="1"/>
      <name val="Arial"/>
      <scheme val="minor"/>
    </font>
    <font>
      <b/>
      <sz val="40.0"/>
      <color rgb="FFFF0000"/>
      <name val="Arial"/>
      <scheme val="minor"/>
    </font>
    <font>
      <b/>
      <sz val="12.0"/>
      <color rgb="FF0B5394"/>
      <name val="Arial"/>
    </font>
    <font>
      <b/>
      <sz val="24.0"/>
      <color rgb="FF5B0F00"/>
      <name val="Arial"/>
    </font>
    <font>
      <sz val="24.0"/>
      <color rgb="FF5B0F00"/>
      <name val="Arial"/>
    </font>
    <font>
      <b/>
      <color rgb="FF5B0F00"/>
      <name val="Arial"/>
    </font>
    <font>
      <b/>
      <sz val="18.0"/>
      <color rgb="FF6AA84F"/>
      <name val="Arial"/>
    </font>
    <font>
      <b/>
      <sz val="12.0"/>
      <color rgb="FF0B5394"/>
      <name val="Arial"/>
      <scheme val="minor"/>
    </font>
    <font>
      <b/>
      <color rgb="FFFF0000"/>
      <name val="Arial"/>
    </font>
    <font>
      <b/>
      <sz val="12.0"/>
      <color rgb="FF5B0F00"/>
      <name val="Arial"/>
    </font>
    <font>
      <b/>
      <color theme="1"/>
      <name val="Arial"/>
    </font>
    <font>
      <b/>
      <u/>
      <color rgb="FF1155CC"/>
      <name val="Arial"/>
    </font>
    <font>
      <b/>
      <sz val="18.0"/>
      <color theme="1"/>
      <name val="Arial"/>
      <scheme val="minor"/>
    </font>
    <font>
      <b/>
      <sz val="24.0"/>
      <color rgb="FFFF9900"/>
      <name val="Meiryo"/>
    </font>
    <font>
      <b/>
      <sz val="18.0"/>
      <color rgb="FFFF9900"/>
      <name val="Arial"/>
      <scheme val="minor"/>
    </font>
    <font>
      <b/>
      <sz val="16.0"/>
      <color rgb="FF5B0F00"/>
      <name val="Arial"/>
      <scheme val="minor"/>
    </font>
    <font>
      <b/>
      <sz val="14.0"/>
      <color rgb="FF5B0F00"/>
      <name val="Arial"/>
      <scheme val="minor"/>
    </font>
    <font>
      <b/>
      <sz val="18.0"/>
      <color rgb="FFE06666"/>
      <name val="Arial"/>
      <scheme val="minor"/>
    </font>
    <font>
      <b/>
      <sz val="11.0"/>
      <color rgb="FFB45F06"/>
      <name val="Arial"/>
      <scheme val="minor"/>
    </font>
    <font>
      <b/>
      <sz val="10.0"/>
      <color rgb="FF5B0F00"/>
      <name val="Arial"/>
      <scheme val="minor"/>
    </font>
    <font>
      <b/>
      <color rgb="FF660000"/>
      <name val="Arial"/>
    </font>
    <font>
      <b/>
      <sz val="18.0"/>
      <color rgb="FF990000"/>
      <name val="Arial"/>
      <scheme val="minor"/>
    </font>
    <font>
      <color rgb="FFFF0000"/>
      <name val="Arial"/>
    </font>
    <font>
      <color rgb="FFFF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</fills>
  <borders count="51">
    <border/>
    <border>
      <left style="medium">
        <color rgb="FF38761D"/>
      </left>
      <top style="medium">
        <color rgb="FF38761D"/>
      </top>
    </border>
    <border>
      <top style="medium">
        <color rgb="FF38761D"/>
      </top>
    </border>
    <border>
      <right style="medium">
        <color rgb="FF38761D"/>
      </right>
      <top style="medium">
        <color rgb="FF38761D"/>
      </top>
    </border>
    <border>
      <left style="medium">
        <color rgb="FF38761D"/>
      </left>
    </border>
    <border>
      <right style="medium">
        <color rgb="FF38761D"/>
      </right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</border>
    <border>
      <left style="medium">
        <color rgb="FF38761D"/>
      </left>
      <top style="medium">
        <color rgb="FF38761D"/>
      </top>
      <bottom style="medium">
        <color rgb="FF38761D"/>
      </bottom>
    </border>
    <border>
      <top style="medium">
        <color rgb="FF38761D"/>
      </top>
      <bottom style="medium">
        <color rgb="FF38761D"/>
      </bottom>
    </border>
    <border>
      <right style="medium">
        <color rgb="FF38761D"/>
      </right>
      <top style="medium">
        <color rgb="FF38761D"/>
      </top>
      <bottom style="medium">
        <color rgb="FF38761D"/>
      </bottom>
    </border>
    <border>
      <left style="thin">
        <color rgb="FF85200C"/>
      </left>
      <top style="thin">
        <color rgb="FF85200C"/>
      </top>
      <bottom style="thin">
        <color rgb="FF85200C"/>
      </bottom>
    </border>
    <border>
      <right style="thin">
        <color rgb="FF85200C"/>
      </right>
      <top style="thin">
        <color rgb="FF85200C"/>
      </top>
      <bottom style="thin">
        <color rgb="FF85200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8761D"/>
      </left>
      <bottom style="medium">
        <color rgb="FF38761D"/>
      </bottom>
    </border>
    <border>
      <bottom style="medium">
        <color rgb="FF38761D"/>
      </bottom>
    </border>
    <border>
      <right style="medium">
        <color rgb="FF38761D"/>
      </right>
      <bottom style="medium">
        <color rgb="FF38761D"/>
      </bottom>
    </border>
    <border>
      <top style="thin">
        <color rgb="FF000000"/>
      </top>
      <bottom style="thin">
        <color rgb="FF000000"/>
      </bottom>
    </border>
    <border>
      <left style="medium">
        <color rgb="FFA61C00"/>
      </left>
      <top style="medium">
        <color rgb="FFA61C00"/>
      </top>
    </border>
    <border>
      <top style="medium">
        <color rgb="FFA61C00"/>
      </top>
    </border>
    <border>
      <right style="medium">
        <color rgb="FFA61C00"/>
      </right>
      <top style="medium">
        <color rgb="FFA61C00"/>
      </top>
    </border>
    <border>
      <left style="medium">
        <color rgb="FFA61C00"/>
      </left>
    </border>
    <border>
      <right style="medium">
        <color rgb="FFA61C00"/>
      </right>
    </border>
    <border>
      <left style="medium">
        <color rgb="FFB45F06"/>
      </left>
      <right style="medium">
        <color rgb="FFB45F06"/>
      </right>
      <top style="medium">
        <color rgb="FFB45F06"/>
      </top>
      <bottom style="medium">
        <color rgb="FFB45F06"/>
      </bottom>
    </border>
    <border>
      <left style="medium">
        <color rgb="FFB45F06"/>
      </left>
      <top style="medium">
        <color rgb="FFB45F06"/>
      </top>
      <bottom style="medium">
        <color rgb="FFB45F06"/>
      </bottom>
    </border>
    <border>
      <top style="medium">
        <color rgb="FFB45F06"/>
      </top>
      <bottom style="medium">
        <color rgb="FFB45F06"/>
      </bottom>
    </border>
    <border>
      <right style="medium">
        <color rgb="FFB45F06"/>
      </right>
      <top style="medium">
        <color rgb="FFB45F06"/>
      </top>
      <bottom style="medium">
        <color rgb="FFB45F06"/>
      </bottom>
    </border>
    <border>
      <left style="medium">
        <color rgb="FFFF0000"/>
      </left>
      <top style="medium">
        <color rgb="FFFF0000"/>
      </top>
      <bottom style="medium">
        <color rgb="FFFF0000"/>
      </bottom>
    </border>
    <border>
      <top style="medium">
        <color rgb="FFFF0000"/>
      </top>
      <bottom style="medium">
        <color rgb="FFFF0000"/>
      </bottom>
    </border>
    <border>
      <right style="medium">
        <color rgb="FFFF0000"/>
      </right>
      <top style="medium">
        <color rgb="FFFF0000"/>
      </top>
      <bottom style="medium">
        <color rgb="FFFF0000"/>
      </bottom>
    </border>
    <border>
      <left style="medium">
        <color rgb="FFB45F06"/>
      </left>
      <top style="medium">
        <color rgb="FFB45F06"/>
      </top>
    </border>
    <border>
      <top style="medium">
        <color rgb="FFB45F06"/>
      </top>
    </border>
    <border>
      <right style="medium">
        <color rgb="FFB45F06"/>
      </right>
      <top style="medium">
        <color rgb="FFB45F06"/>
      </top>
    </border>
    <border>
      <left style="medium">
        <color rgb="FFB45F06"/>
      </left>
      <bottom style="medium">
        <color rgb="FFB45F06"/>
      </bottom>
    </border>
    <border>
      <bottom style="medium">
        <color rgb="FFB45F06"/>
      </bottom>
    </border>
    <border>
      <right style="medium">
        <color rgb="FFB45F06"/>
      </right>
      <bottom style="medium">
        <color rgb="FFB45F06"/>
      </bottom>
    </border>
    <border>
      <left style="medium">
        <color rgb="FFA61C00"/>
      </left>
      <bottom style="medium">
        <color rgb="FFA61C00"/>
      </bottom>
    </border>
    <border>
      <bottom style="medium">
        <color rgb="FFA61C00"/>
      </bottom>
    </border>
    <border>
      <right style="medium">
        <color rgb="FFA61C00"/>
      </right>
      <bottom style="medium">
        <color rgb="FFA61C00"/>
      </bottom>
    </border>
    <border>
      <left style="thin">
        <color rgb="FFA61C00"/>
      </left>
      <top style="thin">
        <color rgb="FFA61C00"/>
      </top>
      <bottom style="thin">
        <color rgb="FFA61C00"/>
      </bottom>
    </border>
    <border>
      <top style="thin">
        <color rgb="FFA61C00"/>
      </top>
      <bottom style="thin">
        <color rgb="FFA61C00"/>
      </bottom>
    </border>
    <border>
      <right style="thin">
        <color rgb="FFA61C00"/>
      </right>
      <top style="thin">
        <color rgb="FFA61C00"/>
      </top>
      <bottom style="thin">
        <color rgb="FFA61C00"/>
      </bottom>
    </border>
    <border>
      <left style="thin">
        <color rgb="FFA61C00"/>
      </left>
      <right style="thin">
        <color rgb="FFA61C00"/>
      </right>
      <top style="thin">
        <color rgb="FFA61C00"/>
      </top>
      <bottom style="thin">
        <color rgb="FFA61C00"/>
      </bottom>
    </border>
    <border>
      <left style="thin">
        <color rgb="FFA61C00"/>
      </left>
      <top style="thin">
        <color rgb="FFA61C00"/>
      </top>
    </border>
    <border>
      <top style="thin">
        <color rgb="FFA61C00"/>
      </top>
    </border>
    <border>
      <right style="thin">
        <color rgb="FFA61C00"/>
      </right>
      <top style="thin">
        <color rgb="FFA61C00"/>
      </top>
    </border>
    <border>
      <left style="thin">
        <color rgb="FFA61C00"/>
      </left>
      <right style="thin">
        <color rgb="FFA61C00"/>
      </right>
      <top style="thin">
        <color rgb="FFA61C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0" fontId="4" numFmtId="0" xfId="0" applyBorder="1" applyFont="1"/>
    <xf borderId="2" fillId="0" fontId="5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5" fillId="0" fontId="4" numFmtId="0" xfId="0" applyBorder="1" applyFont="1"/>
    <xf borderId="6" fillId="3" fontId="6" numFmtId="0" xfId="0" applyAlignment="1" applyBorder="1" applyFill="1" applyFont="1">
      <alignment horizontal="center" readingOrder="0"/>
    </xf>
    <xf borderId="7" fillId="3" fontId="6" numFmtId="0" xfId="0" applyAlignment="1" applyBorder="1" applyFont="1">
      <alignment horizontal="center" readingOrder="0"/>
    </xf>
    <xf borderId="8" fillId="0" fontId="7" numFmtId="0" xfId="0" applyBorder="1" applyFont="1"/>
    <xf borderId="9" fillId="0" fontId="7" numFmtId="0" xfId="0" applyBorder="1" applyFont="1"/>
    <xf borderId="6" fillId="2" fontId="8" numFmtId="0" xfId="0" applyAlignment="1" applyBorder="1" applyFont="1">
      <alignment horizontal="center" readingOrder="0" vertical="center"/>
    </xf>
    <xf borderId="7" fillId="2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/>
    </xf>
    <xf borderId="10" fillId="0" fontId="9" numFmtId="0" xfId="0" applyAlignment="1" applyBorder="1" applyFont="1">
      <alignment readingOrder="0"/>
    </xf>
    <xf borderId="11" fillId="2" fontId="10" numFmtId="0" xfId="0" applyAlignment="1" applyBorder="1" applyFont="1">
      <alignment horizontal="right" readingOrder="0"/>
    </xf>
    <xf borderId="0" fillId="0" fontId="10" numFmtId="0" xfId="0" applyAlignment="1" applyFont="1">
      <alignment horizontal="right"/>
    </xf>
    <xf borderId="0" fillId="0" fontId="11" numFmtId="0" xfId="0" applyAlignment="1" applyFont="1">
      <alignment readingOrder="0" shrinkToFit="0" wrapText="1"/>
    </xf>
    <xf borderId="0" fillId="0" fontId="9" numFmtId="0" xfId="0" applyAlignment="1" applyFont="1">
      <alignment horizontal="left" readingOrder="0"/>
    </xf>
    <xf borderId="12" fillId="2" fontId="9" numFmtId="0" xfId="0" applyAlignment="1" applyBorder="1" applyFont="1">
      <alignment horizontal="center" readingOrder="0"/>
    </xf>
    <xf borderId="13" fillId="0" fontId="7" numFmtId="0" xfId="0" applyBorder="1" applyFont="1"/>
    <xf borderId="0" fillId="0" fontId="9" numFmtId="0" xfId="0" applyAlignment="1" applyFont="1">
      <alignment horizontal="center" readingOrder="0"/>
    </xf>
    <xf borderId="0" fillId="0" fontId="12" numFmtId="0" xfId="0" applyAlignment="1" applyFont="1">
      <alignment readingOrder="0" shrinkToFit="0" vertical="bottom" wrapText="1"/>
    </xf>
    <xf borderId="14" fillId="2" fontId="13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2" numFmtId="0" xfId="0" applyAlignment="1" applyFont="1">
      <alignment vertical="bottom"/>
    </xf>
    <xf borderId="15" fillId="0" fontId="4" numFmtId="0" xfId="0" applyBorder="1" applyFont="1"/>
    <xf borderId="16" fillId="0" fontId="5" numFmtId="0" xfId="0" applyAlignment="1" applyBorder="1" applyFont="1">
      <alignment readingOrder="0"/>
    </xf>
    <xf borderId="16" fillId="0" fontId="4" numFmtId="0" xfId="0" applyBorder="1" applyFont="1"/>
    <xf borderId="17" fillId="0" fontId="4" numFmtId="0" xfId="0" applyBorder="1" applyFont="1"/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5" fillId="0" fontId="7" numFmtId="0" xfId="0" applyBorder="1" applyFont="1"/>
    <xf borderId="0" fillId="0" fontId="12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5" fillId="0" fontId="2" numFmtId="0" xfId="0" applyAlignment="1" applyBorder="1" applyFont="1">
      <alignment vertical="bottom"/>
    </xf>
    <xf borderId="0" fillId="0" fontId="2" numFmtId="164" xfId="0" applyAlignment="1" applyFont="1" applyNumberFormat="1">
      <alignment vertical="bottom"/>
    </xf>
    <xf borderId="0" fillId="0" fontId="18" numFmtId="0" xfId="0" applyAlignment="1" applyFont="1">
      <alignment vertical="top"/>
    </xf>
    <xf borderId="0" fillId="0" fontId="18" numFmtId="0" xfId="0" applyAlignment="1" applyFont="1">
      <alignment shrinkToFit="0" vertical="top" wrapText="1"/>
    </xf>
    <xf borderId="5" fillId="0" fontId="2" numFmtId="0" xfId="0" applyAlignment="1" applyBorder="1" applyFont="1">
      <alignment vertical="bottom"/>
    </xf>
    <xf borderId="0" fillId="0" fontId="12" numFmtId="164" xfId="0" applyAlignment="1" applyFont="1" applyNumberFormat="1">
      <alignment horizontal="left" vertical="bottom"/>
    </xf>
    <xf borderId="12" fillId="2" fontId="19" numFmtId="0" xfId="0" applyAlignment="1" applyBorder="1" applyFont="1">
      <alignment horizontal="center" readingOrder="0" vertical="bottom"/>
    </xf>
    <xf borderId="12" fillId="2" fontId="19" numFmtId="0" xfId="0" applyAlignment="1" applyBorder="1" applyFont="1">
      <alignment horizontal="center" vertical="bottom"/>
    </xf>
    <xf borderId="18" fillId="0" fontId="7" numFmtId="0" xfId="0" applyBorder="1" applyFont="1"/>
    <xf borderId="0" fillId="0" fontId="2" numFmtId="0" xfId="0" applyAlignment="1" applyFont="1">
      <alignment vertical="top"/>
    </xf>
    <xf borderId="0" fillId="4" fontId="20" numFmtId="0" xfId="0" applyAlignment="1" applyFill="1" applyFont="1">
      <alignment vertical="top"/>
    </xf>
    <xf borderId="0" fillId="4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5" fillId="4" fontId="2" numFmtId="0" xfId="0" applyAlignment="1" applyBorder="1" applyFont="1">
      <alignment vertical="bottom"/>
    </xf>
    <xf borderId="0" fillId="4" fontId="21" numFmtId="0" xfId="0" applyAlignment="1" applyFont="1">
      <alignment vertical="top"/>
    </xf>
    <xf borderId="0" fillId="4" fontId="20" numFmtId="0" xfId="0" applyAlignment="1" applyFont="1">
      <alignment vertical="top"/>
    </xf>
    <xf borderId="12" fillId="2" fontId="19" numFmtId="10" xfId="0" applyAlignment="1" applyBorder="1" applyFont="1" applyNumberFormat="1">
      <alignment horizontal="center" vertical="bottom"/>
    </xf>
    <xf borderId="0" fillId="0" fontId="15" numFmtId="0" xfId="0" applyAlignment="1" applyFont="1">
      <alignment shrinkToFit="0" vertical="bottom" wrapText="1"/>
    </xf>
    <xf borderId="14" fillId="2" fontId="19" numFmtId="0" xfId="0" applyAlignment="1" applyBorder="1" applyFont="1">
      <alignment horizontal="center" readingOrder="0" vertical="bottom"/>
    </xf>
    <xf borderId="15" fillId="0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7" fillId="0" fontId="2" numFmtId="0" xfId="0" applyAlignment="1" applyBorder="1" applyFont="1">
      <alignment vertical="bottom"/>
    </xf>
    <xf borderId="12" fillId="0" fontId="9" numFmtId="0" xfId="0" applyAlignment="1" applyBorder="1" applyFont="1">
      <alignment horizontal="center" readingOrder="0"/>
    </xf>
    <xf borderId="0" fillId="0" fontId="22" numFmtId="0" xfId="0" applyAlignment="1" applyFont="1">
      <alignment horizontal="center" readingOrder="0" vertical="center"/>
    </xf>
    <xf borderId="0" fillId="0" fontId="23" numFmtId="0" xfId="0" applyAlignment="1" applyFont="1">
      <alignment horizontal="left" readingOrder="0" vertical="center"/>
    </xf>
    <xf borderId="19" fillId="0" fontId="4" numFmtId="0" xfId="0" applyBorder="1" applyFont="1"/>
    <xf borderId="20" fillId="0" fontId="24" numFmtId="0" xfId="0" applyAlignment="1" applyBorder="1" applyFont="1">
      <alignment readingOrder="0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0" fillId="0" fontId="24" numFmtId="0" xfId="0" applyAlignment="1" applyFont="1">
      <alignment readingOrder="0"/>
    </xf>
    <xf borderId="23" fillId="0" fontId="4" numFmtId="0" xfId="0" applyBorder="1" applyFont="1"/>
    <xf borderId="24" fillId="5" fontId="6" numFmtId="0" xfId="0" applyAlignment="1" applyBorder="1" applyFill="1" applyFont="1">
      <alignment horizontal="center" readingOrder="0"/>
    </xf>
    <xf borderId="25" fillId="5" fontId="6" numFmtId="0" xfId="0" applyAlignment="1" applyBorder="1" applyFont="1">
      <alignment horizontal="center" readingOrder="0"/>
    </xf>
    <xf borderId="26" fillId="0" fontId="7" numFmtId="0" xfId="0" applyBorder="1" applyFont="1"/>
    <xf borderId="27" fillId="0" fontId="7" numFmtId="0" xfId="0" applyBorder="1" applyFont="1"/>
    <xf borderId="24" fillId="6" fontId="8" numFmtId="1" xfId="0" applyAlignment="1" applyBorder="1" applyFill="1" applyFont="1" applyNumberFormat="1">
      <alignment horizontal="center" readingOrder="0" vertical="center"/>
    </xf>
    <xf borderId="25" fillId="6" fontId="8" numFmtId="1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readingOrder="0" vertical="center"/>
    </xf>
    <xf borderId="28" fillId="7" fontId="6" numFmtId="0" xfId="0" applyAlignment="1" applyBorder="1" applyFill="1" applyFont="1">
      <alignment horizontal="center" readingOrder="0"/>
    </xf>
    <xf borderId="29" fillId="0" fontId="7" numFmtId="0" xfId="0" applyBorder="1" applyFont="1"/>
    <xf borderId="30" fillId="0" fontId="7" numFmtId="0" xfId="0" applyBorder="1" applyFont="1"/>
    <xf borderId="31" fillId="0" fontId="25" numFmtId="0" xfId="0" applyAlignment="1" applyBorder="1" applyFont="1">
      <alignment horizontal="center" readingOrder="0" vertical="center"/>
    </xf>
    <xf borderId="32" fillId="0" fontId="7" numFmtId="0" xfId="0" applyBorder="1" applyFont="1"/>
    <xf borderId="33" fillId="0" fontId="7" numFmtId="0" xfId="0" applyBorder="1" applyFont="1"/>
    <xf borderId="28" fillId="6" fontId="8" numFmtId="1" xfId="0" applyAlignment="1" applyBorder="1" applyFont="1" applyNumberFormat="1">
      <alignment horizontal="center" readingOrder="0" vertical="center"/>
    </xf>
    <xf borderId="34" fillId="0" fontId="7" numFmtId="0" xfId="0" applyBorder="1" applyFont="1"/>
    <xf borderId="35" fillId="0" fontId="7" numFmtId="0" xfId="0" applyBorder="1" applyFont="1"/>
    <xf borderId="36" fillId="0" fontId="7" numFmtId="0" xfId="0" applyBorder="1" applyFont="1"/>
    <xf borderId="0" fillId="0" fontId="9" numFmtId="0" xfId="0" applyAlignment="1" applyFont="1">
      <alignment horizontal="center" readingOrder="0" vertical="center"/>
    </xf>
    <xf borderId="0" fillId="0" fontId="9" numFmtId="165" xfId="0" applyAlignment="1" applyFont="1" applyNumberFormat="1">
      <alignment horizontal="center" readingOrder="0"/>
    </xf>
    <xf borderId="0" fillId="0" fontId="26" numFmtId="0" xfId="0" applyAlignment="1" applyFont="1">
      <alignment horizontal="center" readingOrder="0" vertical="center"/>
    </xf>
    <xf borderId="25" fillId="0" fontId="8" numFmtId="10" xfId="0" applyAlignment="1" applyBorder="1" applyFont="1" applyNumberFormat="1">
      <alignment horizontal="center" readingOrder="0" vertical="center"/>
    </xf>
    <xf borderId="37" fillId="0" fontId="4" numFmtId="0" xfId="0" applyBorder="1" applyFont="1"/>
    <xf borderId="38" fillId="0" fontId="4" numFmtId="0" xfId="0" applyBorder="1" applyFont="1"/>
    <xf borderId="39" fillId="0" fontId="4" numFmtId="0" xfId="0" applyBorder="1" applyFont="1"/>
    <xf borderId="0" fillId="0" fontId="27" numFmtId="0" xfId="0" applyAlignment="1" applyFont="1">
      <alignment readingOrder="0"/>
    </xf>
    <xf borderId="25" fillId="0" fontId="9" numFmtId="165" xfId="0" applyAlignment="1" applyBorder="1" applyFont="1" applyNumberFormat="1">
      <alignment horizontal="center" readingOrder="0"/>
    </xf>
    <xf borderId="0" fillId="0" fontId="28" numFmtId="0" xfId="0" applyAlignment="1" applyFont="1">
      <alignment readingOrder="0"/>
    </xf>
    <xf borderId="25" fillId="0" fontId="9" numFmtId="166" xfId="0" applyAlignment="1" applyBorder="1" applyFont="1" applyNumberFormat="1">
      <alignment horizontal="center" readingOrder="0"/>
    </xf>
    <xf borderId="25" fillId="0" fontId="9" numFmtId="2" xfId="0" applyAlignment="1" applyBorder="1" applyFont="1" applyNumberFormat="1">
      <alignment horizontal="center" readingOrder="0"/>
    </xf>
    <xf borderId="40" fillId="8" fontId="20" numFmtId="0" xfId="0" applyAlignment="1" applyBorder="1" applyFill="1" applyFont="1">
      <alignment horizontal="center" readingOrder="0" vertical="bottom"/>
    </xf>
    <xf borderId="41" fillId="0" fontId="7" numFmtId="0" xfId="0" applyBorder="1" applyFont="1"/>
    <xf borderId="42" fillId="0" fontId="7" numFmtId="0" xfId="0" applyBorder="1" applyFont="1"/>
    <xf borderId="43" fillId="8" fontId="20" numFmtId="0" xfId="0" applyAlignment="1" applyBorder="1" applyFont="1">
      <alignment horizontal="center" readingOrder="0" vertical="bottom"/>
    </xf>
    <xf borderId="0" fillId="0" fontId="29" numFmtId="0" xfId="0" applyAlignment="1" applyFont="1">
      <alignment horizontal="left" readingOrder="0"/>
    </xf>
    <xf borderId="40" fillId="0" fontId="30" numFmtId="166" xfId="0" applyAlignment="1" applyBorder="1" applyFont="1" applyNumberFormat="1">
      <alignment horizontal="center" vertical="bottom"/>
    </xf>
    <xf borderId="40" fillId="0" fontId="30" numFmtId="2" xfId="0" applyAlignment="1" applyBorder="1" applyFont="1" applyNumberFormat="1">
      <alignment horizontal="center" vertical="bottom"/>
    </xf>
    <xf borderId="43" fillId="0" fontId="30" numFmtId="2" xfId="0" applyAlignment="1" applyBorder="1" applyFont="1" applyNumberFormat="1">
      <alignment horizontal="center" vertical="bottom"/>
    </xf>
    <xf borderId="40" fillId="0" fontId="30" numFmtId="0" xfId="0" applyAlignment="1" applyBorder="1" applyFont="1">
      <alignment horizontal="center" readingOrder="0" vertical="bottom"/>
    </xf>
    <xf borderId="44" fillId="0" fontId="30" numFmtId="166" xfId="0" applyAlignment="1" applyBorder="1" applyFont="1" applyNumberFormat="1">
      <alignment horizontal="center" vertical="bottom"/>
    </xf>
    <xf borderId="45" fillId="0" fontId="7" numFmtId="0" xfId="0" applyBorder="1" applyFont="1"/>
    <xf borderId="46" fillId="0" fontId="7" numFmtId="0" xfId="0" applyBorder="1" applyFont="1"/>
    <xf borderId="44" fillId="0" fontId="30" numFmtId="2" xfId="0" applyAlignment="1" applyBorder="1" applyFont="1" applyNumberFormat="1">
      <alignment horizontal="center" vertical="bottom"/>
    </xf>
    <xf borderId="47" fillId="0" fontId="30" numFmtId="2" xfId="0" applyAlignment="1" applyBorder="1" applyFont="1" applyNumberFormat="1">
      <alignment horizontal="center" vertical="bottom"/>
    </xf>
    <xf borderId="0" fillId="0" fontId="3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14" fillId="9" fontId="2" numFmtId="0" xfId="0" applyAlignment="1" applyBorder="1" applyFill="1" applyFont="1">
      <alignment horizontal="center" readingOrder="0" vertical="bottom"/>
    </xf>
    <xf borderId="12" fillId="9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14" fillId="0" fontId="2" numFmtId="0" xfId="0" applyAlignment="1" applyBorder="1" applyFont="1">
      <alignment horizontal="center" vertical="bottom"/>
    </xf>
    <xf borderId="14" fillId="0" fontId="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0" fillId="0" fontId="4" numFmtId="166" xfId="0" applyFont="1" applyNumberFormat="1"/>
    <xf borderId="14" fillId="9" fontId="4" numFmtId="0" xfId="0" applyAlignment="1" applyBorder="1" applyFont="1">
      <alignment horizontal="center" readingOrder="0"/>
    </xf>
    <xf borderId="48" fillId="0" fontId="2" numFmtId="0" xfId="0" applyAlignment="1" applyBorder="1" applyFont="1">
      <alignment horizontal="center" readingOrder="0" vertical="center"/>
    </xf>
    <xf borderId="49" fillId="0" fontId="7" numFmtId="0" xfId="0" applyBorder="1" applyFont="1"/>
    <xf borderId="50" fillId="0" fontId="7" numFmtId="0" xfId="0" applyBorder="1" applyFont="1"/>
    <xf borderId="14" fillId="9" fontId="2" numFmtId="0" xfId="0" applyAlignment="1" applyBorder="1" applyFont="1">
      <alignment horizontal="center" vertical="bottom"/>
    </xf>
    <xf borderId="14" fillId="10" fontId="2" numFmtId="0" xfId="0" applyAlignment="1" applyBorder="1" applyFill="1" applyFont="1">
      <alignment horizontal="center" vertical="bottom"/>
    </xf>
    <xf borderId="14" fillId="0" fontId="2" numFmtId="166" xfId="0" applyAlignment="1" applyBorder="1" applyFont="1" applyNumberFormat="1">
      <alignment horizontal="center" vertical="bottom"/>
    </xf>
    <xf borderId="12" fillId="0" fontId="2" numFmtId="0" xfId="0" applyAlignment="1" applyBorder="1" applyFont="1">
      <alignment horizontal="center" vertical="bottom"/>
    </xf>
    <xf borderId="14" fillId="0" fontId="2" numFmtId="2" xfId="0" applyAlignment="1" applyBorder="1" applyFont="1" applyNumberFormat="1">
      <alignment horizontal="center" vertical="bottom"/>
    </xf>
    <xf borderId="14" fillId="0" fontId="2" numFmtId="0" xfId="0" applyAlignment="1" applyBorder="1" applyFont="1">
      <alignment vertical="bottom"/>
    </xf>
    <xf borderId="14" fillId="0" fontId="2" numFmtId="2" xfId="0" applyAlignment="1" applyBorder="1" applyFont="1" applyNumberFormat="1">
      <alignment horizontal="center" vertical="bottom"/>
    </xf>
    <xf borderId="14" fillId="0" fontId="4" numFmtId="0" xfId="0" applyAlignment="1" applyBorder="1" applyFont="1">
      <alignment readingOrder="0"/>
    </xf>
    <xf borderId="14" fillId="0" fontId="4" numFmtId="0" xfId="0" applyBorder="1" applyFont="1"/>
    <xf borderId="14" fillId="11" fontId="2" numFmtId="0" xfId="0" applyAlignment="1" applyBorder="1" applyFill="1" applyFont="1">
      <alignment horizontal="right" vertical="bottom"/>
    </xf>
    <xf borderId="0" fillId="0" fontId="32" numFmtId="0" xfId="0" applyAlignment="1" applyFont="1">
      <alignment vertical="bottom"/>
    </xf>
    <xf borderId="14" fillId="0" fontId="2" numFmtId="167" xfId="0" applyAlignment="1" applyBorder="1" applyFont="1" applyNumberFormat="1">
      <alignment horizontal="center" vertical="bottom"/>
    </xf>
    <xf borderId="14" fillId="11" fontId="2" numFmtId="1" xfId="0" applyAlignment="1" applyBorder="1" applyFont="1" applyNumberFormat="1">
      <alignment horizontal="right" vertical="bottom"/>
    </xf>
    <xf borderId="0" fillId="0" fontId="32" numFmtId="0" xfId="0" applyAlignment="1" applyFont="1">
      <alignment vertical="bottom"/>
    </xf>
    <xf borderId="14" fillId="0" fontId="2" numFmtId="166" xfId="0" applyAlignment="1" applyBorder="1" applyFont="1" applyNumberFormat="1">
      <alignment horizontal="center" vertical="bottom"/>
    </xf>
    <xf borderId="12" fillId="0" fontId="32" numFmtId="0" xfId="0" applyAlignment="1" applyBorder="1" applyFont="1">
      <alignment vertical="bottom"/>
    </xf>
    <xf borderId="14" fillId="0" fontId="32" numFmtId="0" xfId="0" applyAlignment="1" applyBorder="1" applyFont="1">
      <alignment horizontal="right" vertical="bottom"/>
    </xf>
    <xf borderId="14" fillId="0" fontId="32" numFmtId="168" xfId="0" applyAlignment="1" applyBorder="1" applyFont="1" applyNumberFormat="1">
      <alignment horizontal="right" vertical="bottom"/>
    </xf>
    <xf borderId="0" fillId="0" fontId="32" numFmtId="0" xfId="0" applyAlignment="1" applyFont="1">
      <alignment shrinkToFit="0" vertical="bottom" wrapText="1"/>
    </xf>
    <xf borderId="12" fillId="0" fontId="2" numFmtId="166" xfId="0" applyAlignment="1" applyBorder="1" applyFont="1" applyNumberFormat="1">
      <alignment horizontal="center" vertical="bottom"/>
    </xf>
    <xf borderId="12" fillId="11" fontId="2" numFmtId="166" xfId="0" applyAlignment="1" applyBorder="1" applyFont="1" applyNumberFormat="1">
      <alignment horizontal="center" vertical="bottom"/>
    </xf>
    <xf borderId="14" fillId="11" fontId="2" numFmtId="2" xfId="0" applyAlignment="1" applyBorder="1" applyFont="1" applyNumberFormat="1">
      <alignment horizontal="center" vertical="bottom"/>
    </xf>
    <xf borderId="0" fillId="0" fontId="33" numFmtId="0" xfId="0" applyAlignment="1" applyFont="1">
      <alignment readingOrder="0"/>
    </xf>
    <xf borderId="14" fillId="0" fontId="2" numFmtId="166" xfId="0" applyAlignment="1" applyBorder="1" applyFont="1" applyNumberFormat="1">
      <alignment horizontal="center"/>
    </xf>
    <xf borderId="0" fillId="0" fontId="2" numFmtId="166" xfId="0" applyAlignment="1" applyFont="1" applyNumberFormat="1">
      <alignment horizontal="center" vertical="bottom"/>
    </xf>
    <xf borderId="12" fillId="0" fontId="2" numFmtId="0" xfId="0" applyAlignment="1" applyBorder="1" applyFont="1">
      <alignment horizontal="center" readingOrder="0" vertical="bottom"/>
    </xf>
    <xf borderId="14" fillId="0" fontId="4" numFmtId="2" xfId="0" applyBorder="1" applyFont="1" applyNumberFormat="1"/>
  </cellXfs>
  <cellStyles count="1">
    <cellStyle xfId="0" name="Normal" builtinId="0"/>
  </cellStyles>
  <dxfs count="6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B8043"/>
      </font>
      <fill>
        <patternFill patternType="none"/>
      </fill>
      <border/>
    </dxf>
    <dxf>
      <font>
        <color rgb="FFF09300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44</xdr:row>
      <xdr:rowOff>19050</xdr:rowOff>
    </xdr:from>
    <xdr:ext cx="504825" cy="485775"/>
    <xdr:sp>
      <xdr:nvSpPr>
        <xdr:cNvPr id="3" name="Shape 3"/>
        <xdr:cNvSpPr/>
      </xdr:nvSpPr>
      <xdr:spPr>
        <a:xfrm>
          <a:off x="3993650" y="1042250"/>
          <a:ext cx="486900" cy="467400"/>
        </a:xfrm>
        <a:prstGeom prst="downArrow">
          <a:avLst>
            <a:gd fmla="val 50000" name="adj1"/>
            <a:gd fmla="val 50000" name="adj2"/>
          </a:avLst>
        </a:prstGeom>
        <a:solidFill>
          <a:srgbClr val="FF99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581025</xdr:colOff>
      <xdr:row>44</xdr:row>
      <xdr:rowOff>19050</xdr:rowOff>
    </xdr:from>
    <xdr:ext cx="504825" cy="485775"/>
    <xdr:sp>
      <xdr:nvSpPr>
        <xdr:cNvPr id="4" name="Shape 4"/>
        <xdr:cNvSpPr/>
      </xdr:nvSpPr>
      <xdr:spPr>
        <a:xfrm>
          <a:off x="3360500" y="876650"/>
          <a:ext cx="535800" cy="574800"/>
        </a:xfrm>
        <a:prstGeom prst="downArrow">
          <a:avLst>
            <a:gd fmla="val 50000" name="adj1"/>
            <a:gd fmla="val 50000" name="adj2"/>
          </a:avLst>
        </a:prstGeom>
        <a:solidFill>
          <a:srgbClr val="FF99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238125</xdr:colOff>
      <xdr:row>18</xdr:row>
      <xdr:rowOff>180975</xdr:rowOff>
    </xdr:from>
    <xdr:ext cx="9372600" cy="4505325"/>
    <xdr:grpSp>
      <xdr:nvGrpSpPr>
        <xdr:cNvPr id="2" name="Shape 2" title="図形描画"/>
        <xdr:cNvGrpSpPr/>
      </xdr:nvGrpSpPr>
      <xdr:grpSpPr>
        <a:xfrm>
          <a:off x="289400" y="0"/>
          <a:ext cx="9353825" cy="4492400"/>
          <a:chOff x="289400" y="0"/>
          <a:chExt cx="9353825" cy="4492400"/>
        </a:xfrm>
      </xdr:grpSpPr>
      <xdr:pic>
        <xdr:nvPicPr>
          <xdr:cNvPr id="5" name="Shape 5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289400" y="815350"/>
            <a:ext cx="2184725" cy="3636051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6" name="Shape 6"/>
          <xdr:cNvSpPr txBox="1"/>
        </xdr:nvSpPr>
        <xdr:spPr>
          <a:xfrm>
            <a:off x="395925" y="0"/>
            <a:ext cx="5610600" cy="523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200">
                <a:solidFill>
                  <a:srgbClr val="6AA84F"/>
                </a:solidFill>
              </a:rPr>
              <a:t>使い方など</a:t>
            </a:r>
            <a:endParaRPr b="1" sz="2200">
              <a:solidFill>
                <a:srgbClr val="6AA84F"/>
              </a:solidFill>
            </a:endParaRPr>
          </a:p>
        </xdr:txBody>
      </xdr:sp>
      <xdr:sp>
        <xdr:nvSpPr>
          <xdr:cNvPr id="7" name="Shape 7"/>
          <xdr:cNvSpPr txBox="1"/>
        </xdr:nvSpPr>
        <xdr:spPr>
          <a:xfrm>
            <a:off x="4032625" y="3837800"/>
            <a:ext cx="5610600" cy="654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2211125" y="192025"/>
            <a:ext cx="6282600" cy="4186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6AA84F"/>
                </a:solidFill>
              </a:rPr>
              <a:t>・PCの方：左上から[ファイル]→[コピーを作成]を選択し、</a:t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6AA84F"/>
                </a:solidFill>
              </a:rPr>
              <a:t>　　　　　 このスプレッドシートをローカルにコピーした上でお使い下さい。</a:t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6AA84F"/>
                </a:solidFill>
              </a:rPr>
              <a:t>・スマホの方：めちゃ面倒です。GoogleスプレッドシートのアプリをDLし</a:t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6AA84F"/>
                </a:solidFill>
              </a:rPr>
              <a:t>　　　　　　　アプリでこのスプレッドシートを開いてから、</a:t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6AA84F"/>
                </a:solidFill>
              </a:rPr>
              <a:t>　　　　　　　ホームに戻り、ファイルの右の[…]からコピーを作成して下さい。</a:t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6AA84F"/>
                </a:solidFill>
              </a:rPr>
              <a:t>・黄色いセル　　　が入力欄です。</a:t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6AA84F"/>
                </a:solidFill>
              </a:rPr>
              <a:t>　入力欄を埋めると、スタミナが足りてるかどうかが分かるツールです。</a:t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6AA84F"/>
                </a:solidFill>
              </a:rPr>
              <a:t>　他、細かいデータなど。</a:t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6AA84F"/>
                </a:solidFill>
              </a:rPr>
              <a:t>・他のウマの影響、速度UPなどのスキルの影響を考慮していません。</a:t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6AA84F"/>
                </a:solidFill>
              </a:rPr>
              <a:t>　また、坂道やコーナーも無視しているので、</a:t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6AA84F"/>
                </a:solidFill>
              </a:rPr>
              <a:t>　実際よりパワーの価値が低くなっています。</a:t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6AA84F"/>
                </a:solidFill>
              </a:rPr>
              <a:t>・有志の解析によって判明した計算式などが多数使われています。</a:t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6AA84F"/>
                </a:solidFill>
              </a:rPr>
              <a:t>　解析などに忌避感を覚える方はご注意下さい。</a:t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6AA84F"/>
                </a:solidFill>
              </a:rPr>
              <a:t>・今後のアップデートなどで、内部のロジックが大きく変わり</a:t>
            </a:r>
            <a:endParaRPr b="1" sz="1300">
              <a:solidFill>
                <a:srgbClr val="6AA84F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6AA84F"/>
                </a:solidFill>
              </a:rPr>
              <a:t>　一切参考にならなくなる可能性があります。</a:t>
            </a:r>
            <a:endParaRPr b="1" sz="1300">
              <a:solidFill>
                <a:srgbClr val="6AA84F"/>
              </a:solidFill>
            </a:endParaRPr>
          </a:p>
        </xdr:txBody>
      </xdr:sp>
      <xdr:sp>
        <xdr:nvSpPr>
          <xdr:cNvPr id="9" name="Shape 9"/>
          <xdr:cNvSpPr/>
        </xdr:nvSpPr>
        <xdr:spPr>
          <a:xfrm>
            <a:off x="289400" y="0"/>
            <a:ext cx="7198200" cy="4451400"/>
          </a:xfrm>
          <a:prstGeom prst="roundRect">
            <a:avLst>
              <a:gd fmla="val 6897" name="adj"/>
            </a:avLst>
          </a:prstGeom>
          <a:noFill/>
          <a:ln cap="flat" cmpd="sng" w="38100">
            <a:solidFill>
              <a:srgbClr val="6AA84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solidFill>
                <a:srgbClr val="38761D"/>
              </a:solidFill>
            </a:endParaRPr>
          </a:p>
        </xdr:txBody>
      </xdr:sp>
    </xdr:grpSp>
    <xdr:clientData fLocksWithSheet="0"/>
  </xdr:oneCellAnchor>
  <xdr:oneCellAnchor>
    <xdr:from>
      <xdr:col>16</xdr:col>
      <xdr:colOff>238125</xdr:colOff>
      <xdr:row>39</xdr:row>
      <xdr:rowOff>47625</xdr:rowOff>
    </xdr:from>
    <xdr:ext cx="8020050" cy="4572000"/>
    <xdr:grpSp>
      <xdr:nvGrpSpPr>
        <xdr:cNvPr id="2" name="Shape 2" title="図形描画"/>
        <xdr:cNvGrpSpPr/>
      </xdr:nvGrpSpPr>
      <xdr:grpSpPr>
        <a:xfrm>
          <a:off x="194800" y="94600"/>
          <a:ext cx="8600875" cy="4899600"/>
          <a:chOff x="194800" y="94600"/>
          <a:chExt cx="8600875" cy="4899600"/>
        </a:xfrm>
      </xdr:grpSpPr>
      <xdr:pic>
        <xdr:nvPicPr>
          <xdr:cNvPr id="10" name="Shape 10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94800" y="439875"/>
            <a:ext cx="2444900" cy="45060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1" name="Shape 11"/>
          <xdr:cNvSpPr txBox="1"/>
        </xdr:nvSpPr>
        <xdr:spPr>
          <a:xfrm>
            <a:off x="532275" y="94600"/>
            <a:ext cx="6282600" cy="554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400">
                <a:solidFill>
                  <a:srgbClr val="FF9900"/>
                </a:solidFill>
              </a:rPr>
              <a:t>助言ッ！</a:t>
            </a:r>
            <a:endParaRPr b="1" sz="2400">
              <a:solidFill>
                <a:srgbClr val="FF9900"/>
              </a:solidFill>
            </a:endParaRPr>
          </a:p>
        </xdr:txBody>
      </xdr:sp>
      <xdr:sp>
        <xdr:nvSpPr>
          <xdr:cNvPr id="12" name="Shape 12"/>
          <xdr:cNvSpPr txBox="1"/>
        </xdr:nvSpPr>
        <xdr:spPr>
          <a:xfrm>
            <a:off x="2513075" y="282500"/>
            <a:ext cx="6282600" cy="4587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・</a:t>
            </a:r>
            <a:r>
              <a:rPr b="1" lang="en-US" sz="1300">
                <a:solidFill>
                  <a:srgbClr val="FF9900"/>
                </a:solidFill>
              </a:rPr>
              <a:t>レース中、残り1/3の地点（終盤）に到達すると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　ウマ娘たちは一気に速度を上げるぞッ！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　</a:t>
            </a:r>
            <a:r>
              <a:rPr b="1" lang="en-US" sz="1300">
                <a:solidFill>
                  <a:srgbClr val="FF0000"/>
                </a:solidFill>
              </a:rPr>
              <a:t>【終盤速度】</a:t>
            </a:r>
            <a:r>
              <a:rPr b="1" lang="en-US" sz="1300">
                <a:solidFill>
                  <a:srgbClr val="FF9900"/>
                </a:solidFill>
              </a:rPr>
              <a:t>と</a:t>
            </a:r>
            <a:r>
              <a:rPr b="1" lang="en-US" sz="1300">
                <a:solidFill>
                  <a:srgbClr val="FF0000"/>
                </a:solidFill>
              </a:rPr>
              <a:t>【ラストスパード速度】</a:t>
            </a:r>
            <a:r>
              <a:rPr b="1" lang="en-US" sz="1300">
                <a:solidFill>
                  <a:srgbClr val="FF9900"/>
                </a:solidFill>
              </a:rPr>
              <a:t>の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　2種存在するのに注意だッ！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・残り1/3の全てを、</a:t>
            </a:r>
            <a:r>
              <a:rPr b="1" lang="en-US" sz="1300">
                <a:solidFill>
                  <a:srgbClr val="FF0000"/>
                </a:solidFill>
              </a:rPr>
              <a:t>【ラストスパード速度】</a:t>
            </a:r>
            <a:r>
              <a:rPr b="1" lang="en-US" sz="1300">
                <a:solidFill>
                  <a:srgbClr val="FF9900"/>
                </a:solidFill>
              </a:rPr>
              <a:t>で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　走りきれるHPが充分に残っていると、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0000"/>
                </a:solidFill>
              </a:rPr>
              <a:t>　</a:t>
            </a:r>
            <a:r>
              <a:rPr b="1" lang="en-US" sz="1300">
                <a:solidFill>
                  <a:srgbClr val="FF9900"/>
                </a:solidFill>
              </a:rPr>
              <a:t>すぐに</a:t>
            </a:r>
            <a:r>
              <a:rPr b="1" lang="en-US" sz="1300">
                <a:solidFill>
                  <a:srgbClr val="FF0000"/>
                </a:solidFill>
              </a:rPr>
              <a:t>【ラストスパートモード】</a:t>
            </a:r>
            <a:r>
              <a:rPr b="1" lang="en-US" sz="1300">
                <a:solidFill>
                  <a:srgbClr val="FF9900"/>
                </a:solidFill>
              </a:rPr>
              <a:t>で走り出すぞッ！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・残りHPがあまりない場合は、しばらく</a:t>
            </a:r>
            <a:r>
              <a:rPr b="1" lang="en-US" sz="1300">
                <a:solidFill>
                  <a:srgbClr val="FF0000"/>
                </a:solidFill>
              </a:rPr>
              <a:t>【終盤速度】</a:t>
            </a:r>
            <a:r>
              <a:rPr b="1" lang="en-US" sz="1300">
                <a:solidFill>
                  <a:srgbClr val="FF9900"/>
                </a:solidFill>
              </a:rPr>
              <a:t>で走った後、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　途中から</a:t>
            </a:r>
            <a:r>
              <a:rPr b="1" lang="en-US" sz="1300">
                <a:solidFill>
                  <a:srgbClr val="FF0000"/>
                </a:solidFill>
              </a:rPr>
              <a:t>【ラストスパートモード】</a:t>
            </a:r>
            <a:r>
              <a:rPr b="1" lang="en-US" sz="1300">
                <a:solidFill>
                  <a:srgbClr val="FF9900"/>
                </a:solidFill>
              </a:rPr>
              <a:t>に移行するぞッ！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300">
              <a:solidFill>
                <a:srgbClr val="FF00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・即ちッ！残り1/3の地点で、すぐに</a:t>
            </a:r>
            <a:r>
              <a:rPr b="1" lang="en-US" sz="1300">
                <a:solidFill>
                  <a:srgbClr val="FF0000"/>
                </a:solidFill>
              </a:rPr>
              <a:t>【ラストスパートモード】</a:t>
            </a:r>
            <a:r>
              <a:rPr b="1" lang="en-US" sz="1300">
                <a:solidFill>
                  <a:srgbClr val="FF9900"/>
                </a:solidFill>
              </a:rPr>
              <a:t>に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　移行できるように、スタミナと根性をしっかりと上げることが肝要ッ！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300">
              <a:solidFill>
                <a:srgbClr val="FF00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・このツールでは、コース距離に応じて、どれくらいスタミナと根性を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　上げればいいかが、おおまかに把握できるぞッ！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・ただし、速度UPスキル発動によるスタミナ消費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　他ウマからのデバフ、掛かり、逃げの競り合いなどで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　過剰にHPを消費するかもしれないッ！</a:t>
            </a:r>
            <a:endParaRPr b="1" sz="1300">
              <a:solidFill>
                <a:srgbClr val="FF9900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9900"/>
                </a:solidFill>
              </a:rPr>
              <a:t>　余裕を持ったステータス作りが重要だッ！</a:t>
            </a:r>
            <a:endParaRPr b="1" sz="1300">
              <a:solidFill>
                <a:srgbClr val="FF9900"/>
              </a:solidFill>
            </a:endParaRPr>
          </a:p>
        </xdr:txBody>
      </xdr:sp>
      <xdr:sp>
        <xdr:nvSpPr>
          <xdr:cNvPr id="13" name="Shape 13"/>
          <xdr:cNvSpPr/>
        </xdr:nvSpPr>
        <xdr:spPr>
          <a:xfrm>
            <a:off x="194800" y="94600"/>
            <a:ext cx="7256700" cy="4899600"/>
          </a:xfrm>
          <a:prstGeom prst="roundRect">
            <a:avLst>
              <a:gd fmla="val 10317" name="adj"/>
            </a:avLst>
          </a:prstGeom>
          <a:noFill/>
          <a:ln cap="flat" cmpd="sng" w="38100">
            <a:solidFill>
              <a:srgbClr val="FF99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17</xdr:col>
      <xdr:colOff>47625</xdr:colOff>
      <xdr:row>7</xdr:row>
      <xdr:rowOff>314325</xdr:rowOff>
    </xdr:from>
    <xdr:ext cx="1485900" cy="752475"/>
    <xdr:sp>
      <xdr:nvSpPr>
        <xdr:cNvPr id="14" name="Shape 14"/>
        <xdr:cNvSpPr/>
      </xdr:nvSpPr>
      <xdr:spPr>
        <a:xfrm>
          <a:off x="2788200" y="2127650"/>
          <a:ext cx="3317700" cy="166380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333375</xdr:colOff>
      <xdr:row>39</xdr:row>
      <xdr:rowOff>123825</xdr:rowOff>
    </xdr:from>
    <xdr:ext cx="981075" cy="590550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942975</xdr:colOff>
      <xdr:row>26</xdr:row>
      <xdr:rowOff>133350</xdr:rowOff>
    </xdr:from>
    <xdr:ext cx="266700" cy="142875"/>
    <xdr:pic>
      <xdr:nvPicPr>
        <xdr:cNvPr id="0" name="image3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0</xdr:row>
      <xdr:rowOff>0</xdr:rowOff>
    </xdr:from>
    <xdr:ext cx="2581275" cy="249555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59</xdr:row>
      <xdr:rowOff>38100</xdr:rowOff>
    </xdr:from>
    <xdr:ext cx="4286250" cy="3629025"/>
    <xdr:pic>
      <xdr:nvPicPr>
        <xdr:cNvPr id="0" name="image4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8yQqMraFk7bT6RY7EYIYnq3xiPL9NeDUHJOtSBOmFs" TargetMode="External"/><Relationship Id="rId2" Type="http://schemas.openxmlformats.org/officeDocument/2006/relationships/hyperlink" Target="https://gametora.com/umamusume/skills.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2.38"/>
    <col customWidth="1" min="3" max="3" width="16.13"/>
    <col customWidth="1" min="4" max="4" width="8.13"/>
    <col customWidth="1" min="5" max="5" width="5.5"/>
    <col customWidth="1" min="6" max="6" width="2.13"/>
    <col customWidth="1" min="7" max="7" width="8.13"/>
    <col customWidth="1" min="8" max="8" width="5.5"/>
    <col customWidth="1" min="9" max="9" width="2.13"/>
    <col customWidth="1" min="10" max="10" width="8.13"/>
    <col customWidth="1" min="11" max="11" width="5.5"/>
    <col customWidth="1" min="12" max="12" width="2.13"/>
    <col customWidth="1" min="13" max="13" width="8.13"/>
    <col customWidth="1" min="14" max="14" width="5.5"/>
    <col customWidth="1" min="15" max="15" width="2.13"/>
    <col customWidth="1" min="16" max="16" width="11.0"/>
    <col customWidth="1" min="18" max="18" width="14.25"/>
    <col customWidth="1" min="19" max="19" width="2.6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 ht="9.75" customHeight="1">
      <c r="B5" s="5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>
      <c r="B6" s="9"/>
      <c r="C6" s="10" t="s">
        <v>4</v>
      </c>
      <c r="P6" s="11"/>
      <c r="R6" s="10"/>
    </row>
    <row r="7">
      <c r="B7" s="9"/>
      <c r="C7" s="12" t="s">
        <v>5</v>
      </c>
      <c r="D7" s="13" t="s">
        <v>6</v>
      </c>
      <c r="E7" s="14"/>
      <c r="F7" s="15"/>
      <c r="G7" s="13" t="s">
        <v>7</v>
      </c>
      <c r="H7" s="14"/>
      <c r="I7" s="15"/>
      <c r="J7" s="13" t="s">
        <v>8</v>
      </c>
      <c r="K7" s="14"/>
      <c r="L7" s="15"/>
      <c r="M7" s="13" t="s">
        <v>9</v>
      </c>
      <c r="N7" s="14"/>
      <c r="O7" s="15"/>
      <c r="P7" s="11"/>
    </row>
    <row r="8" ht="32.25" customHeight="1">
      <c r="B8" s="9"/>
      <c r="C8" s="16">
        <v>1088.0</v>
      </c>
      <c r="D8" s="17">
        <v>625.0</v>
      </c>
      <c r="E8" s="14"/>
      <c r="F8" s="15"/>
      <c r="G8" s="17">
        <v>621.0</v>
      </c>
      <c r="H8" s="14"/>
      <c r="I8" s="15"/>
      <c r="J8" s="17">
        <v>488.0</v>
      </c>
      <c r="K8" s="14"/>
      <c r="L8" s="15"/>
      <c r="M8" s="17">
        <v>435.0</v>
      </c>
      <c r="N8" s="14"/>
      <c r="O8" s="15"/>
      <c r="P8" s="11"/>
    </row>
    <row r="9" ht="6.75" customHeight="1">
      <c r="B9" s="9"/>
      <c r="P9" s="11"/>
    </row>
    <row r="10" ht="19.5" customHeight="1">
      <c r="B10" s="9"/>
      <c r="C10" s="18" t="s">
        <v>10</v>
      </c>
      <c r="D10" s="19" t="s">
        <v>11</v>
      </c>
      <c r="E10" s="20" t="s">
        <v>12</v>
      </c>
      <c r="F10" s="18"/>
      <c r="G10" s="19" t="s">
        <v>13</v>
      </c>
      <c r="H10" s="20" t="s">
        <v>14</v>
      </c>
      <c r="P10" s="11"/>
    </row>
    <row r="11" ht="6.75" customHeight="1">
      <c r="B11" s="9"/>
      <c r="C11" s="18"/>
      <c r="D11" s="18"/>
      <c r="E11" s="21"/>
      <c r="F11" s="18"/>
      <c r="G11" s="18"/>
      <c r="H11" s="21"/>
      <c r="I11" s="18"/>
      <c r="J11" s="18"/>
      <c r="L11" s="18"/>
      <c r="M11" s="18"/>
      <c r="P11" s="11"/>
    </row>
    <row r="12" ht="19.5" customHeight="1">
      <c r="B12" s="9"/>
      <c r="C12" s="18" t="s">
        <v>15</v>
      </c>
      <c r="D12" s="19" t="s">
        <v>16</v>
      </c>
      <c r="E12" s="20" t="s">
        <v>17</v>
      </c>
      <c r="F12" s="18"/>
      <c r="G12" s="19" t="s">
        <v>18</v>
      </c>
      <c r="H12" s="20" t="s">
        <v>17</v>
      </c>
      <c r="I12" s="18"/>
      <c r="J12" s="19" t="s">
        <v>19</v>
      </c>
      <c r="K12" s="20" t="s">
        <v>20</v>
      </c>
      <c r="L12" s="18"/>
      <c r="M12" s="19" t="s">
        <v>21</v>
      </c>
      <c r="N12" s="20" t="s">
        <v>22</v>
      </c>
      <c r="P12" s="11"/>
    </row>
    <row r="13" ht="6.75" customHeight="1">
      <c r="B13" s="9"/>
      <c r="C13" s="18"/>
      <c r="D13" s="18"/>
      <c r="E13" s="21"/>
      <c r="F13" s="18"/>
      <c r="G13" s="18"/>
      <c r="H13" s="21"/>
      <c r="I13" s="18"/>
      <c r="J13" s="18"/>
      <c r="K13" s="21"/>
      <c r="L13" s="18"/>
      <c r="M13" s="18"/>
      <c r="N13" s="21"/>
      <c r="P13" s="11"/>
      <c r="Q13" s="22" t="s">
        <v>23</v>
      </c>
    </row>
    <row r="14" ht="19.5" customHeight="1">
      <c r="B14" s="9"/>
      <c r="C14" s="18" t="s">
        <v>24</v>
      </c>
      <c r="D14" s="19" t="s">
        <v>25</v>
      </c>
      <c r="E14" s="20" t="s">
        <v>14</v>
      </c>
      <c r="F14" s="18"/>
      <c r="G14" s="19" t="s">
        <v>26</v>
      </c>
      <c r="H14" s="20" t="s">
        <v>17</v>
      </c>
      <c r="I14" s="18"/>
      <c r="J14" s="19" t="s">
        <v>27</v>
      </c>
      <c r="K14" s="20" t="s">
        <v>28</v>
      </c>
      <c r="L14" s="18"/>
      <c r="M14" s="19" t="s">
        <v>29</v>
      </c>
      <c r="N14" s="20" t="s">
        <v>22</v>
      </c>
      <c r="P14" s="11"/>
    </row>
    <row r="15" ht="6.0" customHeight="1">
      <c r="B15" s="9"/>
      <c r="P15" s="11"/>
    </row>
    <row r="16">
      <c r="B16" s="9"/>
      <c r="C16" s="23" t="s">
        <v>30</v>
      </c>
      <c r="D16" s="24" t="s">
        <v>31</v>
      </c>
      <c r="E16" s="25"/>
      <c r="G16" s="26" t="s">
        <v>32</v>
      </c>
      <c r="J16" s="24" t="s">
        <v>26</v>
      </c>
      <c r="K16" s="25"/>
      <c r="P16" s="11"/>
    </row>
    <row r="17">
      <c r="B17" s="9"/>
      <c r="C17" s="10"/>
      <c r="P17" s="11"/>
    </row>
    <row r="18">
      <c r="B18" s="9"/>
      <c r="C18" s="27" t="s">
        <v>33</v>
      </c>
      <c r="J18" s="28">
        <v>1.0</v>
      </c>
      <c r="K18" s="29"/>
      <c r="L18" s="29"/>
      <c r="P18" s="11"/>
    </row>
    <row r="19">
      <c r="B19" s="9"/>
      <c r="C19" s="30" t="s">
        <v>34</v>
      </c>
      <c r="D19" s="31"/>
      <c r="E19" s="31"/>
      <c r="F19" s="31"/>
      <c r="G19" s="31"/>
      <c r="H19" s="31"/>
      <c r="I19" s="31"/>
      <c r="J19" s="31"/>
      <c r="K19" s="31"/>
      <c r="L19" s="31"/>
      <c r="P19" s="11"/>
    </row>
    <row r="20">
      <c r="B20" s="32"/>
      <c r="C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</row>
    <row r="21" ht="7.5" customHeight="1">
      <c r="C21" s="10"/>
    </row>
    <row r="22" ht="9.0" customHeight="1">
      <c r="B22" s="36"/>
      <c r="C22" s="37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9"/>
    </row>
    <row r="23">
      <c r="B23" s="40"/>
      <c r="C23" s="41" t="s">
        <v>35</v>
      </c>
      <c r="D23" s="31"/>
      <c r="E23" s="2"/>
      <c r="P23" s="42"/>
    </row>
    <row r="24">
      <c r="B24" s="40"/>
      <c r="C24" s="43" t="s">
        <v>36</v>
      </c>
      <c r="D24" s="43" t="s">
        <v>37</v>
      </c>
      <c r="E24" s="2"/>
      <c r="F24" s="31"/>
      <c r="G24" s="2"/>
      <c r="H24" s="44" t="s">
        <v>38</v>
      </c>
      <c r="I24" s="31"/>
      <c r="J24" s="2"/>
      <c r="K24" s="2"/>
      <c r="L24" s="2"/>
      <c r="M24" s="2"/>
      <c r="N24" s="2"/>
      <c r="O24" s="2"/>
      <c r="P24" s="45"/>
    </row>
    <row r="25">
      <c r="B25" s="40"/>
      <c r="C25" s="46"/>
      <c r="D25" s="47" t="s">
        <v>39</v>
      </c>
      <c r="E25" s="2"/>
      <c r="F25" s="31"/>
      <c r="G25" s="2"/>
      <c r="H25" s="48" t="s">
        <v>40</v>
      </c>
      <c r="O25" s="31"/>
      <c r="P25" s="49"/>
    </row>
    <row r="26">
      <c r="B26" s="40"/>
      <c r="C26" s="50">
        <v>0.015</v>
      </c>
      <c r="D26" s="51">
        <v>0.0</v>
      </c>
      <c r="E26" s="25"/>
      <c r="F26" s="31"/>
      <c r="G26" s="2"/>
      <c r="H26" s="52">
        <v>0.0</v>
      </c>
      <c r="I26" s="53"/>
      <c r="J26" s="25"/>
      <c r="K26" s="31"/>
      <c r="L26" s="31"/>
      <c r="M26" s="31"/>
      <c r="N26" s="31"/>
      <c r="O26" s="31"/>
      <c r="P26" s="49"/>
    </row>
    <row r="27">
      <c r="B27" s="40"/>
      <c r="C27" s="30" t="s">
        <v>41</v>
      </c>
      <c r="D27" s="31"/>
      <c r="E27" s="2"/>
      <c r="F27" s="31"/>
      <c r="G27" s="2"/>
      <c r="H27" s="31"/>
      <c r="I27" s="31"/>
      <c r="J27" s="31"/>
      <c r="K27" s="54"/>
      <c r="L27" s="31"/>
      <c r="M27" s="31"/>
      <c r="N27" s="31"/>
      <c r="O27" s="31"/>
      <c r="P27" s="49"/>
    </row>
    <row r="28">
      <c r="B28" s="40"/>
      <c r="C28" s="50">
        <v>0.035</v>
      </c>
      <c r="D28" s="51">
        <v>0.0</v>
      </c>
      <c r="E28" s="25"/>
      <c r="F28" s="31"/>
      <c r="G28" s="2"/>
      <c r="H28" s="51">
        <v>0.0</v>
      </c>
      <c r="I28" s="53"/>
      <c r="J28" s="25"/>
      <c r="K28" s="55" t="s">
        <v>42</v>
      </c>
      <c r="L28" s="56"/>
      <c r="M28" s="57"/>
      <c r="N28" s="57"/>
      <c r="O28" s="57"/>
      <c r="P28" s="58"/>
    </row>
    <row r="29">
      <c r="B29" s="40"/>
      <c r="C29" s="30" t="s">
        <v>43</v>
      </c>
      <c r="D29" s="31"/>
      <c r="E29" s="2"/>
      <c r="F29" s="31"/>
      <c r="G29" s="2"/>
      <c r="H29" s="2"/>
      <c r="I29" s="31"/>
      <c r="J29" s="31"/>
      <c r="K29" s="59" t="s">
        <v>44</v>
      </c>
      <c r="L29" s="56"/>
      <c r="M29" s="57"/>
      <c r="N29" s="57"/>
      <c r="O29" s="57"/>
      <c r="P29" s="58"/>
    </row>
    <row r="30">
      <c r="B30" s="40"/>
      <c r="C30" s="50">
        <v>0.055</v>
      </c>
      <c r="D30" s="51">
        <v>0.0</v>
      </c>
      <c r="E30" s="25"/>
      <c r="F30" s="31"/>
      <c r="G30" s="2"/>
      <c r="H30" s="51">
        <v>0.0</v>
      </c>
      <c r="I30" s="53"/>
      <c r="J30" s="25"/>
      <c r="K30" s="60" t="s">
        <v>45</v>
      </c>
      <c r="L30" s="57"/>
      <c r="M30" s="57"/>
      <c r="N30" s="57"/>
      <c r="O30" s="57"/>
      <c r="P30" s="58"/>
    </row>
    <row r="31">
      <c r="B31" s="40"/>
      <c r="C31" s="30" t="s">
        <v>46</v>
      </c>
      <c r="D31" s="31"/>
      <c r="E31" s="2"/>
      <c r="F31" s="31"/>
      <c r="G31" s="2"/>
      <c r="H31" s="31"/>
      <c r="I31" s="31"/>
      <c r="J31" s="31"/>
      <c r="K31" s="2"/>
      <c r="L31" s="31"/>
      <c r="M31" s="31"/>
      <c r="N31" s="31"/>
      <c r="O31" s="31"/>
      <c r="P31" s="49"/>
    </row>
    <row r="32">
      <c r="B32" s="40"/>
      <c r="C32" s="43" t="s">
        <v>47</v>
      </c>
      <c r="D32" s="61">
        <v>0.0</v>
      </c>
      <c r="E32" s="25"/>
      <c r="F32" s="31"/>
      <c r="G32" s="2"/>
      <c r="H32" s="61">
        <v>0.0</v>
      </c>
      <c r="I32" s="53"/>
      <c r="J32" s="25"/>
      <c r="K32" s="2"/>
      <c r="L32" s="31"/>
      <c r="M32" s="31"/>
      <c r="N32" s="31"/>
      <c r="O32" s="31"/>
      <c r="P32" s="49"/>
    </row>
    <row r="33">
      <c r="B33" s="40"/>
      <c r="C33" s="62" t="s">
        <v>48</v>
      </c>
      <c r="K33" s="2"/>
      <c r="L33" s="31"/>
      <c r="M33" s="31"/>
      <c r="N33" s="31"/>
      <c r="O33" s="31"/>
      <c r="P33" s="49"/>
    </row>
    <row r="34">
      <c r="B34" s="40"/>
      <c r="C34" s="2"/>
      <c r="D34" s="31"/>
      <c r="E34" s="31"/>
      <c r="F34" s="31"/>
      <c r="G34" s="2"/>
      <c r="H34" s="31"/>
      <c r="I34" s="31"/>
      <c r="J34" s="31"/>
      <c r="K34" s="31"/>
      <c r="L34" s="31"/>
      <c r="M34" s="31"/>
      <c r="N34" s="31"/>
      <c r="O34" s="31"/>
      <c r="P34" s="49"/>
    </row>
    <row r="35">
      <c r="B35" s="40"/>
      <c r="C35" s="43" t="s">
        <v>49</v>
      </c>
      <c r="D35" s="31"/>
      <c r="E35" s="31"/>
      <c r="F35" s="31"/>
      <c r="G35" s="31"/>
      <c r="H35" s="63">
        <v>1.0</v>
      </c>
      <c r="I35" s="31"/>
      <c r="J35" s="31"/>
      <c r="K35" s="31"/>
      <c r="L35" s="31"/>
      <c r="M35" s="31"/>
      <c r="N35" s="31"/>
      <c r="O35" s="31"/>
      <c r="P35" s="49"/>
    </row>
    <row r="36">
      <c r="B36" s="40"/>
      <c r="C36" s="30" t="s">
        <v>50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49"/>
    </row>
    <row r="37">
      <c r="B37" s="40"/>
      <c r="C37" s="30" t="s">
        <v>51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49"/>
    </row>
    <row r="38">
      <c r="B38" s="64"/>
      <c r="C38" s="65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7"/>
    </row>
    <row r="39">
      <c r="B39" s="9"/>
      <c r="C39" s="10"/>
      <c r="P39" s="11"/>
    </row>
    <row r="40">
      <c r="B40" s="9"/>
      <c r="C40" s="10" t="s">
        <v>52</v>
      </c>
      <c r="P40" s="11"/>
    </row>
    <row r="41">
      <c r="B41" s="9"/>
      <c r="C41" s="26" t="s">
        <v>53</v>
      </c>
      <c r="D41" s="24" t="s">
        <v>11</v>
      </c>
      <c r="E41" s="25"/>
      <c r="G41" s="26" t="s">
        <v>54</v>
      </c>
      <c r="J41" s="24" t="s">
        <v>55</v>
      </c>
      <c r="K41" s="25"/>
      <c r="P41" s="11"/>
    </row>
    <row r="42">
      <c r="B42" s="9"/>
      <c r="C42" s="26" t="s">
        <v>56</v>
      </c>
      <c r="D42" s="24">
        <v>1600.0</v>
      </c>
      <c r="E42" s="25"/>
      <c r="G42" s="26" t="s">
        <v>57</v>
      </c>
      <c r="J42" s="68" t="str">
        <f>VLOOKUP(D42,'定義'!$O$3:$P$18,2)</f>
        <v>Mile</v>
      </c>
      <c r="K42" s="25"/>
      <c r="L42" s="26"/>
      <c r="P42" s="11"/>
    </row>
    <row r="43">
      <c r="B43" s="3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5"/>
    </row>
    <row r="44" ht="9.75" customHeight="1">
      <c r="D44" s="69"/>
      <c r="H44" s="70"/>
      <c r="I44" s="70"/>
      <c r="J44" s="70"/>
      <c r="K44" s="70"/>
    </row>
    <row r="45">
      <c r="D45" s="69"/>
      <c r="H45" s="70" t="s">
        <v>58</v>
      </c>
    </row>
    <row r="48" ht="7.5" customHeight="1"/>
    <row r="49">
      <c r="B49" s="71"/>
      <c r="C49" s="72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4"/>
    </row>
    <row r="50">
      <c r="B50" s="75"/>
      <c r="C50" s="76" t="s">
        <v>59</v>
      </c>
      <c r="P50" s="77"/>
    </row>
    <row r="51" ht="20.25" customHeight="1">
      <c r="B51" s="75"/>
      <c r="C51" s="78" t="s">
        <v>5</v>
      </c>
      <c r="D51" s="79" t="s">
        <v>6</v>
      </c>
      <c r="E51" s="80"/>
      <c r="F51" s="81"/>
      <c r="G51" s="79" t="s">
        <v>7</v>
      </c>
      <c r="H51" s="80"/>
      <c r="I51" s="81"/>
      <c r="J51" s="79" t="s">
        <v>8</v>
      </c>
      <c r="K51" s="80"/>
      <c r="L51" s="81"/>
      <c r="M51" s="79" t="s">
        <v>60</v>
      </c>
      <c r="N51" s="80"/>
      <c r="O51" s="81"/>
      <c r="P51" s="77"/>
    </row>
    <row r="52" ht="33.75" customHeight="1">
      <c r="B52" s="75"/>
      <c r="C52" s="82">
        <f t="array" ref="C52">(C8*VLOOKUP($D$16,'定義'!$B$23:$C$27,2, FALSE)+index('定義'!$K$13:$M$20,match($J$41,'定義'!$J$13:$J$16, 0)+if($D$41="Dirt",4,0),1))*VLOOKUP(switch($J$42,"Sprint",$E$12,"Mile",$H$12,"Medium",$K$12,"Long",$N$12),'定義'!$E$3:$G$10,2, FALSE)^2</f>
        <v>1044.48</v>
      </c>
      <c r="D52" s="83">
        <f>(D8*VLOOKUP($D$16,'定義'!$B$23:$C$27,2, FALSE))</f>
        <v>600</v>
      </c>
      <c r="E52" s="80"/>
      <c r="F52" s="81"/>
      <c r="G52" s="83">
        <f t="array" ref="G52">(G8*VLOOKUP($D$16,'定義'!$B$23:$C$27,2, FALSE)+index('定義'!$K$13:$M$20,match($J$41,'定義'!$J$13:$J$16, 0)+if($D$41="Dirt",4,0),2))*VLOOKUP(switch($J$42,"Sprint",$E$12,"Mile",$H$12,"Medium",$K$12,"Long",$N$12),'定義'!$E$3:$G$10,3, FALSE)^2*VLOOKUP(switch($D$41,"Turf",$E$10,"Dirt",$H$10),'定義'!$B$3:$C$10,2, FALSE)^2</f>
        <v>657.2664</v>
      </c>
      <c r="H52" s="80"/>
      <c r="I52" s="81"/>
      <c r="J52" s="83">
        <f>(J8*VLOOKUP($D$16,'定義'!$B$23:$C$27,2, FALSE))</f>
        <v>468.48</v>
      </c>
      <c r="K52" s="80"/>
      <c r="L52" s="81"/>
      <c r="M52" s="83">
        <f>(M8*VLOOKUP($D$16,'定義'!$B$23:$C$27,2, FALSE))*VLOOKUP(switch($J$16,"Front",$E$14,"Pace",$H$14,"Late",$K$14,"End",$N$14),'定義'!$I$3:$J$10,2, FALSE)</f>
        <v>417.6</v>
      </c>
      <c r="N52" s="80"/>
      <c r="O52" s="81"/>
      <c r="P52" s="77"/>
    </row>
    <row r="53" ht="6.0" customHeight="1">
      <c r="B53" s="75"/>
      <c r="P53" s="77"/>
    </row>
    <row r="54" ht="20.25" customHeight="1">
      <c r="B54" s="75"/>
      <c r="C54" s="84" t="s">
        <v>61</v>
      </c>
      <c r="D54" s="85" t="s">
        <v>62</v>
      </c>
      <c r="E54" s="86"/>
      <c r="F54" s="87"/>
      <c r="G54" s="88" t="str">
        <f>IF(D52+1&lt;D55,"Not enough stamina/guts！",IF(and(D52/D55&lt;1.1,D55&gt;=0),"Borderline！","You have enough！"))</f>
        <v>Borderline！</v>
      </c>
      <c r="H54" s="89"/>
      <c r="I54" s="89"/>
      <c r="J54" s="89"/>
      <c r="K54" s="89"/>
      <c r="L54" s="89"/>
      <c r="M54" s="89"/>
      <c r="N54" s="89"/>
      <c r="O54" s="90"/>
      <c r="P54" s="77"/>
    </row>
    <row r="55" ht="33.75" customHeight="1">
      <c r="B55" s="75"/>
      <c r="D55" s="91">
        <f>'定義'!G57</f>
        <v>570.2203876</v>
      </c>
      <c r="E55" s="86"/>
      <c r="F55" s="87"/>
      <c r="G55" s="92"/>
      <c r="H55" s="93"/>
      <c r="I55" s="93"/>
      <c r="J55" s="93"/>
      <c r="K55" s="93"/>
      <c r="L55" s="93"/>
      <c r="M55" s="93"/>
      <c r="N55" s="93"/>
      <c r="O55" s="94"/>
      <c r="P55" s="77"/>
    </row>
    <row r="56" ht="9.75" customHeight="1">
      <c r="B56" s="75"/>
      <c r="C56" s="95"/>
      <c r="D56" s="96"/>
      <c r="E56" s="96"/>
      <c r="F56" s="96"/>
      <c r="P56" s="77"/>
    </row>
    <row r="57" ht="45.75" customHeight="1">
      <c r="B57" s="75"/>
      <c r="C57" s="97" t="s">
        <v>63</v>
      </c>
      <c r="D57" s="98">
        <f>max(100-9000/M52,20)/100</f>
        <v>0.7844827586</v>
      </c>
      <c r="E57" s="80"/>
      <c r="F57" s="81"/>
      <c r="G57" s="97" t="s">
        <v>64</v>
      </c>
      <c r="J57" s="98">
        <f>MIN((6.5/LOG10(0.1*M52+1))^2/100, 1)</f>
        <v>0.1588176319</v>
      </c>
      <c r="K57" s="80"/>
      <c r="L57" s="81"/>
      <c r="P57" s="77"/>
    </row>
    <row r="58">
      <c r="B58" s="99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1"/>
    </row>
    <row r="59" ht="9.0" customHeight="1">
      <c r="C59" s="76"/>
    </row>
    <row r="60">
      <c r="B60" s="71"/>
      <c r="C60" s="72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4"/>
    </row>
    <row r="61">
      <c r="B61" s="75"/>
      <c r="C61" s="102" t="s">
        <v>65</v>
      </c>
      <c r="S61" s="77"/>
    </row>
    <row r="62">
      <c r="B62" s="75"/>
      <c r="C62" s="26" t="s">
        <v>66</v>
      </c>
      <c r="D62" s="103">
        <f>'定義'!B34</f>
        <v>2027.2</v>
      </c>
      <c r="E62" s="81"/>
      <c r="G62" s="26" t="s">
        <v>67</v>
      </c>
      <c r="J62" s="103">
        <f>'定義'!B30</f>
        <v>90.83705562</v>
      </c>
      <c r="K62" s="81"/>
      <c r="L62" s="104" t="s">
        <v>68</v>
      </c>
      <c r="S62" s="77"/>
    </row>
    <row r="63">
      <c r="B63" s="75"/>
      <c r="C63" s="26" t="s">
        <v>69</v>
      </c>
      <c r="D63" s="103">
        <f>'定義'!B35</f>
        <v>2027.2</v>
      </c>
      <c r="E63" s="81"/>
      <c r="G63" s="26" t="s">
        <v>70</v>
      </c>
      <c r="J63" s="103">
        <f>'定義'!B31</f>
        <v>533.3333333</v>
      </c>
      <c r="K63" s="81"/>
      <c r="L63" s="104" t="s">
        <v>71</v>
      </c>
      <c r="S63" s="77"/>
    </row>
    <row r="64">
      <c r="B64" s="75"/>
      <c r="C64" s="26" t="s">
        <v>72</v>
      </c>
      <c r="D64" s="105">
        <f>'定義'!B37</f>
        <v>1.377232275</v>
      </c>
      <c r="E64" s="81"/>
      <c r="G64" s="26" t="s">
        <v>73</v>
      </c>
      <c r="J64" s="106">
        <f>'定義'!B33</f>
        <v>20.4</v>
      </c>
      <c r="K64" s="81"/>
      <c r="L64" s="104" t="s">
        <v>74</v>
      </c>
      <c r="S64" s="77"/>
    </row>
    <row r="65">
      <c r="B65" s="75"/>
      <c r="S65" s="77"/>
    </row>
    <row r="66">
      <c r="B66" s="75"/>
      <c r="C66" s="26"/>
      <c r="D66" s="107" t="s">
        <v>75</v>
      </c>
      <c r="E66" s="108"/>
      <c r="F66" s="109"/>
      <c r="G66" s="107" t="s">
        <v>76</v>
      </c>
      <c r="H66" s="108"/>
      <c r="I66" s="109"/>
      <c r="J66" s="107" t="s">
        <v>77</v>
      </c>
      <c r="K66" s="108"/>
      <c r="L66" s="109"/>
      <c r="M66" s="107" t="s">
        <v>78</v>
      </c>
      <c r="N66" s="108"/>
      <c r="O66" s="109"/>
      <c r="P66" s="107" t="s">
        <v>79</v>
      </c>
      <c r="Q66" s="109"/>
      <c r="R66" s="110" t="s">
        <v>80</v>
      </c>
      <c r="S66" s="77"/>
    </row>
    <row r="67">
      <c r="B67" s="75"/>
      <c r="C67" s="111" t="s">
        <v>81</v>
      </c>
      <c r="D67" s="112">
        <f>'定義'!B41</f>
        <v>3</v>
      </c>
      <c r="E67" s="108"/>
      <c r="F67" s="109"/>
      <c r="G67" s="112">
        <f>'定義'!C41</f>
        <v>17.34</v>
      </c>
      <c r="H67" s="108"/>
      <c r="I67" s="109"/>
      <c r="J67" s="112">
        <f>'定義'!D41</f>
        <v>24.33879984</v>
      </c>
      <c r="K67" s="108"/>
      <c r="L67" s="109"/>
      <c r="M67" s="112">
        <f>'定義'!E41</f>
        <v>0.589182708</v>
      </c>
      <c r="N67" s="108"/>
      <c r="O67" s="109"/>
      <c r="P67" s="113">
        <f>'定義'!F41</f>
        <v>5.99198814</v>
      </c>
      <c r="Q67" s="109"/>
      <c r="R67" s="114">
        <f>'定義'!G41</f>
        <v>11.78365416</v>
      </c>
      <c r="S67" s="77"/>
    </row>
    <row r="68">
      <c r="B68" s="75"/>
      <c r="C68" s="111" t="s">
        <v>82</v>
      </c>
      <c r="D68" s="112">
        <f>'定義'!B42</f>
        <v>17.34</v>
      </c>
      <c r="E68" s="108"/>
      <c r="F68" s="109"/>
      <c r="G68" s="112">
        <f>'定義'!C42</f>
        <v>19.91000422</v>
      </c>
      <c r="H68" s="108"/>
      <c r="I68" s="109"/>
      <c r="J68" s="112">
        <f>'定義'!D42</f>
        <v>0.3387998417</v>
      </c>
      <c r="K68" s="108"/>
      <c r="L68" s="109"/>
      <c r="M68" s="112">
        <f>'定義'!E42</f>
        <v>7.585612235</v>
      </c>
      <c r="N68" s="108"/>
      <c r="O68" s="109"/>
      <c r="P68" s="113">
        <f>'定義'!F42</f>
        <v>141.2820439</v>
      </c>
      <c r="Q68" s="109"/>
      <c r="R68" s="114">
        <f>'定義'!G42</f>
        <v>110.7300036</v>
      </c>
      <c r="S68" s="77"/>
    </row>
    <row r="69">
      <c r="B69" s="75"/>
      <c r="C69" s="111" t="s">
        <v>83</v>
      </c>
      <c r="D69" s="112">
        <f>'定義'!B43</f>
        <v>19.91000422</v>
      </c>
      <c r="E69" s="108"/>
      <c r="F69" s="108"/>
      <c r="G69" s="108"/>
      <c r="H69" s="108"/>
      <c r="I69" s="109"/>
      <c r="J69" s="112" t="str">
        <f>'定義'!D43</f>
        <v>-</v>
      </c>
      <c r="K69" s="108"/>
      <c r="L69" s="109"/>
      <c r="M69" s="112">
        <f>'定義'!E43</f>
        <v>5.996615233</v>
      </c>
      <c r="N69" s="108"/>
      <c r="O69" s="109"/>
      <c r="P69" s="113">
        <f>'定義'!F43</f>
        <v>119.3926346</v>
      </c>
      <c r="Q69" s="109"/>
      <c r="R69" s="114">
        <f>'定義'!G43</f>
        <v>110.3378846</v>
      </c>
      <c r="S69" s="77"/>
    </row>
    <row r="70">
      <c r="B70" s="75"/>
      <c r="C70" s="111" t="s">
        <v>84</v>
      </c>
      <c r="D70" s="112">
        <f>'定義'!B44</f>
        <v>19.91000422</v>
      </c>
      <c r="E70" s="108"/>
      <c r="F70" s="109"/>
      <c r="G70" s="112">
        <f>'定義'!C44</f>
        <v>20.14612394</v>
      </c>
      <c r="H70" s="108"/>
      <c r="I70" s="109"/>
      <c r="J70" s="112">
        <f>'定義'!D44</f>
        <v>0.3439592301</v>
      </c>
      <c r="K70" s="108"/>
      <c r="L70" s="109"/>
      <c r="M70" s="112">
        <f>'定義'!E44</f>
        <v>0.6864758861</v>
      </c>
      <c r="N70" s="108"/>
      <c r="O70" s="109"/>
      <c r="P70" s="113">
        <f>'定義'!F44</f>
        <v>13.74878304</v>
      </c>
      <c r="Q70" s="109"/>
      <c r="R70" s="114">
        <f>'定義'!G44</f>
        <v>12.89206675</v>
      </c>
      <c r="S70" s="77"/>
    </row>
    <row r="71">
      <c r="B71" s="75"/>
      <c r="C71" s="111" t="s">
        <v>85</v>
      </c>
      <c r="D71" s="112">
        <f>'定義'!B45</f>
        <v>20.14612394</v>
      </c>
      <c r="E71" s="108"/>
      <c r="F71" s="108"/>
      <c r="G71" s="108"/>
      <c r="H71" s="108"/>
      <c r="I71" s="109"/>
      <c r="J71" s="112" t="str">
        <f>'定義'!D45</f>
        <v>-</v>
      </c>
      <c r="K71" s="108"/>
      <c r="L71" s="109"/>
      <c r="M71" s="112">
        <f>'定義'!E45</f>
        <v>39.02741883</v>
      </c>
      <c r="N71" s="108"/>
      <c r="O71" s="109"/>
      <c r="P71" s="113">
        <f>'定義'!F45</f>
        <v>786.251217</v>
      </c>
      <c r="Q71" s="109"/>
      <c r="R71" s="114">
        <f>'定義'!G45</f>
        <v>799.5430048</v>
      </c>
      <c r="S71" s="77"/>
    </row>
    <row r="72">
      <c r="B72" s="75"/>
      <c r="C72" s="111" t="s">
        <v>86</v>
      </c>
      <c r="D72" s="112">
        <f>'定義'!B46</f>
        <v>20.14612394</v>
      </c>
      <c r="E72" s="108"/>
      <c r="F72" s="109"/>
      <c r="G72" s="112">
        <f>'定義'!C46</f>
        <v>21.29412772</v>
      </c>
      <c r="H72" s="108"/>
      <c r="I72" s="109"/>
      <c r="J72" s="112">
        <f>'定義'!D46</f>
        <v>0.3425833932</v>
      </c>
      <c r="K72" s="108"/>
      <c r="L72" s="109"/>
      <c r="M72" s="112">
        <f>'定義'!E46</f>
        <v>0</v>
      </c>
      <c r="N72" s="108"/>
      <c r="O72" s="109"/>
      <c r="P72" s="113">
        <f>'定義'!F46</f>
        <v>0</v>
      </c>
      <c r="Q72" s="109"/>
      <c r="R72" s="114">
        <f>'定義'!G46</f>
        <v>0</v>
      </c>
      <c r="S72" s="77"/>
    </row>
    <row r="73">
      <c r="B73" s="75"/>
      <c r="C73" s="111" t="s">
        <v>87</v>
      </c>
      <c r="D73" s="112">
        <f>'定義'!B47</f>
        <v>21.29412772</v>
      </c>
      <c r="E73" s="108"/>
      <c r="F73" s="108"/>
      <c r="G73" s="108"/>
      <c r="H73" s="108"/>
      <c r="I73" s="109"/>
      <c r="J73" s="112" t="str">
        <f>'定義'!D47</f>
        <v>-</v>
      </c>
      <c r="K73" s="108"/>
      <c r="L73" s="109"/>
      <c r="M73" s="112">
        <f>'定義'!E47</f>
        <v>0</v>
      </c>
      <c r="N73" s="108"/>
      <c r="O73" s="109"/>
      <c r="P73" s="113">
        <f>'定義'!F47</f>
        <v>0</v>
      </c>
      <c r="Q73" s="109"/>
      <c r="R73" s="114">
        <f>'定義'!G47</f>
        <v>0</v>
      </c>
      <c r="S73" s="77"/>
    </row>
    <row r="74">
      <c r="B74" s="75"/>
      <c r="C74" s="111" t="s">
        <v>88</v>
      </c>
      <c r="D74" s="112">
        <f>'定義'!B48</f>
        <v>20.14612394</v>
      </c>
      <c r="E74" s="108"/>
      <c r="F74" s="109"/>
      <c r="G74" s="112">
        <f>'定義'!C48</f>
        <v>24.06161316</v>
      </c>
      <c r="H74" s="108"/>
      <c r="I74" s="109"/>
      <c r="J74" s="112">
        <f>'定義'!D48</f>
        <v>0.3425833932</v>
      </c>
      <c r="K74" s="108"/>
      <c r="L74" s="109"/>
      <c r="M74" s="112">
        <f>'定義'!E48</f>
        <v>11.42930246</v>
      </c>
      <c r="N74" s="108"/>
      <c r="O74" s="109"/>
      <c r="P74" s="113">
        <f>'定義'!F48</f>
        <v>252.6317992</v>
      </c>
      <c r="Q74" s="109"/>
      <c r="R74" s="114">
        <f>'定義'!G48</f>
        <v>413.3570199</v>
      </c>
      <c r="S74" s="77"/>
    </row>
    <row r="75">
      <c r="B75" s="75"/>
      <c r="C75" s="111" t="s">
        <v>89</v>
      </c>
      <c r="D75" s="112">
        <f>'定義'!B49</f>
        <v>24.06161316</v>
      </c>
      <c r="E75" s="108"/>
      <c r="F75" s="108"/>
      <c r="G75" s="108"/>
      <c r="H75" s="108"/>
      <c r="I75" s="109"/>
      <c r="J75" s="112" t="str">
        <f>'定義'!D49</f>
        <v>-</v>
      </c>
      <c r="K75" s="108"/>
      <c r="L75" s="109"/>
      <c r="M75" s="112">
        <f>'定義'!E49</f>
        <v>11.66594826</v>
      </c>
      <c r="N75" s="108"/>
      <c r="O75" s="109"/>
      <c r="P75" s="113">
        <f>'定義'!F49</f>
        <v>280.7015341</v>
      </c>
      <c r="Q75" s="109"/>
      <c r="R75" s="114">
        <f>'定義'!G49</f>
        <v>547.3532822</v>
      </c>
      <c r="S75" s="77"/>
    </row>
    <row r="76">
      <c r="B76" s="75"/>
      <c r="C76" s="111" t="s">
        <v>90</v>
      </c>
      <c r="D76" s="112">
        <f>'定義'!B50</f>
        <v>24.06161316</v>
      </c>
      <c r="E76" s="108"/>
      <c r="F76" s="109"/>
      <c r="G76" s="115" t="s">
        <v>91</v>
      </c>
      <c r="H76" s="108"/>
      <c r="I76" s="109"/>
      <c r="J76" s="112">
        <f>'定義'!D50</f>
        <v>-1.2</v>
      </c>
      <c r="K76" s="108"/>
      <c r="L76" s="109"/>
      <c r="M76" s="116">
        <f>'定義'!E50</f>
        <v>0</v>
      </c>
      <c r="N76" s="117"/>
      <c r="O76" s="118"/>
      <c r="P76" s="119">
        <f>'定義'!F50</f>
        <v>0</v>
      </c>
      <c r="Q76" s="118"/>
      <c r="R76" s="120">
        <f>'定義'!G50</f>
        <v>0</v>
      </c>
      <c r="S76" s="77"/>
    </row>
    <row r="77">
      <c r="B77" s="75"/>
      <c r="C77" s="111" t="s">
        <v>92</v>
      </c>
      <c r="M77" s="112">
        <f>'定義'!E51</f>
        <v>76.98055561</v>
      </c>
      <c r="N77" s="108"/>
      <c r="O77" s="109"/>
      <c r="P77" s="113">
        <f>'定義'!F51</f>
        <v>1600</v>
      </c>
      <c r="Q77" s="109"/>
      <c r="R77" s="114">
        <f>'定義'!G51</f>
        <v>2005.996916</v>
      </c>
      <c r="S77" s="77"/>
    </row>
    <row r="78">
      <c r="B78" s="99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1"/>
    </row>
  </sheetData>
  <mergeCells count="113">
    <mergeCell ref="A1:V1"/>
    <mergeCell ref="A2:R2"/>
    <mergeCell ref="A3:R3"/>
    <mergeCell ref="A4:R4"/>
    <mergeCell ref="G7:I7"/>
    <mergeCell ref="J7:L7"/>
    <mergeCell ref="M7:O7"/>
    <mergeCell ref="D7:F7"/>
    <mergeCell ref="D8:F8"/>
    <mergeCell ref="G8:I8"/>
    <mergeCell ref="J8:L8"/>
    <mergeCell ref="M8:O8"/>
    <mergeCell ref="Q13:Z18"/>
    <mergeCell ref="D16:E16"/>
    <mergeCell ref="C18:I18"/>
    <mergeCell ref="G16:I16"/>
    <mergeCell ref="J16:K16"/>
    <mergeCell ref="E23:P23"/>
    <mergeCell ref="H25:N25"/>
    <mergeCell ref="D26:E26"/>
    <mergeCell ref="H26:J26"/>
    <mergeCell ref="H28:J28"/>
    <mergeCell ref="G41:I41"/>
    <mergeCell ref="J41:K41"/>
    <mergeCell ref="D28:E28"/>
    <mergeCell ref="D30:E30"/>
    <mergeCell ref="H30:J30"/>
    <mergeCell ref="D32:E32"/>
    <mergeCell ref="H32:J32"/>
    <mergeCell ref="C33:J33"/>
    <mergeCell ref="D41:E41"/>
    <mergeCell ref="D42:E42"/>
    <mergeCell ref="G42:I42"/>
    <mergeCell ref="J42:K42"/>
    <mergeCell ref="D45:D47"/>
    <mergeCell ref="H45:K47"/>
    <mergeCell ref="D51:F51"/>
    <mergeCell ref="G51:I51"/>
    <mergeCell ref="D55:F55"/>
    <mergeCell ref="D57:F57"/>
    <mergeCell ref="G57:I57"/>
    <mergeCell ref="J57:L57"/>
    <mergeCell ref="D66:F66"/>
    <mergeCell ref="G66:I66"/>
    <mergeCell ref="J66:L66"/>
    <mergeCell ref="M66:O66"/>
    <mergeCell ref="P66:Q66"/>
    <mergeCell ref="G67:I67"/>
    <mergeCell ref="P67:Q67"/>
    <mergeCell ref="P70:Q70"/>
    <mergeCell ref="P71:Q71"/>
    <mergeCell ref="P72:Q72"/>
    <mergeCell ref="P73:Q73"/>
    <mergeCell ref="P74:Q74"/>
    <mergeCell ref="P75:Q75"/>
    <mergeCell ref="P76:Q76"/>
    <mergeCell ref="P77:Q77"/>
    <mergeCell ref="D67:F67"/>
    <mergeCell ref="D68:F68"/>
    <mergeCell ref="G68:I68"/>
    <mergeCell ref="J68:L68"/>
    <mergeCell ref="M68:O68"/>
    <mergeCell ref="P68:Q68"/>
    <mergeCell ref="P69:Q69"/>
    <mergeCell ref="D69:I69"/>
    <mergeCell ref="D70:F70"/>
    <mergeCell ref="G70:I70"/>
    <mergeCell ref="J70:L70"/>
    <mergeCell ref="M70:O70"/>
    <mergeCell ref="J71:L71"/>
    <mergeCell ref="M71:O71"/>
    <mergeCell ref="D71:I71"/>
    <mergeCell ref="D72:F72"/>
    <mergeCell ref="G72:I72"/>
    <mergeCell ref="J72:L72"/>
    <mergeCell ref="M72:O72"/>
    <mergeCell ref="J73:L73"/>
    <mergeCell ref="M73:O73"/>
    <mergeCell ref="J51:L51"/>
    <mergeCell ref="M51:O51"/>
    <mergeCell ref="D52:F52"/>
    <mergeCell ref="G52:I52"/>
    <mergeCell ref="J52:L52"/>
    <mergeCell ref="M52:O52"/>
    <mergeCell ref="C54:C55"/>
    <mergeCell ref="D54:F54"/>
    <mergeCell ref="G54:O55"/>
    <mergeCell ref="G64:I64"/>
    <mergeCell ref="J64:K64"/>
    <mergeCell ref="D62:E62"/>
    <mergeCell ref="G62:I62"/>
    <mergeCell ref="J62:K62"/>
    <mergeCell ref="D63:E63"/>
    <mergeCell ref="G63:I63"/>
    <mergeCell ref="J63:K63"/>
    <mergeCell ref="D64:E64"/>
    <mergeCell ref="J67:L67"/>
    <mergeCell ref="M67:O67"/>
    <mergeCell ref="J69:L69"/>
    <mergeCell ref="M69:O69"/>
    <mergeCell ref="D75:I75"/>
    <mergeCell ref="D76:F76"/>
    <mergeCell ref="G76:I76"/>
    <mergeCell ref="J76:L76"/>
    <mergeCell ref="M76:O76"/>
    <mergeCell ref="M77:O77"/>
    <mergeCell ref="D73:I73"/>
    <mergeCell ref="D74:F74"/>
    <mergeCell ref="G74:I74"/>
    <mergeCell ref="J74:L74"/>
    <mergeCell ref="M74:O74"/>
    <mergeCell ref="J75:L75"/>
    <mergeCell ref="M75:O75"/>
  </mergeCells>
  <conditionalFormatting sqref="D55:F55">
    <cfRule type="cellIs" dxfId="0" priority="1" operator="greaterThan">
      <formula>D52+1</formula>
    </cfRule>
  </conditionalFormatting>
  <conditionalFormatting sqref="D55:F55">
    <cfRule type="expression" dxfId="1" priority="2">
      <formula>and(D52/D55&lt;1.1,D55&gt;=0)</formula>
    </cfRule>
  </conditionalFormatting>
  <conditionalFormatting sqref="D55:F55">
    <cfRule type="expression" dxfId="2" priority="3">
      <formula>or(D52/D55&gt;=1.1,D55&lt;=0)</formula>
    </cfRule>
  </conditionalFormatting>
  <conditionalFormatting sqref="G54:O55">
    <cfRule type="cellIs" dxfId="3" priority="4" operator="equal">
      <formula>"スタミナ足りてそう！"</formula>
    </cfRule>
  </conditionalFormatting>
  <conditionalFormatting sqref="G54:O55">
    <cfRule type="cellIs" dxfId="4" priority="5" operator="equal">
      <formula>"スタミナ足りてるけどギリギリかも！"</formula>
    </cfRule>
  </conditionalFormatting>
  <conditionalFormatting sqref="G54:O55">
    <cfRule type="cellIs" dxfId="5" priority="6" operator="equal">
      <formula>"スタミナと根性が足りないよ！"</formula>
    </cfRule>
  </conditionalFormatting>
  <dataValidations>
    <dataValidation type="list" allowBlank="1" sqref="J41">
      <formula1>'定義'!$E$13:$E$16</formula1>
    </dataValidation>
    <dataValidation type="list" allowBlank="1" sqref="D42">
      <formula1>'定義'!$O$3:$O$18</formula1>
    </dataValidation>
    <dataValidation type="list" allowBlank="1" sqref="D41">
      <formula1>'定義'!$B$13:$B$14</formula1>
    </dataValidation>
    <dataValidation type="list" allowBlank="1" sqref="D16">
      <formula1>'定義'!$B$23:$B$27</formula1>
    </dataValidation>
    <dataValidation type="list" allowBlank="1" sqref="J16">
      <formula1>'定義'!$S$3:$S$6</formula1>
    </dataValidation>
    <dataValidation type="list" allowBlank="1" sqref="E10 H10 E12 H12 K12 N12 E14 H14 K14 N14">
      <formula1>'定義'!$B$3:$B$10</formula1>
    </dataValidation>
  </dataValidations>
  <hyperlinks>
    <hyperlink r:id="rId1" ref="A1"/>
    <hyperlink r:id="rId2" ref="K2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38"/>
    <col customWidth="1" min="2" max="4" width="11.75"/>
    <col customWidth="1" min="5" max="5" width="14.38"/>
    <col customWidth="1" min="6" max="6" width="16.13"/>
    <col customWidth="1" min="7" max="7" width="19.38"/>
    <col customWidth="1" min="8" max="8" width="2.13"/>
    <col customWidth="1" min="9" max="9" width="12.5"/>
    <col customWidth="1" min="10" max="10" width="11.13"/>
    <col customWidth="1" min="11" max="13" width="10.63"/>
    <col customWidth="1" min="14" max="14" width="4.0"/>
    <col customWidth="1" min="17" max="17" width="2.75"/>
    <col customWidth="1" min="18" max="18" width="4.88"/>
    <col customWidth="1" min="19" max="19" width="6.5"/>
    <col customWidth="1" min="20" max="20" width="12.63"/>
    <col customWidth="1" min="21" max="26" width="6.13"/>
  </cols>
  <sheetData>
    <row r="1" ht="36.75" customHeight="1">
      <c r="A1" s="121" t="s">
        <v>93</v>
      </c>
    </row>
    <row r="2">
      <c r="A2" s="122"/>
      <c r="B2" s="123" t="s">
        <v>10</v>
      </c>
      <c r="C2" s="123" t="s">
        <v>94</v>
      </c>
      <c r="D2" s="31"/>
      <c r="E2" s="123" t="s">
        <v>95</v>
      </c>
      <c r="F2" s="123" t="s">
        <v>96</v>
      </c>
      <c r="G2" s="123" t="s">
        <v>97</v>
      </c>
      <c r="H2" s="31"/>
      <c r="I2" s="123" t="s">
        <v>98</v>
      </c>
      <c r="J2" s="123" t="s">
        <v>94</v>
      </c>
      <c r="O2" s="123" t="s">
        <v>56</v>
      </c>
      <c r="P2" s="123" t="s">
        <v>99</v>
      </c>
      <c r="R2" s="122"/>
      <c r="S2" s="123" t="s">
        <v>32</v>
      </c>
      <c r="T2" s="123" t="s">
        <v>100</v>
      </c>
      <c r="U2" s="124" t="s">
        <v>96</v>
      </c>
      <c r="V2" s="53"/>
      <c r="W2" s="25"/>
      <c r="X2" s="124" t="s">
        <v>97</v>
      </c>
      <c r="Y2" s="53"/>
      <c r="Z2" s="25"/>
    </row>
    <row r="3">
      <c r="A3" s="125"/>
      <c r="B3" s="126" t="s">
        <v>12</v>
      </c>
      <c r="C3" s="126">
        <v>1.05</v>
      </c>
      <c r="D3" s="31"/>
      <c r="E3" s="126" t="s">
        <v>12</v>
      </c>
      <c r="F3" s="126">
        <v>1.05</v>
      </c>
      <c r="G3" s="126">
        <v>1.0</v>
      </c>
      <c r="H3" s="31"/>
      <c r="I3" s="126" t="s">
        <v>12</v>
      </c>
      <c r="J3" s="126">
        <v>1.1</v>
      </c>
      <c r="O3" s="127">
        <v>1000.0</v>
      </c>
      <c r="P3" s="127" t="s">
        <v>16</v>
      </c>
      <c r="R3" s="122"/>
      <c r="S3" s="128" t="s">
        <v>25</v>
      </c>
      <c r="T3" s="126">
        <v>0.95</v>
      </c>
      <c r="U3" s="126">
        <v>1.0</v>
      </c>
      <c r="V3" s="126">
        <v>0.98</v>
      </c>
      <c r="W3" s="126">
        <v>0.962</v>
      </c>
      <c r="X3" s="126">
        <v>1.0</v>
      </c>
      <c r="Y3" s="126">
        <v>1.0</v>
      </c>
      <c r="Z3" s="126">
        <v>0.996</v>
      </c>
    </row>
    <row r="4">
      <c r="A4" s="125"/>
      <c r="B4" s="126" t="s">
        <v>17</v>
      </c>
      <c r="C4" s="126">
        <v>1.0</v>
      </c>
      <c r="D4" s="31"/>
      <c r="E4" s="126" t="s">
        <v>17</v>
      </c>
      <c r="F4" s="126">
        <v>1.0</v>
      </c>
      <c r="G4" s="126">
        <v>1.0</v>
      </c>
      <c r="H4" s="31"/>
      <c r="I4" s="126" t="s">
        <v>17</v>
      </c>
      <c r="J4" s="126">
        <v>1.0</v>
      </c>
      <c r="O4" s="127">
        <v>1200.0</v>
      </c>
      <c r="P4" s="127" t="s">
        <v>16</v>
      </c>
      <c r="R4" s="122"/>
      <c r="S4" s="128" t="s">
        <v>26</v>
      </c>
      <c r="T4" s="126">
        <v>0.89</v>
      </c>
      <c r="U4" s="126">
        <v>0.978</v>
      </c>
      <c r="V4" s="126">
        <v>0.991</v>
      </c>
      <c r="W4" s="126">
        <v>0.975</v>
      </c>
      <c r="X4" s="126">
        <v>0.985</v>
      </c>
      <c r="Y4" s="126">
        <v>1.0</v>
      </c>
      <c r="Z4" s="126">
        <v>0.996</v>
      </c>
    </row>
    <row r="5">
      <c r="A5" s="125"/>
      <c r="B5" s="126" t="s">
        <v>14</v>
      </c>
      <c r="C5" s="126">
        <v>0.9</v>
      </c>
      <c r="D5" s="31"/>
      <c r="E5" s="126" t="s">
        <v>14</v>
      </c>
      <c r="F5" s="126">
        <v>0.9</v>
      </c>
      <c r="G5" s="126">
        <v>1.0</v>
      </c>
      <c r="H5" s="31"/>
      <c r="I5" s="126" t="s">
        <v>14</v>
      </c>
      <c r="J5" s="126">
        <v>0.85</v>
      </c>
      <c r="O5" s="127">
        <v>1400.0</v>
      </c>
      <c r="P5" s="127" t="s">
        <v>16</v>
      </c>
      <c r="R5" s="122"/>
      <c r="S5" s="128" t="s">
        <v>27</v>
      </c>
      <c r="T5" s="126">
        <v>1.0</v>
      </c>
      <c r="U5" s="126">
        <v>0.938</v>
      </c>
      <c r="V5" s="126">
        <v>0.998</v>
      </c>
      <c r="W5" s="126">
        <v>0.994</v>
      </c>
      <c r="X5" s="126">
        <v>0.975</v>
      </c>
      <c r="Y5" s="126">
        <v>1.0</v>
      </c>
      <c r="Z5" s="126">
        <v>1.0</v>
      </c>
    </row>
    <row r="6">
      <c r="A6" s="125"/>
      <c r="B6" s="126" t="s">
        <v>101</v>
      </c>
      <c r="C6" s="126">
        <v>0.8</v>
      </c>
      <c r="D6" s="31"/>
      <c r="E6" s="126" t="s">
        <v>101</v>
      </c>
      <c r="F6" s="126">
        <v>0.8</v>
      </c>
      <c r="G6" s="126">
        <v>1.0</v>
      </c>
      <c r="H6" s="31"/>
      <c r="I6" s="126" t="s">
        <v>101</v>
      </c>
      <c r="J6" s="126">
        <v>0.75</v>
      </c>
      <c r="O6" s="127">
        <v>1500.0</v>
      </c>
      <c r="P6" s="127" t="s">
        <v>18</v>
      </c>
      <c r="R6" s="122"/>
      <c r="S6" s="128" t="s">
        <v>29</v>
      </c>
      <c r="T6" s="126">
        <v>0.995</v>
      </c>
      <c r="U6" s="126">
        <v>0.931</v>
      </c>
      <c r="V6" s="126">
        <v>1.0</v>
      </c>
      <c r="W6" s="126">
        <v>1.0</v>
      </c>
      <c r="X6" s="126">
        <v>0.945</v>
      </c>
      <c r="Y6" s="126">
        <v>1.0</v>
      </c>
      <c r="Z6" s="126">
        <v>0.997</v>
      </c>
    </row>
    <row r="7">
      <c r="A7" s="125"/>
      <c r="B7" s="126" t="s">
        <v>20</v>
      </c>
      <c r="C7" s="126">
        <v>0.7</v>
      </c>
      <c r="D7" s="31"/>
      <c r="E7" s="126" t="s">
        <v>20</v>
      </c>
      <c r="F7" s="126">
        <v>0.6</v>
      </c>
      <c r="G7" s="126">
        <v>1.0</v>
      </c>
      <c r="H7" s="31"/>
      <c r="I7" s="126" t="s">
        <v>20</v>
      </c>
      <c r="J7" s="126">
        <v>0.6</v>
      </c>
      <c r="O7" s="127">
        <v>1600.0</v>
      </c>
      <c r="P7" s="127" t="s">
        <v>18</v>
      </c>
    </row>
    <row r="8">
      <c r="A8" s="125"/>
      <c r="B8" s="126" t="s">
        <v>28</v>
      </c>
      <c r="C8" s="126">
        <v>0.5</v>
      </c>
      <c r="D8" s="31"/>
      <c r="E8" s="126" t="s">
        <v>28</v>
      </c>
      <c r="F8" s="126">
        <v>0.4</v>
      </c>
      <c r="G8" s="126">
        <v>0.6</v>
      </c>
      <c r="H8" s="31"/>
      <c r="I8" s="126" t="s">
        <v>28</v>
      </c>
      <c r="J8" s="126">
        <v>0.4</v>
      </c>
      <c r="O8" s="127">
        <v>1800.0</v>
      </c>
      <c r="P8" s="127" t="s">
        <v>18</v>
      </c>
    </row>
    <row r="9">
      <c r="A9" s="125"/>
      <c r="B9" s="126" t="s">
        <v>102</v>
      </c>
      <c r="C9" s="126">
        <v>0.3</v>
      </c>
      <c r="D9" s="31"/>
      <c r="E9" s="126" t="s">
        <v>102</v>
      </c>
      <c r="F9" s="126">
        <v>0.2</v>
      </c>
      <c r="G9" s="126">
        <v>0.5</v>
      </c>
      <c r="H9" s="31"/>
      <c r="I9" s="126" t="s">
        <v>102</v>
      </c>
      <c r="J9" s="126">
        <v>0.2</v>
      </c>
      <c r="O9" s="127">
        <v>2000.0</v>
      </c>
      <c r="P9" s="127" t="s">
        <v>19</v>
      </c>
      <c r="U9" s="129">
        <f t="shared" ref="U9:U12" si="1">U3/6</f>
        <v>0.1666666667</v>
      </c>
      <c r="V9" s="129">
        <f t="shared" ref="V9:V12" si="2">V3 * (4/6)</f>
        <v>0.6533333333</v>
      </c>
      <c r="W9" s="129">
        <f t="shared" ref="W9:W12" si="3">W3 * (2/6)</f>
        <v>0.3206666667</v>
      </c>
      <c r="X9" s="129">
        <f t="shared" ref="X9:X12" si="4">sum(U9:W9)</f>
        <v>1.140666667</v>
      </c>
    </row>
    <row r="10">
      <c r="A10" s="125"/>
      <c r="B10" s="126" t="s">
        <v>22</v>
      </c>
      <c r="C10" s="126">
        <v>0.1</v>
      </c>
      <c r="D10" s="31"/>
      <c r="E10" s="126" t="s">
        <v>22</v>
      </c>
      <c r="F10" s="126">
        <v>0.1</v>
      </c>
      <c r="G10" s="126">
        <v>0.4</v>
      </c>
      <c r="H10" s="31"/>
      <c r="I10" s="126" t="s">
        <v>22</v>
      </c>
      <c r="J10" s="126">
        <v>0.1</v>
      </c>
      <c r="O10" s="127">
        <v>2200.0</v>
      </c>
      <c r="P10" s="127" t="s">
        <v>19</v>
      </c>
      <c r="U10" s="129">
        <f t="shared" si="1"/>
        <v>0.163</v>
      </c>
      <c r="V10" s="129">
        <f t="shared" si="2"/>
        <v>0.6606666667</v>
      </c>
      <c r="W10" s="129">
        <f t="shared" si="3"/>
        <v>0.325</v>
      </c>
      <c r="X10" s="129">
        <f t="shared" si="4"/>
        <v>1.148666667</v>
      </c>
    </row>
    <row r="11">
      <c r="O11" s="127">
        <v>2300.0</v>
      </c>
      <c r="P11" s="127" t="s">
        <v>19</v>
      </c>
      <c r="U11" s="129">
        <f t="shared" si="1"/>
        <v>0.1563333333</v>
      </c>
      <c r="V11" s="129">
        <f t="shared" si="2"/>
        <v>0.6653333333</v>
      </c>
      <c r="W11" s="129">
        <f t="shared" si="3"/>
        <v>0.3313333333</v>
      </c>
      <c r="X11" s="129">
        <f t="shared" si="4"/>
        <v>1.153</v>
      </c>
    </row>
    <row r="12">
      <c r="B12" s="130" t="s">
        <v>103</v>
      </c>
      <c r="C12" s="130" t="s">
        <v>104</v>
      </c>
      <c r="E12" s="130" t="s">
        <v>54</v>
      </c>
      <c r="F12" s="130" t="s">
        <v>104</v>
      </c>
      <c r="I12" s="123" t="s">
        <v>103</v>
      </c>
      <c r="J12" s="123" t="s">
        <v>54</v>
      </c>
      <c r="K12" s="123" t="s">
        <v>105</v>
      </c>
      <c r="L12" s="123" t="s">
        <v>106</v>
      </c>
      <c r="M12" s="123" t="s">
        <v>107</v>
      </c>
      <c r="O12" s="127">
        <v>2400.0</v>
      </c>
      <c r="P12" s="127" t="s">
        <v>19</v>
      </c>
      <c r="U12" s="129">
        <f t="shared" si="1"/>
        <v>0.1551666667</v>
      </c>
      <c r="V12" s="129">
        <f t="shared" si="2"/>
        <v>0.6666666667</v>
      </c>
      <c r="W12" s="129">
        <f t="shared" si="3"/>
        <v>0.3333333333</v>
      </c>
      <c r="X12" s="129">
        <f t="shared" si="4"/>
        <v>1.155166667</v>
      </c>
    </row>
    <row r="13">
      <c r="B13" s="128" t="s">
        <v>11</v>
      </c>
      <c r="C13" s="126">
        <v>1.0</v>
      </c>
      <c r="E13" s="128" t="s">
        <v>55</v>
      </c>
      <c r="F13" s="126">
        <v>1.0</v>
      </c>
      <c r="I13" s="131" t="s">
        <v>11</v>
      </c>
      <c r="J13" s="128" t="s">
        <v>55</v>
      </c>
      <c r="K13" s="126">
        <v>0.0</v>
      </c>
      <c r="L13" s="126">
        <v>0.0</v>
      </c>
      <c r="M13" s="126">
        <v>1.0</v>
      </c>
      <c r="O13" s="127">
        <v>2500.0</v>
      </c>
      <c r="P13" s="127" t="s">
        <v>21</v>
      </c>
    </row>
    <row r="14">
      <c r="B14" s="128" t="s">
        <v>13</v>
      </c>
      <c r="C14" s="126">
        <v>2.0</v>
      </c>
      <c r="E14" s="128" t="s">
        <v>108</v>
      </c>
      <c r="F14" s="126">
        <v>2.0</v>
      </c>
      <c r="I14" s="132"/>
      <c r="J14" s="128" t="s">
        <v>108</v>
      </c>
      <c r="K14" s="126">
        <v>0.0</v>
      </c>
      <c r="L14" s="126">
        <v>-50.0</v>
      </c>
      <c r="M14" s="126">
        <v>1.0</v>
      </c>
      <c r="O14" s="127">
        <v>2600.0</v>
      </c>
      <c r="P14" s="127" t="s">
        <v>21</v>
      </c>
    </row>
    <row r="15">
      <c r="B15" s="31"/>
      <c r="C15" s="31"/>
      <c r="E15" s="128" t="s">
        <v>109</v>
      </c>
      <c r="F15" s="126">
        <v>3.0</v>
      </c>
      <c r="I15" s="132"/>
      <c r="J15" s="128" t="s">
        <v>109</v>
      </c>
      <c r="K15" s="128">
        <v>0.0</v>
      </c>
      <c r="L15" s="126">
        <v>-50.0</v>
      </c>
      <c r="M15" s="126">
        <v>1.02</v>
      </c>
      <c r="O15" s="127">
        <v>3000.0</v>
      </c>
      <c r="P15" s="127" t="s">
        <v>21</v>
      </c>
    </row>
    <row r="16">
      <c r="E16" s="128" t="s">
        <v>110</v>
      </c>
      <c r="F16" s="126">
        <v>4.0</v>
      </c>
      <c r="I16" s="133"/>
      <c r="J16" s="128" t="s">
        <v>110</v>
      </c>
      <c r="K16" s="128">
        <v>-50.0</v>
      </c>
      <c r="L16" s="126">
        <v>-50.0</v>
      </c>
      <c r="M16" s="126">
        <v>1.02</v>
      </c>
      <c r="O16" s="127">
        <v>3200.0</v>
      </c>
      <c r="P16" s="127" t="s">
        <v>21</v>
      </c>
    </row>
    <row r="17">
      <c r="I17" s="131" t="s">
        <v>13</v>
      </c>
      <c r="J17" s="128" t="s">
        <v>55</v>
      </c>
      <c r="K17" s="126">
        <v>0.0</v>
      </c>
      <c r="L17" s="126">
        <v>-100.0</v>
      </c>
      <c r="M17" s="126">
        <v>1.0</v>
      </c>
      <c r="O17" s="127">
        <v>3400.0</v>
      </c>
      <c r="P17" s="127" t="s">
        <v>21</v>
      </c>
      <c r="S17" s="122"/>
      <c r="T17" s="125"/>
      <c r="U17" s="125"/>
      <c r="V17" s="125"/>
      <c r="W17" s="125"/>
      <c r="X17" s="125"/>
      <c r="Y17" s="125"/>
      <c r="Z17" s="125"/>
    </row>
    <row r="18">
      <c r="I18" s="132"/>
      <c r="J18" s="128" t="s">
        <v>108</v>
      </c>
      <c r="K18" s="126">
        <v>0.0</v>
      </c>
      <c r="L18" s="126">
        <v>-50.0</v>
      </c>
      <c r="M18" s="126">
        <v>1.0</v>
      </c>
      <c r="O18" s="127">
        <v>3600.0</v>
      </c>
      <c r="P18" s="127" t="s">
        <v>21</v>
      </c>
      <c r="S18" s="122"/>
      <c r="T18" s="125"/>
      <c r="U18" s="125"/>
      <c r="V18" s="125"/>
      <c r="W18" s="125"/>
      <c r="X18" s="125"/>
      <c r="Y18" s="125"/>
      <c r="Z18" s="125"/>
    </row>
    <row r="19">
      <c r="E19" s="125"/>
      <c r="F19" s="125"/>
      <c r="I19" s="132"/>
      <c r="J19" s="128" t="s">
        <v>109</v>
      </c>
      <c r="K19" s="128">
        <v>0.0</v>
      </c>
      <c r="L19" s="126">
        <v>-100.0</v>
      </c>
      <c r="M19" s="128">
        <v>1.01</v>
      </c>
      <c r="S19" s="122"/>
      <c r="T19" s="125"/>
      <c r="U19" s="125"/>
      <c r="V19" s="125"/>
      <c r="W19" s="125"/>
      <c r="X19" s="125"/>
      <c r="Y19" s="125"/>
      <c r="Z19" s="125"/>
    </row>
    <row r="20">
      <c r="E20" s="125"/>
      <c r="F20" s="125"/>
      <c r="I20" s="133"/>
      <c r="J20" s="128" t="s">
        <v>110</v>
      </c>
      <c r="K20" s="128">
        <v>-50.0</v>
      </c>
      <c r="L20" s="126">
        <v>-100.0</v>
      </c>
      <c r="M20" s="128">
        <v>1.02</v>
      </c>
      <c r="S20" s="122"/>
      <c r="T20" s="125"/>
      <c r="U20" s="125"/>
      <c r="V20" s="125"/>
      <c r="W20" s="125"/>
      <c r="X20" s="125"/>
      <c r="Y20" s="125"/>
      <c r="Z20" s="125"/>
    </row>
    <row r="21">
      <c r="E21" s="125"/>
      <c r="F21" s="125"/>
      <c r="S21" s="122"/>
      <c r="T21" s="125"/>
      <c r="U21" s="125"/>
      <c r="V21" s="125"/>
      <c r="W21" s="125"/>
      <c r="X21" s="125"/>
      <c r="Y21" s="125"/>
      <c r="Z21" s="125"/>
    </row>
    <row r="22">
      <c r="A22" s="122"/>
      <c r="B22" s="123" t="s">
        <v>111</v>
      </c>
      <c r="C22" s="134" t="s">
        <v>112</v>
      </c>
      <c r="E22" s="125"/>
      <c r="F22" s="125"/>
      <c r="H22" s="125"/>
      <c r="I22" s="125"/>
      <c r="J22" s="125"/>
      <c r="L22" s="125"/>
      <c r="M22" s="125"/>
    </row>
    <row r="23">
      <c r="A23" s="122"/>
      <c r="B23" s="128" t="s">
        <v>113</v>
      </c>
      <c r="C23" s="128">
        <v>1.04</v>
      </c>
      <c r="E23" s="125"/>
      <c r="F23" s="125"/>
      <c r="H23" s="125"/>
      <c r="I23" s="125"/>
      <c r="J23" s="125"/>
      <c r="L23" s="125"/>
      <c r="M23" s="125"/>
    </row>
    <row r="24">
      <c r="A24" s="122"/>
      <c r="B24" s="128" t="s">
        <v>108</v>
      </c>
      <c r="C24" s="128">
        <v>1.02</v>
      </c>
      <c r="E24" s="125"/>
      <c r="F24" s="125"/>
      <c r="H24" s="125"/>
      <c r="I24" s="125"/>
      <c r="J24" s="125"/>
      <c r="K24" s="125"/>
      <c r="L24" s="125"/>
      <c r="M24" s="125"/>
    </row>
    <row r="25">
      <c r="A25" s="122"/>
      <c r="B25" s="128" t="s">
        <v>114</v>
      </c>
      <c r="C25" s="128">
        <v>1.0</v>
      </c>
      <c r="E25" s="125"/>
      <c r="F25" s="125"/>
      <c r="H25" s="125"/>
      <c r="I25" s="125"/>
      <c r="J25" s="125"/>
      <c r="K25" s="125"/>
      <c r="L25" s="125"/>
      <c r="M25" s="125"/>
    </row>
    <row r="26">
      <c r="A26" s="122"/>
      <c r="B26" s="128" t="s">
        <v>115</v>
      </c>
      <c r="C26" s="128">
        <v>0.98</v>
      </c>
      <c r="E26" s="125"/>
      <c r="F26" s="125"/>
      <c r="H26" s="125"/>
      <c r="I26" s="125"/>
      <c r="J26" s="125"/>
      <c r="K26" s="125"/>
      <c r="L26" s="125"/>
      <c r="M26" s="125"/>
    </row>
    <row r="27">
      <c r="A27" s="122"/>
      <c r="B27" s="128" t="s">
        <v>31</v>
      </c>
      <c r="C27" s="128">
        <v>0.96</v>
      </c>
      <c r="H27" s="125"/>
      <c r="I27" s="125"/>
      <c r="J27" s="125"/>
      <c r="K27" s="125"/>
      <c r="L27" s="125"/>
      <c r="M27" s="125"/>
    </row>
    <row r="28">
      <c r="A28" s="121"/>
      <c r="H28" s="125"/>
      <c r="I28" s="125"/>
      <c r="J28" s="125"/>
      <c r="K28" s="125"/>
      <c r="L28" s="125"/>
      <c r="M28" s="125"/>
    </row>
    <row r="29">
      <c r="A29" s="121" t="s">
        <v>116</v>
      </c>
      <c r="H29" s="125"/>
      <c r="I29" s="125"/>
      <c r="J29" s="125"/>
      <c r="K29" s="125"/>
      <c r="L29" s="125"/>
      <c r="M29" s="125"/>
    </row>
    <row r="30">
      <c r="A30" s="135" t="s">
        <v>117</v>
      </c>
      <c r="B30" s="136">
        <f> 1.18 * B38</f>
        <v>90.83705562</v>
      </c>
      <c r="C30" s="126" t="s">
        <v>68</v>
      </c>
      <c r="D30" s="137" t="s">
        <v>118</v>
      </c>
      <c r="E30" s="53"/>
      <c r="F30" s="25"/>
      <c r="K30" s="125"/>
    </row>
    <row r="31">
      <c r="A31" s="135" t="s">
        <v>119</v>
      </c>
      <c r="B31" s="138">
        <f> min((B35 - sum(G41:G45) - ('入力_出力'!D42 / 3 - 60) * 20 * B36 * B37 * (B47 - B33 + 12) ^ 2 / 144 / B47) / (20 * B36 * B37 * ((B49 - B33 + 12) ^ 2 / 144 / B49 - (B47 - B33 + 12) ^ 2 / 144 / B47)) + 60,'入力_出力'!D42  / 3)</f>
        <v>533.3333333</v>
      </c>
      <c r="C31" s="126" t="s">
        <v>71</v>
      </c>
      <c r="D31" s="139"/>
      <c r="E31" s="139"/>
      <c r="F31" s="139"/>
      <c r="J31" s="122"/>
      <c r="K31" s="125"/>
      <c r="L31" s="125"/>
      <c r="M31" s="125"/>
    </row>
    <row r="32">
      <c r="A32" s="121"/>
    </row>
    <row r="33">
      <c r="A33" s="126" t="s">
        <v>120</v>
      </c>
      <c r="B33" s="140">
        <f> 20 - ('入力_出力'!$D$42 - 2000) / 1000</f>
        <v>20.4</v>
      </c>
      <c r="C33" s="126" t="s">
        <v>74</v>
      </c>
      <c r="D33" s="31"/>
      <c r="E33" s="137" t="s">
        <v>121</v>
      </c>
      <c r="F33" s="25"/>
      <c r="G33" s="31"/>
      <c r="I33" s="141" t="s">
        <v>122</v>
      </c>
      <c r="J33" s="142"/>
      <c r="K33" s="143">
        <f>10000*('入力_出力'!C26*'入力_出力'!D26+'入力_出力'!C28*'入力_出力'!D28+'入力_出力'!C30*'入力_出力'!D30+'入力_出力'!D32)*('入力_出力'!D57^'入力_出力'!H35)</f>
        <v>0</v>
      </c>
      <c r="L33" s="144" t="s">
        <v>123</v>
      </c>
    </row>
    <row r="34">
      <c r="A34" s="126" t="s">
        <v>124</v>
      </c>
      <c r="B34" s="145">
        <f> '入力_出力'!$D$42 + 0.8 * F35 * vlookup('入力_出力'!$J$16,$S$3:$Z$6, 2, FALSE)</f>
        <v>2027.2</v>
      </c>
      <c r="C34" s="31"/>
      <c r="D34" s="31"/>
      <c r="E34" s="126" t="s">
        <v>125</v>
      </c>
      <c r="F34" s="139">
        <f t="array" ref="F34">'入力_出力'!$C$8  * VLOOKUP('入力_出力'!$D$16,'定義'!$B$23:$C$27,2, FALSE)+index('定義'!$K$13:$M$20,match('入力_出力'!$J$41,'定義'!$J$13:$J$16, 0)+if('入力_出力'!$D$41="Dirt",4,0),1)</f>
        <v>1044.48</v>
      </c>
      <c r="G34" s="31"/>
      <c r="I34" s="141" t="s">
        <v>126</v>
      </c>
      <c r="J34" s="142"/>
      <c r="K34" s="146">
        <f>10000*('入力_出力'!C26*IF('入力_出力'!H26=0,0,1+0.02*('入力_出力'!H26-1))+'入力_出力'!C28*IF('入力_出力'!H28=0,0,1+0.02*('入力_出力'!H28-1))+'入力_出力'!C30*IF('入力_出力'!H30=0,0,1+0.02*('入力_出力'!H30-1))+'入力_出力'!H32)</f>
        <v>0</v>
      </c>
      <c r="L34" s="147" t="s">
        <v>127</v>
      </c>
    </row>
    <row r="35">
      <c r="A35" s="126" t="s">
        <v>128</v>
      </c>
      <c r="B35" s="145">
        <f> B34 * (1 + (K33+K34) / 10000)</f>
        <v>2027.2</v>
      </c>
      <c r="C35" s="31"/>
      <c r="D35" s="31"/>
      <c r="E35" s="128" t="s">
        <v>129</v>
      </c>
      <c r="F35" s="139">
        <f>'入力_出力'!$D$8  * VLOOKUP('入力_出力'!$D$16,'定義'!$B$23:$C$27,2, FALSE)</f>
        <v>600</v>
      </c>
      <c r="G35" s="31"/>
    </row>
    <row r="36">
      <c r="A36" s="128" t="s">
        <v>130</v>
      </c>
      <c r="B36" s="128">
        <f t="array" ref="B36">index('定義'!$K$13:$M$20,match('入力_出力'!$J$41,'定義'!$J$13:$J$16, 0)+if('入力_出力'!$D$41="Dirt",4,0),3)</f>
        <v>1</v>
      </c>
      <c r="C36" s="31"/>
      <c r="D36" s="31"/>
      <c r="E36" s="126" t="s">
        <v>131</v>
      </c>
      <c r="F36" s="139">
        <f t="array" ref="F36">'入力_出力'!$G$8  * VLOOKUP('入力_出力'!$D$16,'定義'!$B$23:$C$27,2, FALSE)+index('定義'!$K$13:$M$20,match('入力_出力'!$J$41,'定義'!$J$13:$J$16, 0)+if('入力_出力'!$D$41="Dirt",4,0),2)</f>
        <v>596.16</v>
      </c>
      <c r="G36" s="31"/>
    </row>
    <row r="37">
      <c r="A37" s="126" t="s">
        <v>132</v>
      </c>
      <c r="B37" s="148">
        <f> 1 + (200 / sqrt(600 * F37))</f>
        <v>1.377232275</v>
      </c>
      <c r="C37" s="31"/>
      <c r="D37" s="31"/>
      <c r="E37" s="126" t="s">
        <v>133</v>
      </c>
      <c r="F37" s="139">
        <f>'入力_出力'!$J$8  * VLOOKUP('入力_出力'!$D$16,'定義'!$B$23:$C$27,2, FALSE)</f>
        <v>468.48</v>
      </c>
      <c r="G37" s="31"/>
    </row>
    <row r="38">
      <c r="A38" s="126" t="s">
        <v>134</v>
      </c>
      <c r="B38" s="136">
        <f> sum(E41:E50)</f>
        <v>76.98055561</v>
      </c>
      <c r="C38" s="126" t="s">
        <v>68</v>
      </c>
      <c r="D38" s="31"/>
      <c r="E38" s="126" t="s">
        <v>135</v>
      </c>
      <c r="F38" s="139">
        <f>'入力_出力'!$M$8  * VLOOKUP('入力_出力'!$D$16,'定義'!$B$23:$C$27,2, FALSE)*VLOOKUP(switch('入力_出力'!$J$16,"Front",'入力_出力'!$E$14,"Pace",'入力_出力'!$H$14,"Late",'入力_出力'!$K$14,"End",'入力_出力'!$N$14),'定義'!$I$3:$J$10,2, FALSE)</f>
        <v>417.6</v>
      </c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126" t="s">
        <v>136</v>
      </c>
      <c r="C40" s="126" t="s">
        <v>137</v>
      </c>
      <c r="D40" s="126" t="s">
        <v>138</v>
      </c>
      <c r="E40" s="126" t="s">
        <v>139</v>
      </c>
      <c r="F40" s="126" t="s">
        <v>140</v>
      </c>
      <c r="G40" s="126" t="s">
        <v>141</v>
      </c>
      <c r="I40" s="149" t="s">
        <v>142</v>
      </c>
      <c r="J40" s="53"/>
      <c r="K40" s="25"/>
      <c r="L40" s="150">
        <f>(B33 * vlookup('入力_出力'!$J$16,$S$3:$Z$6, 4, FALSE) + ((F38 / 5500) * log10(F38 * 0.1) - 0.65 / 2) * 0.01 * B33)</f>
        <v>20.17520422</v>
      </c>
    </row>
    <row r="41">
      <c r="A41" s="126" t="s">
        <v>143</v>
      </c>
      <c r="B41" s="148">
        <v>3.0</v>
      </c>
      <c r="C41" s="148">
        <f> B33 * 0.85</f>
        <v>17.34</v>
      </c>
      <c r="D41" s="148">
        <f> 24 + 0.0006 * sqrt(500 * F36) * vlookup('入力_出力'!$J$16,$S$3:$Z$6, 6, FALSE) * VLOOKUP(switch('入力_出力'!$J$42,"Sprint",'入力_出力'!$E$12,"Mile",'入力_出力'!$H$12,"Medium",'入力_出力'!$K$12,"Long",'入力_出力'!$N$12),'定義'!$E$3:$G$10,3, FALSE) * VLOOKUP(switch('入力_出力'!$D$41,"Turf",'入力_出力'!$E$10,"Dirt",'入力_出力'!$H$10),'定義'!$B$3:$C$10,2, FALSE)</f>
        <v>24.33879984</v>
      </c>
      <c r="E41" s="148">
        <f> (C41 - B41) / D41</f>
        <v>0.589182708</v>
      </c>
      <c r="F41" s="140">
        <f> (B41 + C41) / 2 * E41</f>
        <v>5.99198814</v>
      </c>
      <c r="G41" s="140">
        <f> 20 * B36 * E41</f>
        <v>11.78365416</v>
      </c>
      <c r="I41" s="149" t="s">
        <v>144</v>
      </c>
      <c r="J41" s="53"/>
      <c r="K41" s="25"/>
      <c r="L41" s="151">
        <f>('入力_出力'!D42/24/L40)/('入力_出力'!D42/24/L40+3)</f>
        <v>0.5241408285</v>
      </c>
      <c r="M41" s="152" t="s">
        <v>145</v>
      </c>
      <c r="U41" s="152"/>
      <c r="V41" s="152"/>
      <c r="W41" s="152"/>
      <c r="X41" s="152"/>
      <c r="Y41" s="152"/>
      <c r="Z41" s="152"/>
    </row>
    <row r="42">
      <c r="A42" s="126" t="s">
        <v>146</v>
      </c>
      <c r="B42" s="148">
        <f> B33 * 0.85</f>
        <v>17.34</v>
      </c>
      <c r="C42" s="148">
        <f> B43</f>
        <v>19.91000422</v>
      </c>
      <c r="D42" s="148">
        <f> 0.0006 * sqrt(500 * F36) * vlookup('入力_出力'!$J$16,$S$3:$Z$6, 6, FALSE) * VLOOKUP(switch('入力_出力'!$J$42,"Sprint",'入力_出力'!$E$12,"Mile",'入力_出力'!$H$12,"Medium",'入力_出力'!$K$12,"Long",'入力_出力'!$N$12),'定義'!$E$3:$G$10,3, FALSE) * VLOOKUP(switch('入力_出力'!$D$41,"Turf",'入力_出力'!$E$10,"Dirt",'入力_出力'!$H$10),'定義'!$B$3:$C$10,2, FALSE)</f>
        <v>0.3387998417</v>
      </c>
      <c r="E42" s="148">
        <f> min((C42 - B42) / D42, (-B42 + sqrt(B42 ^ 2 + 2 * D42 * ('入力_出力'!D42 / 6 - F41))) / D42)</f>
        <v>7.585612235</v>
      </c>
      <c r="F42" s="140">
        <f> (B42 + D42 * E42 / 2) * E42</f>
        <v>141.2820439</v>
      </c>
      <c r="G42" s="140">
        <f> 20 * B36 * ((D42 * E42 + B42 - B33 + 12) ^ 3 - (B42 - B33 + 12) ^ 3) / (3 * D42) / 144</f>
        <v>110.7300036</v>
      </c>
      <c r="I42" s="149" t="s">
        <v>147</v>
      </c>
      <c r="J42" s="53"/>
      <c r="K42" s="25"/>
      <c r="L42" s="150">
        <v>0.05</v>
      </c>
    </row>
    <row r="43">
      <c r="A43" s="126" t="s">
        <v>148</v>
      </c>
      <c r="B43" s="153">
        <f> B33 * vlookup('入力_出力'!$J$16,$S$3:$Z$6, 3, FALSE) + ((F38 / 5500) * log10(F38 * 0.1) - 0.65 / 2) * 0.01 * B33</f>
        <v>19.91000422</v>
      </c>
      <c r="C43" s="25"/>
      <c r="D43" s="148" t="s">
        <v>91</v>
      </c>
      <c r="E43" s="148">
        <f> F43 / B43</f>
        <v>5.996615233</v>
      </c>
      <c r="F43" s="140">
        <f> max('入力_出力'!D42 / 6 - (F41 + F42), 0)</f>
        <v>119.3926346</v>
      </c>
      <c r="G43" s="140">
        <f> 20 * B36 * (B43 - B33 + 12) ^ 2 / 144 * E43</f>
        <v>110.3378846</v>
      </c>
    </row>
    <row r="44">
      <c r="A44" s="126" t="s">
        <v>149</v>
      </c>
      <c r="B44" s="148">
        <f> B42 + D42 * E42</f>
        <v>19.91000422</v>
      </c>
      <c r="C44" s="148">
        <f> B45</f>
        <v>20.14612394</v>
      </c>
      <c r="D44" s="148">
        <f> if(B44 &lt;= C44, 0.0006 * sqrt(500 * F36) * vlookup('入力_出力'!$J$16,$S$3:$Z$6, 7, FALSE) * VLOOKUP(switch('入力_出力'!$J$42,"Sprint",'入力_出力'!$E$12,"Mile",'入力_出力'!$H$12,"Medium",'入力_出力'!$K$12,"Long",'入力_出力'!$N$12),'定義'!$E$3:$G$10,3, FALSE) * VLOOKUP(switch('入力_出力'!$D$41,"Turf",'入力_出力'!$E$10,"Dirt",'入力_出力'!$H$10),'定義'!$B$3:$C$10,2, FALSE), -0.8)</f>
        <v>0.3439592301</v>
      </c>
      <c r="E44" s="148">
        <f> (C44 - B44) / D44</f>
        <v>0.6864758861</v>
      </c>
      <c r="F44" s="140">
        <f> (B44 + C44) / 2 * E44</f>
        <v>13.74878304</v>
      </c>
      <c r="G44" s="140">
        <f> 20 * B36 * ((C44 - B33 + 12) ^ 3 - (B44 - B33 + 12) ^ 3) / (3 * D44) / 144</f>
        <v>12.89206675</v>
      </c>
    </row>
    <row r="45">
      <c r="A45" s="126" t="s">
        <v>150</v>
      </c>
      <c r="B45" s="154">
        <f> (B33 * vlookup('入力_出力'!$J$16,$S$3:$Z$6, 4, FALSE) + ((F38 / 5500) * log10(F38 * 0.1) - 0.65 / 2) * 0.01 * B33) * (1 + L41*IF('入力_出力'!J16&lt;&gt;"Front", -0.055*L42, 0.04*0.2*LOG10(F38*0.1)))</f>
        <v>20.14612394</v>
      </c>
      <c r="C45" s="25"/>
      <c r="D45" s="148" t="s">
        <v>91</v>
      </c>
      <c r="E45" s="148">
        <f> F45 / B45</f>
        <v>39.02741883</v>
      </c>
      <c r="F45" s="140">
        <f> '入力_出力'!D42/ 2 - F44</f>
        <v>786.251217</v>
      </c>
      <c r="G45" s="155">
        <f> (20 * B36 * (B45 - B33 + 12) ^ 2 / 144 * E45) * (1 + IF(AND('入力_出力'!J18&lt;&gt;1, '入力_出力'!J18&lt;&gt;0), '入力_出力'!J57, '入力_出力'!J18)*(3*0.55+6*0.45*0.55+9*0.45^2*0.55+12*0.45^3)/E45*0.6) * IF('入力_出力'!J16&lt;&gt;"Front", (1-0.4*L42*L41), 1)</f>
        <v>799.5430048</v>
      </c>
      <c r="H45" s="144" t="s">
        <v>151</v>
      </c>
      <c r="I45" s="31"/>
      <c r="J45" s="31"/>
      <c r="K45" s="147" t="s">
        <v>152</v>
      </c>
      <c r="L45" s="156"/>
    </row>
    <row r="46">
      <c r="A46" s="126" t="s">
        <v>153</v>
      </c>
      <c r="B46" s="148">
        <f> B45</f>
        <v>20.14612394</v>
      </c>
      <c r="C46" s="148">
        <f> B47</f>
        <v>21.29412772</v>
      </c>
      <c r="D46" s="157">
        <f> if(B46 &lt;= C46, 0.0006 * sqrt(500 * F36) * vlookup('入力_出力'!$J$16,$S$3:$Z$6, 8, FALSE) * VLOOKUP(switch('入力_出力'!$J$42,"Sprint",'入力_出力'!$E$12,"Mile",'入力_出力'!$H$12,"Medium",'入力_出力'!$K$12,"Long",'入力_出力'!$N$12),'定義'!$E$3:$G$10,3, FALSE) * VLOOKUP(switch('入力_出力'!$D$41,"Turf",'入力_出力'!$E$10,"Dirt",'入力_出力'!$H$10),'定義'!$B$3:$C$10,2, FALSE), -0.8)</f>
        <v>0.3425833932</v>
      </c>
      <c r="E46" s="148">
        <f> if('入力_出力'!D42 / 3 &lt;= B31, 0, (C46 - B46) / D46)</f>
        <v>0</v>
      </c>
      <c r="F46" s="140">
        <f> (B46 + C46) / 2 * E46</f>
        <v>0</v>
      </c>
      <c r="G46" s="140">
        <f> 20 * B36 * B37 * ((B46 + D46 * E46 - B33 + 12) ^ 3 - (B46 - B33 + 12) ^ 3) / (3 * D46) / 144</f>
        <v>0</v>
      </c>
      <c r="H46" s="31"/>
      <c r="I46" s="31"/>
      <c r="J46" s="31"/>
      <c r="K46" s="147" t="s">
        <v>154</v>
      </c>
      <c r="L46" s="156"/>
    </row>
    <row r="47">
      <c r="A47" s="126" t="s">
        <v>155</v>
      </c>
      <c r="B47" s="153">
        <f> B33 * vlookup('入力_出力'!$J$16,$S$3:$Z$6, 5, FALSE)  + sqrt(500 * F34) * VLOOKUP(switch('入力_出力'!$J$42,"Sprint",'入力_出力'!$E$12,"Mile",'入力_出力'!$H$12,"Medium",'入力_出力'!$K$12,"Long",'入力_出力'!$N$12),'定義'!$E$3:$G$10,2, FALSE) * 0.002 + ((F38 / 5500) * log10(F38 * 0.1) - 0.65 / 2) * 0.01 * B33</f>
        <v>21.29412772</v>
      </c>
      <c r="C47" s="25"/>
      <c r="D47" s="157" t="s">
        <v>91</v>
      </c>
      <c r="E47" s="148">
        <f> F47 / B47</f>
        <v>0</v>
      </c>
      <c r="F47" s="140">
        <f> max('入力_出力'!D42 / 3 - B31 - F46, 0)</f>
        <v>0</v>
      </c>
      <c r="G47" s="140">
        <f> 20 * B36 * B37 * (B47 - B33 + 12) ^ 2 / 144 * E47</f>
        <v>0</v>
      </c>
    </row>
    <row r="48">
      <c r="A48" s="126" t="s">
        <v>156</v>
      </c>
      <c r="B48" s="148">
        <f> if(F46 = 0, B45, B47)</f>
        <v>20.14612394</v>
      </c>
      <c r="C48" s="148">
        <f> B49</f>
        <v>24.06161316</v>
      </c>
      <c r="D48" s="157">
        <f>0.0006 * sqrt(500 * F36) * vlookup('入力_出力'!$J$16,$S$3:$Z$6, 8, FALSE) * VLOOKUP(switch('入力_出力'!$J$42,"Sprint",'入力_出力'!$E$12,"Mile",'入力_出力'!$H$12,"Medium",'入力_出力'!$K$12,"Long",'入力_出力'!$N$12),'定義'!$E$3:$G$10,3, FALSE) * VLOOKUP(switch('入力_出力'!$D$41,"Turf",'入力_出力'!$E$10,"Dirt",'入力_出力'!$H$10),'定義'!$B$3:$C$10,2, FALSE)</f>
        <v>0.3425833932</v>
      </c>
      <c r="E48" s="148">
        <f> (C48 - B48) / D48</f>
        <v>11.42930246</v>
      </c>
      <c r="F48" s="140">
        <f> (B48 + C48) / 2 * E48</f>
        <v>252.6317992</v>
      </c>
      <c r="G48" s="140">
        <f> 20 * B36 * B37 * ((B48 + D48 * E48 - B33 + 12) ^ 3 - (B48 - B33 + 12) ^ 3) / (3 * D48) / 144</f>
        <v>413.3570199</v>
      </c>
    </row>
    <row r="49">
      <c r="A49" s="126" t="s">
        <v>157</v>
      </c>
      <c r="B49" s="153">
        <f> (B33 * (vlookup('入力_出力'!$J$16,$S$3:$Z$6, 5, FALSE) + 0.01) + sqrt(500 * F34) * VLOOKUP(switch('入力_出力'!$J$42,"Sprint",'入力_出力'!$E$12,"Mile",'入力_出力'!$H$12,"Medium",'入力_出力'!$K$12,"Long",'入力_出力'!$N$12),'定義'!$E$3:$G$10,2, FALSE) * 0.002) * 1.05 + sqrt(500 * F34) *VLOOKUP(switch('入力_出力'!$J$42,"Sprint",'入力_出力'!$E$12,"Mile",'入力_出力'!$H$12,"Medium",'入力_出力'!$K$12,"Long",'入力_出力'!$N$12),'定義'!$E$3:$G$10,2, FALSE) * 0.002</f>
        <v>24.06161316</v>
      </c>
      <c r="C49" s="25"/>
      <c r="D49" s="157" t="s">
        <v>91</v>
      </c>
      <c r="E49" s="148">
        <f> G49 / (20 * B36 * B37 * (B49 - B33 + 12) ^ 2 / 144)</f>
        <v>11.66594826</v>
      </c>
      <c r="F49" s="140">
        <f> B49 * E49</f>
        <v>280.7015341</v>
      </c>
      <c r="G49" s="140">
        <f> min(20 * B36 * B37 * (B49 - B33 + 12) ^ 2 / 144 * ('入力_出力'!D42 / 3 - sum(F46:F48)) / B49, B35 - sum(G41:G48))</f>
        <v>547.3532822</v>
      </c>
    </row>
    <row r="50">
      <c r="A50" s="126" t="s">
        <v>158</v>
      </c>
      <c r="B50" s="148">
        <f> B49</f>
        <v>24.06161316</v>
      </c>
      <c r="C50" s="148"/>
      <c r="D50" s="148">
        <v>-1.2</v>
      </c>
      <c r="E50" s="148">
        <f> (-B50 + sqrt(B50 ^ 2 + 2 * D50 * F50)) / D50</f>
        <v>0</v>
      </c>
      <c r="F50" s="140">
        <f>'入力_出力'!D42  / 3 - sum(F46:F49)</f>
        <v>0</v>
      </c>
      <c r="G50" s="140">
        <v>0.0</v>
      </c>
    </row>
    <row r="51">
      <c r="A51" s="125"/>
      <c r="B51" s="158"/>
      <c r="C51" s="158"/>
      <c r="D51" s="148" t="s">
        <v>159</v>
      </c>
      <c r="E51" s="148">
        <f t="shared" ref="E51:G51" si="5"> sum(E41:E50)</f>
        <v>76.98055561</v>
      </c>
      <c r="F51" s="140">
        <f t="shared" si="5"/>
        <v>1600</v>
      </c>
      <c r="G51" s="140">
        <f t="shared" si="5"/>
        <v>2005.996916</v>
      </c>
    </row>
    <row r="54">
      <c r="A54" s="128" t="s">
        <v>160</v>
      </c>
      <c r="B54" s="148">
        <f>B45</f>
        <v>20.14612394</v>
      </c>
      <c r="C54" s="148">
        <f> B55</f>
        <v>24.06161316</v>
      </c>
      <c r="D54" s="157">
        <f>0.0006 * sqrt(500 * F36) * vlookup('入力_出力'!$J$16,$S$3:$Z$6, 8, FALSE) * VLOOKUP(switch('入力_出力'!$J$42,"Sprint",'入力_出力'!$E$12,"Mile",'入力_出力'!$H$12,"Medium",'入力_出力'!$K$12,"Long",'入力_出力'!$N$12),'定義'!$E$3:$G$10,3, FALSE) * VLOOKUP(switch('入力_出力'!$D$41,"Turf",'入力_出力'!$E$10,"Dirt",'入力_出力'!$H$10),'定義'!$B$3:$C$10,2, FALSE)</f>
        <v>0.3425833932</v>
      </c>
      <c r="E54" s="148">
        <f> (C54 - B54) / D54</f>
        <v>11.42930246</v>
      </c>
      <c r="F54" s="140">
        <f> (B54 + C54) / 2 * E54</f>
        <v>252.6317992</v>
      </c>
      <c r="G54" s="140">
        <f> 20 * B36 * B37 * ((B54 + D54 * E54 - B33 + 12) ^ 3 - (B54 - B33 + 12) ^ 3) / (3 * D54) / 144</f>
        <v>413.3570199</v>
      </c>
    </row>
    <row r="55">
      <c r="A55" s="128" t="s">
        <v>161</v>
      </c>
      <c r="B55" s="153">
        <f> (B33 * (vlookup('入力_出力'!$J$16,$S$3:$Z$6, 5, FALSE) + 0.01) + sqrt(500 * F34) * VLOOKUP(switch('入力_出力'!$J$42,"Sprint",'入力_出力'!$E$12,"Mile",'入力_出力'!$H$12,"Medium",'入力_出力'!$K$12,"Long",'入力_出力'!$N$12),'定義'!$E$3:$G$10,2, FALSE) * 0.002) * 1.05 + sqrt(500 * F34) *VLOOKUP(switch('入力_出力'!$J$42,"Sprint",'入力_出力'!$E$12,"Mile",'入力_出力'!$H$12,"Medium",'入力_出力'!$K$12,"Long",'入力_出力'!$N$12),'定義'!$E$3:$G$10,2, FALSE) * 0.002</f>
        <v>24.06161316</v>
      </c>
      <c r="C55" s="25"/>
      <c r="D55" s="157" t="s">
        <v>91</v>
      </c>
      <c r="E55" s="148">
        <f> F55 / B55</f>
        <v>11.66594826</v>
      </c>
      <c r="F55" s="140">
        <f> '入力_出力'!D42/ 3 - F54</f>
        <v>280.7015341</v>
      </c>
      <c r="G55" s="140">
        <f> 20 * B36 *B37* (B55 - B33 + 12) ^ 2 / 144 * E55</f>
        <v>547.3532822</v>
      </c>
    </row>
    <row r="56">
      <c r="E56" s="159" t="s">
        <v>162</v>
      </c>
      <c r="F56" s="25"/>
      <c r="G56" s="160">
        <f>SUM(G41:G45)+SUM(G54:G55)</f>
        <v>2005.996916</v>
      </c>
    </row>
    <row r="57">
      <c r="E57" s="159" t="s">
        <v>163</v>
      </c>
      <c r="F57" s="25"/>
      <c r="G57" s="141">
        <f>F35+(G56-B35)/0.8/vlookup('入力_出力'!$J$16,$S$3:$Z$6, 2, FALSE)/ (1 + ($K$33+$K$34) / 10000)</f>
        <v>570.2203876</v>
      </c>
    </row>
  </sheetData>
  <mergeCells count="17">
    <mergeCell ref="U2:W2"/>
    <mergeCell ref="X2:Z2"/>
    <mergeCell ref="I13:I16"/>
    <mergeCell ref="I17:I20"/>
    <mergeCell ref="D30:F30"/>
    <mergeCell ref="E33:F33"/>
    <mergeCell ref="I40:K40"/>
    <mergeCell ref="B55:C55"/>
    <mergeCell ref="E56:F56"/>
    <mergeCell ref="E57:F57"/>
    <mergeCell ref="I41:K41"/>
    <mergeCell ref="M41:T41"/>
    <mergeCell ref="I42:K42"/>
    <mergeCell ref="B43:C43"/>
    <mergeCell ref="B45:C45"/>
    <mergeCell ref="B47:C47"/>
    <mergeCell ref="B49:C49"/>
  </mergeCells>
  <drawing r:id="rId1"/>
</worksheet>
</file>