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/Desktop/"/>
    </mc:Choice>
  </mc:AlternateContent>
  <xr:revisionPtr revIDLastSave="0" documentId="13_ncr:1_{0B4F06B2-6E66-1B47-993C-67F460B32CCE}" xr6:coauthVersionLast="38" xr6:coauthVersionMax="38" xr10:uidLastSave="{00000000-0000-0000-0000-000000000000}"/>
  <bookViews>
    <workbookView xWindow="-20" yWindow="640" windowWidth="17960" windowHeight="14080" xr2:uid="{00000000-000D-0000-FFFF-FFFF00000000}"/>
  </bookViews>
  <sheets>
    <sheet name="Parameters" sheetId="1" r:id="rId1"/>
    <sheet name="PFHP Scenario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D47" i="1"/>
  <c r="B47" i="1"/>
  <c r="L21" i="1" l="1"/>
  <c r="L20" i="1"/>
  <c r="L19" i="1"/>
  <c r="M19" i="1" s="1"/>
  <c r="M37" i="1" s="1"/>
  <c r="L18" i="1"/>
  <c r="L17" i="1"/>
  <c r="L16" i="1"/>
  <c r="A9" i="1"/>
  <c r="G2" i="1"/>
  <c r="AK25" i="1" s="1"/>
  <c r="AK26" i="1" s="1"/>
  <c r="M18" i="1"/>
  <c r="M17" i="1"/>
  <c r="U37" i="1" s="1"/>
  <c r="M16" i="1"/>
  <c r="Y37" i="1" s="1"/>
  <c r="N21" i="1"/>
  <c r="AH37" i="1" s="1"/>
  <c r="N20" i="1"/>
  <c r="AL37" i="1" s="1"/>
  <c r="M20" i="1"/>
  <c r="M21" i="1"/>
  <c r="AG37" i="1"/>
  <c r="AK37" i="1"/>
  <c r="B5" i="2"/>
  <c r="H23" i="1"/>
  <c r="H17" i="1"/>
  <c r="U25" i="1" s="1"/>
  <c r="U26" i="1" s="1"/>
  <c r="H19" i="1"/>
  <c r="M27" i="1" s="1"/>
  <c r="M28" i="1" s="1"/>
  <c r="H18" i="1"/>
  <c r="Q27" i="1" s="1"/>
  <c r="Q28" i="1" s="1"/>
  <c r="H20" i="1"/>
  <c r="I25" i="1" s="1"/>
  <c r="I26" i="1" s="1"/>
  <c r="I19" i="1"/>
  <c r="I18" i="1"/>
  <c r="I17" i="1"/>
  <c r="I16" i="1"/>
  <c r="E10" i="1"/>
  <c r="Y33" i="1" s="1"/>
  <c r="Y34" i="1" s="1"/>
  <c r="E9" i="1"/>
  <c r="AG31" i="1" s="1"/>
  <c r="AG32" i="1" s="1"/>
  <c r="E8" i="1"/>
  <c r="Y29" i="1" s="1"/>
  <c r="Y30" i="1" s="1"/>
  <c r="E7" i="1"/>
  <c r="Y25" i="1" s="1"/>
  <c r="Y26" i="1" s="1"/>
  <c r="E6" i="1"/>
  <c r="AG27" i="1" s="1"/>
  <c r="AG28" i="1" s="1"/>
  <c r="M33" i="1" l="1"/>
  <c r="M34" i="1" s="1"/>
  <c r="U33" i="1"/>
  <c r="U34" i="1" s="1"/>
  <c r="AC33" i="1"/>
  <c r="I37" i="1"/>
  <c r="Q37" i="1"/>
  <c r="I29" i="1"/>
  <c r="I30" i="1" s="1"/>
  <c r="M29" i="1"/>
  <c r="M30" i="1" s="1"/>
  <c r="M25" i="1"/>
  <c r="M26" i="1" s="1"/>
  <c r="U31" i="1"/>
  <c r="U32" i="1" s="1"/>
  <c r="U27" i="1"/>
  <c r="U28" i="1" s="1"/>
  <c r="AC25" i="1"/>
  <c r="AK31" i="1"/>
  <c r="AK32" i="1" s="1"/>
  <c r="AK27" i="1"/>
  <c r="AK28" i="1" s="1"/>
  <c r="AK35" i="1" s="1"/>
  <c r="Q29" i="1"/>
  <c r="Q30" i="1" s="1"/>
  <c r="Q25" i="1"/>
  <c r="Q26" i="1" s="1"/>
  <c r="Y31" i="1"/>
  <c r="Y32" i="1" s="1"/>
  <c r="Y27" i="1"/>
  <c r="Y28" i="1" s="1"/>
  <c r="Y35" i="1" s="1"/>
  <c r="Y38" i="1" s="1"/>
  <c r="AC31" i="1"/>
  <c r="AG29" i="1"/>
  <c r="AG30" i="1" s="1"/>
  <c r="AG25" i="1"/>
  <c r="AG26" i="1" s="1"/>
  <c r="AG35" i="1" s="1"/>
  <c r="I33" i="1"/>
  <c r="I34" i="1" s="1"/>
  <c r="Q33" i="1"/>
  <c r="Q34" i="1" s="1"/>
  <c r="I31" i="1"/>
  <c r="I32" i="1" s="1"/>
  <c r="I27" i="1"/>
  <c r="I28" i="1" s="1"/>
  <c r="I35" i="1" s="1"/>
  <c r="I38" i="1" s="1"/>
  <c r="M31" i="1"/>
  <c r="M32" i="1" s="1"/>
  <c r="U29" i="1"/>
  <c r="U30" i="1" s="1"/>
  <c r="U35" i="1" s="1"/>
  <c r="U38" i="1" s="1"/>
  <c r="AC29" i="1"/>
  <c r="AK29" i="1"/>
  <c r="AK30" i="1" s="1"/>
  <c r="Q31" i="1"/>
  <c r="Q32" i="1" s="1"/>
  <c r="AC27" i="1"/>
  <c r="AL38" i="1" l="1"/>
  <c r="AK38" i="1"/>
  <c r="M35" i="1"/>
  <c r="M38" i="1" s="1"/>
  <c r="Q35" i="1"/>
  <c r="Q38" i="1" s="1"/>
  <c r="AC35" i="1"/>
  <c r="AC38" i="1" s="1"/>
  <c r="AH38" i="1"/>
  <c r="AG38" i="1"/>
  <c r="J40" i="1" l="1"/>
  <c r="J42" i="1"/>
  <c r="J43" i="1" s="1"/>
  <c r="J47" i="1"/>
  <c r="J48" i="1" s="1"/>
  <c r="I40" i="1"/>
  <c r="I45" i="1" l="1"/>
  <c r="I47" i="1" s="1"/>
  <c r="I48" i="1" s="1"/>
  <c r="K48" i="1" s="1"/>
  <c r="I41" i="1"/>
  <c r="I46" i="1" s="1"/>
  <c r="I42" i="1"/>
  <c r="I43" i="1" s="1"/>
  <c r="K43" i="1" s="1"/>
  <c r="J41" i="1"/>
  <c r="J45" i="1"/>
  <c r="K45" i="1" s="1"/>
  <c r="K41" i="1" l="1"/>
  <c r="J46" i="1"/>
  <c r="K46" i="1" s="1"/>
</calcChain>
</file>

<file path=xl/sharedStrings.xml><?xml version="1.0" encoding="utf-8"?>
<sst xmlns="http://schemas.openxmlformats.org/spreadsheetml/2006/main" count="298" uniqueCount="123">
  <si>
    <t>Parameter</t>
  </si>
  <si>
    <t>Reference</t>
  </si>
  <si>
    <t>ACTIVE</t>
  </si>
  <si>
    <t>Average annual rate of other osteoporotic fracture</t>
  </si>
  <si>
    <t>Postmenopausal women in PFHP with osteoporosis</t>
  </si>
  <si>
    <t>Medication</t>
  </si>
  <si>
    <t>Oral bisphosphonates</t>
  </si>
  <si>
    <t>Raloxifene</t>
  </si>
  <si>
    <t>Denosumab</t>
  </si>
  <si>
    <t>Treatment Effects</t>
  </si>
  <si>
    <t>Treatment Effect</t>
  </si>
  <si>
    <t>Reported from RCTs, %</t>
  </si>
  <si>
    <r>
      <t>Adjusted for Adherence</t>
    </r>
    <r>
      <rPr>
        <sz val="8"/>
        <color theme="1"/>
        <rFont val="Calibri"/>
        <family val="2"/>
        <scheme val="minor"/>
      </rPr>
      <t> </t>
    </r>
  </si>
  <si>
    <t>TYMLOS</t>
  </si>
  <si>
    <t>Hip fracture</t>
  </si>
  <si>
    <t>ACTIVExtend</t>
  </si>
  <si>
    <t>Vertebral Fracture</t>
  </si>
  <si>
    <t>Wrist Fracture</t>
  </si>
  <si>
    <t>Other major fracture</t>
  </si>
  <si>
    <t>Teriparatide</t>
  </si>
  <si>
    <t>Alendronate</t>
  </si>
  <si>
    <t>Ref. 131</t>
  </si>
  <si>
    <t>Injectable Bisphosphonates</t>
  </si>
  <si>
    <t>Ref. 132, 133</t>
  </si>
  <si>
    <t>Ref. 84, 134</t>
  </si>
  <si>
    <t>Treatment Costs</t>
  </si>
  <si>
    <t>Treatment Cost</t>
  </si>
  <si>
    <t>Drug Cost</t>
  </si>
  <si>
    <t>Adjusted for Adherence</t>
  </si>
  <si>
    <t>Monthly Cost of TYMLOS</t>
  </si>
  <si>
    <t>2018 Medispan</t>
  </si>
  <si>
    <t>Monthly Cost of Teriparatide</t>
  </si>
  <si>
    <t>Monthly cost of oral bisphosphonate (alendronate)</t>
  </si>
  <si>
    <t>Monthly cost of injection bisphosphonate (zolendronic acid)</t>
  </si>
  <si>
    <t>Monthly Cost of Raloxifene</t>
  </si>
  <si>
    <t>Monthly Cost of Denosumab</t>
  </si>
  <si>
    <t>Adherence Rate (%)</t>
  </si>
  <si>
    <t>Costs Due to Fractures and Nursing Home Care</t>
  </si>
  <si>
    <t>Event</t>
  </si>
  <si>
    <t>Average first-year cost of hip fracture</t>
  </si>
  <si>
    <t>Ohanlon 2017</t>
  </si>
  <si>
    <t>Incremental Cost of Subsequent Hip Fracture</t>
  </si>
  <si>
    <t>Ref. 138</t>
  </si>
  <si>
    <t xml:space="preserve">Average first year cost for vertebral fracture </t>
  </si>
  <si>
    <t>Average first year cost for wrist fracture</t>
  </si>
  <si>
    <t>Tosteson 2008</t>
  </si>
  <si>
    <t>Average first-year cost for other major osteoporotic fracture</t>
  </si>
  <si>
    <t>Average annual cost of nursing home care</t>
  </si>
  <si>
    <t>Genworth Financial, Inc.</t>
  </si>
  <si>
    <t xml:space="preserve"> Cost ($)</t>
  </si>
  <si>
    <t>Avg. annual rate of hip fracture</t>
  </si>
  <si>
    <t>Avg. annual rate of vertebral fracture</t>
  </si>
  <si>
    <t>Avg. annual rate of wrist fracture</t>
  </si>
  <si>
    <t>Aveage annual rate of entering a nursing home after hip fracture</t>
  </si>
  <si>
    <t>Abaloparatide</t>
  </si>
  <si>
    <t>Pre-tx</t>
  </si>
  <si>
    <t>Post-tx</t>
  </si>
  <si>
    <t>Percent (*100 = %)</t>
  </si>
  <si>
    <t>Wrist fracture</t>
  </si>
  <si>
    <t>Other fracture</t>
  </si>
  <si>
    <t>Oral bisphosphonates (alendronate, risendronate, ibandronate, etidronate)</t>
  </si>
  <si>
    <t>Injectable bisphosponates (ibandronate and zolendronic acid)</t>
  </si>
  <si>
    <t>Market Share Pre-TYMLOS</t>
  </si>
  <si>
    <t>Market Share Post-TYMLOS</t>
  </si>
  <si>
    <t>Hip fracture (first year)</t>
  </si>
  <si>
    <t>Hip fracture then nursing home</t>
  </si>
  <si>
    <t>Commercial Plan</t>
  </si>
  <si>
    <t>Percent of Women 50+</t>
  </si>
  <si>
    <t>Percent of postmenopausal women with osteoporosis</t>
  </si>
  <si>
    <t>Postmenopausal women with osteoporosis</t>
  </si>
  <si>
    <t>Example - 1,000,000 covered lives</t>
  </si>
  <si>
    <t>Total cost of fracture with treatment</t>
  </si>
  <si>
    <t>Treatment costs per year per member (adjusted for adherence)</t>
  </si>
  <si>
    <t>Treatment Cost per month per member (adjusted for adherence)</t>
  </si>
  <si>
    <t>Total annual cost of teriparatide treatment (1.2% market share) + total cost of fracture with teriparatide treatment</t>
  </si>
  <si>
    <t>Total annual cost of teriparatide treatment (adjusted monthly teriparatide cost * 12 * 1.2% market share * 26,519)</t>
  </si>
  <si>
    <t>Hip Fracture (first year)</t>
  </si>
  <si>
    <t xml:space="preserve">Wrist fracture </t>
  </si>
  <si>
    <t>Total annual cost of denosumab treatment (adjusted monthly denosumab cost * 12 * 7.1% market share * 26519)</t>
  </si>
  <si>
    <t>Hip fracture than nursing home</t>
  </si>
  <si>
    <t xml:space="preserve">Total annual cost of raloxifene treatment </t>
  </si>
  <si>
    <t>Injectable Bisphosphonate</t>
  </si>
  <si>
    <t>Total annual cost of injectable bisphosphonate treatment</t>
  </si>
  <si>
    <t>Hip Fracture</t>
  </si>
  <si>
    <t>Other Fracture</t>
  </si>
  <si>
    <t>Hip Fracture then nursing home</t>
  </si>
  <si>
    <t>Total annual cost of oral bisphosphonate treatment</t>
  </si>
  <si>
    <t>Untreated PMO women</t>
  </si>
  <si>
    <t>Untreated women PMO</t>
  </si>
  <si>
    <t>Total cost of fracture with NO osteoporosis treatment</t>
  </si>
  <si>
    <t>Total annual cost of no ostoeporosis treatment</t>
  </si>
  <si>
    <t>Total cost PMPM</t>
  </si>
  <si>
    <t>Total cost of fracture with TYMLOS treatment</t>
  </si>
  <si>
    <t>POST-TYMLOS</t>
  </si>
  <si>
    <t>PRE-TYMLOS</t>
  </si>
  <si>
    <t>Total annual cost of abaloparatide treatment</t>
  </si>
  <si>
    <t>Total cost of fracture with teriparatide treatment</t>
  </si>
  <si>
    <t>Total annual cost of teriparatide treatment</t>
  </si>
  <si>
    <t>Pre-TYMLOS</t>
  </si>
  <si>
    <t>Post-TYMLOS</t>
  </si>
  <si>
    <t>Total savings year 1</t>
  </si>
  <si>
    <t>Year 1 Cost (12 months)</t>
  </si>
  <si>
    <t>Year 2 Cost (6 months of TYMLOS = total 18 months) and (12 months of teriparatide = total 24 months)</t>
  </si>
  <si>
    <t>Treatment costs per 6 months per member (adjusted for adherence)</t>
  </si>
  <si>
    <t>Total annual cost of abaloparatide (1 year)</t>
  </si>
  <si>
    <t>Total cost of abaloparatide 6 month</t>
  </si>
  <si>
    <t>Year 2 Cost (6 months of TYMLOS = 18 months) and (6 monts of teriparatide)</t>
  </si>
  <si>
    <t>Total annual cost of teriparatide (1 year)</t>
  </si>
  <si>
    <t>Total cost of teriparatide 6 months</t>
  </si>
  <si>
    <t>Scenario 2 (18 months of teriparatide and 18 months of TYMLOS)</t>
  </si>
  <si>
    <t>Scenario 1 (18 months of TYMLOS and 24 months of teriparatide)</t>
  </si>
  <si>
    <t>Percent diagnosed/treated</t>
  </si>
  <si>
    <t>Demographics of Commercial PFHP</t>
  </si>
  <si>
    <t>650,000 covered lives</t>
  </si>
  <si>
    <t>51.4% female</t>
  </si>
  <si>
    <t>48.6% male</t>
  </si>
  <si>
    <t>Prevalence of Osteoporosis in the US in women ages 65+</t>
  </si>
  <si>
    <t>Demographics of Medicare Advantage</t>
  </si>
  <si>
    <t>Ages 65 and older</t>
  </si>
  <si>
    <t>Women</t>
  </si>
  <si>
    <t>Prevalence of osteoporosis in US women ages 65+</t>
  </si>
  <si>
    <t>7.2% 65+</t>
  </si>
  <si>
    <t>2018 Redbook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</si>
</sst>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0" fontId="0" fillId="0" borderId="0" xfId="0" applyNumberFormat="1"/>
    <xf numFmtId="0" fontId="1" fillId="0" borderId="4" xfId="0" applyFont="1" applyBorder="1" applyAlignment="1">
      <alignment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1" fillId="0" borderId="4" xfId="0" applyNumberFormat="1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10" fontId="1" fillId="0" borderId="0" xfId="0" applyNumberFormat="1" applyFont="1" applyBorder="1" applyAlignment="1">
      <alignment vertical="center" wrapText="1"/>
    </xf>
    <xf numFmtId="0" fontId="0" fillId="2" borderId="0" xfId="0" applyFill="1"/>
    <xf numFmtId="0" fontId="5" fillId="0" borderId="0" xfId="0" applyFont="1"/>
    <xf numFmtId="0" fontId="1" fillId="2" borderId="4" xfId="0" applyFont="1" applyFill="1" applyBorder="1" applyAlignment="1">
      <alignment vertical="center" wrapText="1"/>
    </xf>
    <xf numFmtId="3" fontId="1" fillId="2" borderId="4" xfId="0" applyNumberFormat="1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" borderId="0" xfId="0" applyFill="1"/>
    <xf numFmtId="3" fontId="1" fillId="3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4" borderId="0" xfId="0" applyFill="1"/>
    <xf numFmtId="0" fontId="1" fillId="4" borderId="4" xfId="0" applyFont="1" applyFill="1" applyBorder="1" applyAlignment="1">
      <alignment vertical="center" wrapText="1"/>
    </xf>
    <xf numFmtId="3" fontId="1" fillId="4" borderId="4" xfId="0" applyNumberFormat="1" applyFont="1" applyFill="1" applyBorder="1" applyAlignment="1">
      <alignment vertical="center" wrapText="1"/>
    </xf>
    <xf numFmtId="0" fontId="0" fillId="5" borderId="0" xfId="0" applyFill="1"/>
    <xf numFmtId="0" fontId="1" fillId="5" borderId="4" xfId="0" applyFont="1" applyFill="1" applyBorder="1" applyAlignment="1">
      <alignment vertical="center" wrapText="1"/>
    </xf>
    <xf numFmtId="3" fontId="1" fillId="5" borderId="4" xfId="0" applyNumberFormat="1" applyFont="1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0" xfId="0" applyFill="1"/>
    <xf numFmtId="3" fontId="1" fillId="6" borderId="4" xfId="0" applyNumberFormat="1" applyFont="1" applyFill="1" applyBorder="1" applyAlignment="1">
      <alignment vertical="center" wrapText="1"/>
    </xf>
    <xf numFmtId="0" fontId="0" fillId="0" borderId="0" xfId="0" applyAlignment="1"/>
    <xf numFmtId="43" fontId="0" fillId="0" borderId="0" xfId="1" applyFont="1"/>
    <xf numFmtId="43" fontId="0" fillId="0" borderId="0" xfId="1" applyFont="1" applyFill="1"/>
    <xf numFmtId="43" fontId="0" fillId="0" borderId="0" xfId="0" applyNumberFormat="1"/>
    <xf numFmtId="0" fontId="0" fillId="7" borderId="0" xfId="0" applyFill="1"/>
    <xf numFmtId="0" fontId="0" fillId="2" borderId="0" xfId="0" applyFill="1" applyAlignment="1"/>
    <xf numFmtId="0" fontId="0" fillId="7" borderId="0" xfId="0" applyFill="1" applyAlignment="1">
      <alignment wrapText="1"/>
    </xf>
    <xf numFmtId="43" fontId="1" fillId="0" borderId="0" xfId="0" applyNumberFormat="1" applyFont="1" applyFill="1" applyBorder="1" applyAlignment="1">
      <alignment vertical="center" wrapText="1"/>
    </xf>
    <xf numFmtId="9" fontId="0" fillId="0" borderId="0" xfId="0" applyNumberFormat="1"/>
    <xf numFmtId="0" fontId="0" fillId="0" borderId="0" xfId="0" applyNumberFormat="1"/>
    <xf numFmtId="10" fontId="0" fillId="0" borderId="0" xfId="0" applyNumberFormat="1" applyBorder="1"/>
    <xf numFmtId="0" fontId="6" fillId="0" borderId="0" xfId="6" applyAlignment="1">
      <alignment vertical="center" wrapText="1"/>
    </xf>
    <xf numFmtId="0" fontId="1" fillId="0" borderId="6" xfId="0" applyFont="1" applyBorder="1" applyAlignment="1">
      <alignment vertical="center" textRotation="90" wrapText="1"/>
    </xf>
    <xf numFmtId="0" fontId="1" fillId="0" borderId="5" xfId="0" applyFont="1" applyBorder="1" applyAlignment="1">
      <alignment vertical="center" textRotation="90" wrapText="1"/>
    </xf>
    <xf numFmtId="0" fontId="1" fillId="0" borderId="3" xfId="0" applyFont="1" applyBorder="1" applyAlignment="1">
      <alignment vertical="center" textRotation="90" wrapText="1"/>
    </xf>
    <xf numFmtId="0" fontId="1" fillId="7" borderId="6" xfId="0" applyFont="1" applyFill="1" applyBorder="1" applyAlignment="1">
      <alignment vertical="center" textRotation="90" wrapText="1"/>
    </xf>
    <xf numFmtId="0" fontId="1" fillId="7" borderId="5" xfId="0" applyFont="1" applyFill="1" applyBorder="1" applyAlignment="1">
      <alignment vertical="center" textRotation="90" wrapText="1"/>
    </xf>
    <xf numFmtId="0" fontId="1" fillId="7" borderId="3" xfId="0" applyFont="1" applyFill="1" applyBorder="1" applyAlignment="1">
      <alignment vertical="center" textRotation="90" wrapText="1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chb.hrsa.gov/whusa10/hstat/wa/pages/242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"/>
  <sheetViews>
    <sheetView tabSelected="1" topLeftCell="A42" workbookViewId="0">
      <selection activeCell="D45" sqref="D45"/>
    </sheetView>
  </sheetViews>
  <sheetFormatPr baseColWidth="10" defaultRowHeight="16" x14ac:dyDescent="0.2"/>
  <cols>
    <col min="1" max="1" width="19.6640625" customWidth="1"/>
    <col min="2" max="2" width="17.83203125" customWidth="1"/>
    <col min="3" max="3" width="22.6640625" customWidth="1"/>
    <col min="4" max="4" width="15.5" customWidth="1"/>
    <col min="5" max="5" width="19" customWidth="1"/>
    <col min="6" max="6" width="18.83203125" customWidth="1"/>
    <col min="7" max="7" width="16.5" customWidth="1"/>
    <col min="9" max="9" width="15" bestFit="1" customWidth="1"/>
    <col min="10" max="10" width="14" bestFit="1" customWidth="1"/>
    <col min="11" max="11" width="15.5" customWidth="1"/>
    <col min="13" max="13" width="14" bestFit="1" customWidth="1"/>
    <col min="17" max="17" width="14" bestFit="1" customWidth="1"/>
    <col min="21" max="21" width="14" bestFit="1" customWidth="1"/>
    <col min="25" max="25" width="14" bestFit="1" customWidth="1"/>
    <col min="29" max="29" width="15" bestFit="1" customWidth="1"/>
    <col min="34" max="34" width="13" bestFit="1" customWidth="1"/>
    <col min="38" max="38" width="13" bestFit="1" customWidth="1"/>
  </cols>
  <sheetData>
    <row r="1" spans="1:14" ht="48" x14ac:dyDescent="0.2">
      <c r="A1" s="7" t="s">
        <v>112</v>
      </c>
      <c r="B1" s="7" t="s">
        <v>117</v>
      </c>
      <c r="C1" s="7"/>
      <c r="E1" s="7" t="s">
        <v>70</v>
      </c>
      <c r="F1" s="7" t="s">
        <v>118</v>
      </c>
      <c r="G1" s="7" t="s">
        <v>4</v>
      </c>
      <c r="H1" s="7" t="s">
        <v>111</v>
      </c>
    </row>
    <row r="2" spans="1:14" x14ac:dyDescent="0.2">
      <c r="A2" s="6" t="s">
        <v>113</v>
      </c>
      <c r="B2" s="43">
        <v>72000</v>
      </c>
      <c r="C2" s="4"/>
      <c r="E2" s="6">
        <v>72000</v>
      </c>
      <c r="F2" s="4">
        <v>0.871</v>
      </c>
      <c r="G2" s="6">
        <f>E2*0.552*0.871*0.273</f>
        <v>9450.4475519999996</v>
      </c>
      <c r="H2" s="42">
        <v>0.5</v>
      </c>
    </row>
    <row r="3" spans="1:14" x14ac:dyDescent="0.2">
      <c r="A3" t="s">
        <v>114</v>
      </c>
      <c r="B3" s="4">
        <v>0.55200000000000005</v>
      </c>
      <c r="E3" t="s">
        <v>119</v>
      </c>
      <c r="F3" t="s">
        <v>116</v>
      </c>
    </row>
    <row r="4" spans="1:14" x14ac:dyDescent="0.2">
      <c r="A4" s="12" t="s">
        <v>115</v>
      </c>
      <c r="B4" s="44">
        <v>0.44800000000000001</v>
      </c>
      <c r="E4" s="4">
        <v>0.55200000000000005</v>
      </c>
      <c r="F4" s="4">
        <v>0.27300000000000002</v>
      </c>
    </row>
    <row r="5" spans="1:14" x14ac:dyDescent="0.2">
      <c r="A5" s="8" t="s">
        <v>121</v>
      </c>
      <c r="B5" s="44">
        <v>0.871</v>
      </c>
      <c r="D5" s="16" t="s">
        <v>0</v>
      </c>
      <c r="E5" s="16" t="s">
        <v>57</v>
      </c>
      <c r="F5" s="16"/>
    </row>
    <row r="6" spans="1:14" ht="32" x14ac:dyDescent="0.2">
      <c r="A6" s="13"/>
      <c r="B6" s="13"/>
      <c r="D6" s="7" t="s">
        <v>50</v>
      </c>
      <c r="E6" s="21">
        <f>0.47/100</f>
        <v>4.6999999999999993E-3</v>
      </c>
    </row>
    <row r="7" spans="1:14" ht="48" x14ac:dyDescent="0.2">
      <c r="A7" s="45" t="s">
        <v>120</v>
      </c>
      <c r="B7" s="14"/>
      <c r="D7" s="7" t="s">
        <v>51</v>
      </c>
      <c r="E7" s="15">
        <f>2.9/100</f>
        <v>2.8999999999999998E-2</v>
      </c>
    </row>
    <row r="8" spans="1:14" ht="32" x14ac:dyDescent="0.2">
      <c r="A8" s="13"/>
      <c r="B8" s="14"/>
      <c r="D8" s="7" t="s">
        <v>52</v>
      </c>
      <c r="E8" s="25">
        <f>1.4/100</f>
        <v>1.3999999999999999E-2</v>
      </c>
    </row>
    <row r="9" spans="1:14" ht="64" x14ac:dyDescent="0.2">
      <c r="A9" s="13">
        <f>650000*0.514*0.072</f>
        <v>24055.199999999997</v>
      </c>
      <c r="B9" s="14"/>
      <c r="D9" s="7" t="s">
        <v>3</v>
      </c>
      <c r="E9" s="28">
        <f>0.9/100</f>
        <v>9.0000000000000011E-3</v>
      </c>
    </row>
    <row r="10" spans="1:14" ht="64" x14ac:dyDescent="0.2">
      <c r="A10" s="13"/>
      <c r="B10" s="14"/>
      <c r="D10" s="7" t="s">
        <v>53</v>
      </c>
      <c r="E10" s="32">
        <f>12.2/100</f>
        <v>0.122</v>
      </c>
    </row>
    <row r="11" spans="1:14" x14ac:dyDescent="0.2">
      <c r="A11" s="13"/>
      <c r="B11" s="14"/>
    </row>
    <row r="13" spans="1:14" ht="17" thickBot="1" x14ac:dyDescent="0.25">
      <c r="A13" s="8" t="s">
        <v>9</v>
      </c>
    </row>
    <row r="14" spans="1:14" ht="35" thickBot="1" x14ac:dyDescent="0.25">
      <c r="A14" s="1"/>
      <c r="B14" s="2" t="s">
        <v>10</v>
      </c>
      <c r="C14" s="2" t="s">
        <v>11</v>
      </c>
      <c r="D14" s="2" t="s">
        <v>12</v>
      </c>
      <c r="E14" s="2" t="s">
        <v>1</v>
      </c>
    </row>
    <row r="15" spans="1:14" ht="120" thickBot="1" x14ac:dyDescent="0.25">
      <c r="A15" s="46" t="s">
        <v>13</v>
      </c>
      <c r="B15" s="5" t="s">
        <v>14</v>
      </c>
      <c r="C15" s="5">
        <v>0.63</v>
      </c>
      <c r="D15" s="24">
        <v>0.78</v>
      </c>
      <c r="E15" s="5" t="s">
        <v>15</v>
      </c>
      <c r="G15" t="s">
        <v>5</v>
      </c>
      <c r="H15" s="7" t="s">
        <v>62</v>
      </c>
      <c r="I15" s="7" t="s">
        <v>63</v>
      </c>
      <c r="K15" t="s">
        <v>5</v>
      </c>
      <c r="L15" s="7" t="s">
        <v>73</v>
      </c>
      <c r="M15" s="7" t="s">
        <v>72</v>
      </c>
      <c r="N15" s="7" t="s">
        <v>103</v>
      </c>
    </row>
    <row r="16" spans="1:14" ht="18" thickBot="1" x14ac:dyDescent="0.25">
      <c r="A16" s="47"/>
      <c r="B16" s="5" t="s">
        <v>16</v>
      </c>
      <c r="C16" s="5">
        <v>0.16</v>
      </c>
      <c r="D16" s="24">
        <v>0.5</v>
      </c>
      <c r="E16" s="5" t="s">
        <v>15</v>
      </c>
      <c r="G16" s="15" t="s">
        <v>60</v>
      </c>
      <c r="H16" s="15">
        <v>0.32400000000000001</v>
      </c>
      <c r="I16">
        <f>0.638/2</f>
        <v>0.31900000000000001</v>
      </c>
      <c r="K16" t="s">
        <v>60</v>
      </c>
      <c r="L16">
        <f>D44</f>
        <v>28.18881</v>
      </c>
      <c r="M16">
        <f t="shared" ref="M16:M21" si="0">L16*12</f>
        <v>338.26571999999999</v>
      </c>
    </row>
    <row r="17" spans="1:37" ht="18" thickBot="1" x14ac:dyDescent="0.25">
      <c r="A17" s="47"/>
      <c r="B17" s="5" t="s">
        <v>17</v>
      </c>
      <c r="C17" s="5">
        <v>0.63</v>
      </c>
      <c r="D17" s="5">
        <v>0.78</v>
      </c>
      <c r="E17" s="5" t="s">
        <v>15</v>
      </c>
      <c r="G17" s="19" t="s">
        <v>61</v>
      </c>
      <c r="H17" s="19">
        <f>0.091/2</f>
        <v>4.5499999999999999E-2</v>
      </c>
      <c r="I17">
        <f>0.091/2</f>
        <v>4.5499999999999999E-2</v>
      </c>
      <c r="K17" t="s">
        <v>61</v>
      </c>
      <c r="L17">
        <f>D45</f>
        <v>139.69</v>
      </c>
      <c r="M17">
        <f t="shared" si="0"/>
        <v>1676.28</v>
      </c>
    </row>
    <row r="18" spans="1:37" ht="18" thickBot="1" x14ac:dyDescent="0.25">
      <c r="A18" s="48"/>
      <c r="B18" s="5" t="s">
        <v>18</v>
      </c>
      <c r="C18" s="5">
        <v>0.42</v>
      </c>
      <c r="D18" s="5">
        <v>0.66</v>
      </c>
      <c r="E18" s="5" t="s">
        <v>15</v>
      </c>
      <c r="G18" s="19" t="s">
        <v>7</v>
      </c>
      <c r="H18" s="19">
        <f>0.105/2</f>
        <v>5.2499999999999998E-2</v>
      </c>
      <c r="I18">
        <f>0.105/2</f>
        <v>5.2499999999999998E-2</v>
      </c>
      <c r="K18" t="s">
        <v>7</v>
      </c>
      <c r="L18">
        <f>D46</f>
        <v>178.19300000000001</v>
      </c>
      <c r="M18" s="19">
        <f t="shared" si="0"/>
        <v>2138.3160000000003</v>
      </c>
    </row>
    <row r="19" spans="1:37" ht="18" thickBot="1" x14ac:dyDescent="0.25">
      <c r="A19" s="49" t="s">
        <v>19</v>
      </c>
      <c r="B19" s="5" t="s">
        <v>14</v>
      </c>
      <c r="C19" s="5">
        <v>0.72</v>
      </c>
      <c r="D19" s="23">
        <v>0.83</v>
      </c>
      <c r="E19" s="5" t="s">
        <v>2</v>
      </c>
      <c r="G19" s="19" t="s">
        <v>8</v>
      </c>
      <c r="H19" s="19">
        <f>0.142/2</f>
        <v>7.0999999999999994E-2</v>
      </c>
      <c r="I19">
        <f>0.142/2</f>
        <v>7.0999999999999994E-2</v>
      </c>
      <c r="K19" t="s">
        <v>8</v>
      </c>
      <c r="L19">
        <f>D47</f>
        <v>134.72749999999999</v>
      </c>
      <c r="M19">
        <f t="shared" si="0"/>
        <v>1616.73</v>
      </c>
    </row>
    <row r="20" spans="1:37" ht="18" thickBot="1" x14ac:dyDescent="0.25">
      <c r="A20" s="50"/>
      <c r="B20" s="5" t="s">
        <v>16</v>
      </c>
      <c r="C20" s="5">
        <v>0.2</v>
      </c>
      <c r="D20" s="17">
        <v>0.53</v>
      </c>
      <c r="E20" s="5" t="s">
        <v>2</v>
      </c>
      <c r="G20" s="19" t="s">
        <v>19</v>
      </c>
      <c r="H20" s="19">
        <f>0.024/2</f>
        <v>1.2E-2</v>
      </c>
      <c r="I20">
        <v>0</v>
      </c>
      <c r="K20" t="s">
        <v>19</v>
      </c>
      <c r="L20">
        <f>D43</f>
        <v>1947.17</v>
      </c>
      <c r="M20">
        <f t="shared" si="0"/>
        <v>23366.04</v>
      </c>
      <c r="N20">
        <f>L20*6</f>
        <v>11683.02</v>
      </c>
    </row>
    <row r="21" spans="1:37" ht="18" thickBot="1" x14ac:dyDescent="0.25">
      <c r="A21" s="50"/>
      <c r="B21" s="5" t="s">
        <v>17</v>
      </c>
      <c r="C21" s="5">
        <v>1.1299999999999999</v>
      </c>
      <c r="D21" s="26">
        <v>1.08</v>
      </c>
      <c r="E21" s="5" t="s">
        <v>2</v>
      </c>
      <c r="G21" t="s">
        <v>54</v>
      </c>
      <c r="H21">
        <v>0</v>
      </c>
      <c r="I21">
        <v>1.2E-2</v>
      </c>
      <c r="K21" t="s">
        <v>54</v>
      </c>
      <c r="L21">
        <f>D42</f>
        <v>1017</v>
      </c>
      <c r="M21">
        <f t="shared" si="0"/>
        <v>12204</v>
      </c>
      <c r="N21">
        <f>L21*6</f>
        <v>6102</v>
      </c>
    </row>
    <row r="22" spans="1:37" ht="18" thickBot="1" x14ac:dyDescent="0.25">
      <c r="A22" s="51"/>
      <c r="B22" s="5" t="s">
        <v>18</v>
      </c>
      <c r="C22" s="5">
        <v>0.67</v>
      </c>
      <c r="D22" s="29">
        <v>0.8</v>
      </c>
      <c r="E22" s="5" t="s">
        <v>2</v>
      </c>
      <c r="G22" t="s">
        <v>87</v>
      </c>
      <c r="H22">
        <v>0.49299999999999999</v>
      </c>
    </row>
    <row r="23" spans="1:37" ht="18" thickBot="1" x14ac:dyDescent="0.25">
      <c r="A23" s="46" t="s">
        <v>20</v>
      </c>
      <c r="B23" s="5" t="s">
        <v>14</v>
      </c>
      <c r="C23" s="5">
        <v>0.62</v>
      </c>
      <c r="D23" s="23">
        <v>0.87</v>
      </c>
      <c r="E23" s="5" t="s">
        <v>21</v>
      </c>
      <c r="H23">
        <f>SUM(H16:H22)</f>
        <v>0.998</v>
      </c>
    </row>
    <row r="24" spans="1:37" ht="18" thickBot="1" x14ac:dyDescent="0.25">
      <c r="A24" s="47"/>
      <c r="B24" s="5" t="s">
        <v>16</v>
      </c>
      <c r="C24" s="5">
        <v>0.56000000000000005</v>
      </c>
      <c r="D24" s="17">
        <v>0.85</v>
      </c>
      <c r="E24" s="5" t="s">
        <v>21</v>
      </c>
      <c r="F24" t="s">
        <v>94</v>
      </c>
      <c r="AD24" t="s">
        <v>93</v>
      </c>
    </row>
    <row r="25" spans="1:37" ht="52" thickBot="1" x14ac:dyDescent="0.25">
      <c r="A25" s="47"/>
      <c r="B25" s="5" t="s">
        <v>17</v>
      </c>
      <c r="C25" s="5">
        <v>0.64</v>
      </c>
      <c r="D25" s="26">
        <v>0.87</v>
      </c>
      <c r="E25" s="5" t="s">
        <v>21</v>
      </c>
      <c r="F25" s="38" t="s">
        <v>19</v>
      </c>
      <c r="G25" s="15" t="s">
        <v>16</v>
      </c>
      <c r="H25" t="s">
        <v>55</v>
      </c>
      <c r="I25">
        <f>H20*G2*E7*B53</f>
        <v>48400.618344728828</v>
      </c>
      <c r="J25" s="38" t="s">
        <v>8</v>
      </c>
      <c r="K25" s="39" t="s">
        <v>16</v>
      </c>
      <c r="L25" s="34" t="s">
        <v>55</v>
      </c>
      <c r="M25">
        <f>H19*G2*E7*B53</f>
        <v>286370.32520631218</v>
      </c>
      <c r="N25" s="38" t="s">
        <v>7</v>
      </c>
      <c r="O25" s="15" t="s">
        <v>16</v>
      </c>
      <c r="P25" t="s">
        <v>55</v>
      </c>
      <c r="Q25">
        <f>H18*G2*E7*B53</f>
        <v>211752.70525818859</v>
      </c>
      <c r="R25" s="40" t="s">
        <v>81</v>
      </c>
      <c r="S25" s="15" t="s">
        <v>16</v>
      </c>
      <c r="T25" t="s">
        <v>55</v>
      </c>
      <c r="U25">
        <f>H17*G2*E7*B53</f>
        <v>183519.01122376346</v>
      </c>
      <c r="V25" s="38" t="s">
        <v>6</v>
      </c>
      <c r="W25" s="15" t="s">
        <v>16</v>
      </c>
      <c r="X25" t="s">
        <v>55</v>
      </c>
      <c r="Y25">
        <f>H16*G2*E7*B53</f>
        <v>1306816.6953076785</v>
      </c>
      <c r="Z25" s="40" t="s">
        <v>88</v>
      </c>
      <c r="AA25" s="15" t="s">
        <v>16</v>
      </c>
      <c r="AB25" t="s">
        <v>55</v>
      </c>
      <c r="AC25">
        <f>H22*G2*E7*B53</f>
        <v>1988458.7369959424</v>
      </c>
      <c r="AD25" t="s">
        <v>13</v>
      </c>
      <c r="AE25" s="15" t="s">
        <v>16</v>
      </c>
      <c r="AF25" t="s">
        <v>55</v>
      </c>
      <c r="AG25">
        <f>I21*G2*E7*B53</f>
        <v>48400.618344728828</v>
      </c>
      <c r="AH25" t="s">
        <v>19</v>
      </c>
      <c r="AI25" s="15" t="s">
        <v>16</v>
      </c>
      <c r="AJ25" t="s">
        <v>55</v>
      </c>
      <c r="AK25">
        <f>I20*G2*E7*B53</f>
        <v>0</v>
      </c>
    </row>
    <row r="26" spans="1:37" ht="18" thickBot="1" x14ac:dyDescent="0.25">
      <c r="A26" s="48"/>
      <c r="B26" s="5" t="s">
        <v>18</v>
      </c>
      <c r="C26" s="5">
        <v>0.8</v>
      </c>
      <c r="D26" s="29">
        <v>0.93</v>
      </c>
      <c r="E26" s="5" t="s">
        <v>21</v>
      </c>
      <c r="H26" t="s">
        <v>56</v>
      </c>
      <c r="I26">
        <f>I25*D20</f>
        <v>25652.327722706279</v>
      </c>
      <c r="L26" t="s">
        <v>56</v>
      </c>
      <c r="M26">
        <f>M25*D36</f>
        <v>154639.97561140859</v>
      </c>
      <c r="P26" t="s">
        <v>56</v>
      </c>
      <c r="Q26">
        <f>Q25*D32</f>
        <v>171519.69125913279</v>
      </c>
      <c r="T26" t="s">
        <v>56</v>
      </c>
      <c r="U26">
        <f>U25*D28</f>
        <v>104605.83639754516</v>
      </c>
      <c r="X26" t="s">
        <v>56</v>
      </c>
      <c r="Y26">
        <f>Y25*D24</f>
        <v>1110794.1910115266</v>
      </c>
      <c r="AF26" t="s">
        <v>56</v>
      </c>
      <c r="AG26">
        <f>AG25*D16</f>
        <v>24200.309172364414</v>
      </c>
      <c r="AJ26" t="s">
        <v>56</v>
      </c>
      <c r="AK26">
        <f>AK25*D20</f>
        <v>0</v>
      </c>
    </row>
    <row r="27" spans="1:37" ht="18" thickBot="1" x14ac:dyDescent="0.25">
      <c r="A27" s="46" t="s">
        <v>22</v>
      </c>
      <c r="B27" s="5" t="s">
        <v>14</v>
      </c>
      <c r="C27" s="5">
        <v>0.59</v>
      </c>
      <c r="D27" s="23">
        <v>0.75</v>
      </c>
      <c r="E27" s="5" t="s">
        <v>23</v>
      </c>
      <c r="G27" s="21" t="s">
        <v>64</v>
      </c>
      <c r="H27" t="s">
        <v>55</v>
      </c>
      <c r="I27">
        <f>H20*G2*E6*B51</f>
        <v>17422.342343057433</v>
      </c>
      <c r="J27" s="7"/>
      <c r="K27" s="21" t="s">
        <v>76</v>
      </c>
      <c r="L27" t="s">
        <v>55</v>
      </c>
      <c r="M27">
        <f>H19*G2*E6*B51</f>
        <v>103082.19219642312</v>
      </c>
      <c r="O27" s="21" t="s">
        <v>64</v>
      </c>
      <c r="P27" t="s">
        <v>55</v>
      </c>
      <c r="Q27">
        <f>H18*G2*E6*B51</f>
        <v>76222.747750876253</v>
      </c>
      <c r="S27" s="21" t="s">
        <v>14</v>
      </c>
      <c r="T27" t="s">
        <v>55</v>
      </c>
      <c r="U27">
        <f>H17*G2*E6*B51</f>
        <v>66059.71471742609</v>
      </c>
      <c r="W27" s="21" t="s">
        <v>83</v>
      </c>
      <c r="X27" t="s">
        <v>55</v>
      </c>
      <c r="Y27">
        <f>H16*G2*E6*B51</f>
        <v>470403.24326255062</v>
      </c>
      <c r="AA27" s="21" t="s">
        <v>14</v>
      </c>
      <c r="AB27" t="s">
        <v>55</v>
      </c>
      <c r="AC27">
        <f>H22*G2*E6*B51</f>
        <v>715767.89792727609</v>
      </c>
      <c r="AE27" s="21" t="s">
        <v>83</v>
      </c>
      <c r="AF27" t="s">
        <v>55</v>
      </c>
      <c r="AG27">
        <f>I21*G2*E6*B51</f>
        <v>17422.342343057433</v>
      </c>
      <c r="AI27" s="21" t="s">
        <v>83</v>
      </c>
      <c r="AJ27" t="s">
        <v>55</v>
      </c>
      <c r="AK27">
        <f>I20*G2*E6*B51</f>
        <v>0</v>
      </c>
    </row>
    <row r="28" spans="1:37" ht="18" thickBot="1" x14ac:dyDescent="0.25">
      <c r="A28" s="47"/>
      <c r="B28" s="5" t="s">
        <v>16</v>
      </c>
      <c r="C28" s="5">
        <v>0.3</v>
      </c>
      <c r="D28" s="17">
        <v>0.56999999999999995</v>
      </c>
      <c r="E28" s="5" t="s">
        <v>23</v>
      </c>
      <c r="H28" t="s">
        <v>56</v>
      </c>
      <c r="I28">
        <f>I27*D19</f>
        <v>14460.544144737669</v>
      </c>
      <c r="L28" t="s">
        <v>56</v>
      </c>
      <c r="M28">
        <f>M27*D35</f>
        <v>76280.822225353098</v>
      </c>
      <c r="P28" t="s">
        <v>56</v>
      </c>
      <c r="Q28">
        <f>Q27*D31</f>
        <v>80796.112615928825</v>
      </c>
      <c r="T28" t="s">
        <v>56</v>
      </c>
      <c r="U28">
        <f>U27*D27</f>
        <v>49544.786038069564</v>
      </c>
      <c r="X28" t="s">
        <v>56</v>
      </c>
      <c r="Y28">
        <f>Y27*D23</f>
        <v>409250.82163841906</v>
      </c>
      <c r="AF28" t="s">
        <v>56</v>
      </c>
      <c r="AG28">
        <f>AG27*D15</f>
        <v>13589.427027584798</v>
      </c>
      <c r="AJ28" t="s">
        <v>56</v>
      </c>
      <c r="AK28">
        <f>AK27*D19</f>
        <v>0</v>
      </c>
    </row>
    <row r="29" spans="1:37" ht="18" thickBot="1" x14ac:dyDescent="0.25">
      <c r="A29" s="47"/>
      <c r="B29" s="5" t="s">
        <v>17</v>
      </c>
      <c r="C29" s="5">
        <v>0.75</v>
      </c>
      <c r="D29" s="26">
        <v>0.85</v>
      </c>
      <c r="E29" s="5" t="s">
        <v>23</v>
      </c>
      <c r="G29" s="25" t="s">
        <v>58</v>
      </c>
      <c r="H29" t="s">
        <v>55</v>
      </c>
      <c r="I29">
        <f>H20*G2*E8*B54</f>
        <v>9794.3682393123836</v>
      </c>
      <c r="K29" s="25" t="s">
        <v>77</v>
      </c>
      <c r="L29" t="s">
        <v>55</v>
      </c>
      <c r="M29">
        <f>H19*G2*E8*B54</f>
        <v>57950.012082598259</v>
      </c>
      <c r="O29" s="25" t="s">
        <v>17</v>
      </c>
      <c r="P29" t="s">
        <v>55</v>
      </c>
      <c r="Q29">
        <f>H18*G2*E8*B54</f>
        <v>42850.361046991675</v>
      </c>
      <c r="S29" s="25" t="s">
        <v>17</v>
      </c>
      <c r="T29" t="s">
        <v>55</v>
      </c>
      <c r="U29">
        <f>H17*G2*E8*B54</f>
        <v>37136.979574059449</v>
      </c>
      <c r="W29" s="25" t="s">
        <v>17</v>
      </c>
      <c r="X29" t="s">
        <v>55</v>
      </c>
      <c r="Y29">
        <f>H16*G2*E8*B54</f>
        <v>264447.94246143434</v>
      </c>
      <c r="AA29" s="25" t="s">
        <v>58</v>
      </c>
      <c r="AB29" t="s">
        <v>55</v>
      </c>
      <c r="AC29">
        <f>H22*G2*E8*B54</f>
        <v>402385.29516508366</v>
      </c>
      <c r="AE29" s="25" t="s">
        <v>17</v>
      </c>
      <c r="AF29" t="s">
        <v>55</v>
      </c>
      <c r="AG29">
        <f>I21*G2*E8*B54</f>
        <v>9794.3682393123836</v>
      </c>
      <c r="AI29" s="25" t="s">
        <v>17</v>
      </c>
      <c r="AJ29" t="s">
        <v>55</v>
      </c>
      <c r="AK29">
        <f>I20*G2*E8*B54</f>
        <v>0</v>
      </c>
    </row>
    <row r="30" spans="1:37" ht="18" thickBot="1" x14ac:dyDescent="0.25">
      <c r="A30" s="48"/>
      <c r="B30" s="5" t="s">
        <v>18</v>
      </c>
      <c r="C30" s="5">
        <v>0.75</v>
      </c>
      <c r="D30" s="29">
        <v>0.85</v>
      </c>
      <c r="E30" s="5" t="s">
        <v>23</v>
      </c>
      <c r="H30" t="s">
        <v>56</v>
      </c>
      <c r="I30">
        <f>I29*D21</f>
        <v>10577.917698457375</v>
      </c>
      <c r="L30" t="s">
        <v>56</v>
      </c>
      <c r="M30">
        <f>M29*D37</f>
        <v>43462.509061948695</v>
      </c>
      <c r="P30" t="s">
        <v>56</v>
      </c>
      <c r="Q30">
        <f>Q29*D33</f>
        <v>40279.33938417217</v>
      </c>
      <c r="T30" t="s">
        <v>56</v>
      </c>
      <c r="U30">
        <f>U29*D29</f>
        <v>31566.432637950529</v>
      </c>
      <c r="X30" t="s">
        <v>56</v>
      </c>
      <c r="Y30">
        <f>Y29*D25</f>
        <v>230069.70994144789</v>
      </c>
      <c r="AF30" t="s">
        <v>56</v>
      </c>
      <c r="AG30">
        <f>AG29*D17</f>
        <v>7639.6072266636593</v>
      </c>
      <c r="AJ30" t="s">
        <v>56</v>
      </c>
      <c r="AK30">
        <f>AK29*D21</f>
        <v>0</v>
      </c>
    </row>
    <row r="31" spans="1:37" ht="18" thickBot="1" x14ac:dyDescent="0.25">
      <c r="A31" s="46" t="s">
        <v>7</v>
      </c>
      <c r="B31" s="5" t="s">
        <v>14</v>
      </c>
      <c r="C31" s="5">
        <v>1.1200000000000001</v>
      </c>
      <c r="D31" s="23">
        <v>1.06</v>
      </c>
      <c r="E31" s="5" t="s">
        <v>21</v>
      </c>
      <c r="G31" s="28" t="s">
        <v>59</v>
      </c>
      <c r="H31" t="s">
        <v>55</v>
      </c>
      <c r="I31">
        <f>H20*G2*E9*B55</f>
        <v>14761.636878014209</v>
      </c>
      <c r="K31" s="28" t="s">
        <v>59</v>
      </c>
      <c r="L31" t="s">
        <v>55</v>
      </c>
      <c r="M31">
        <f>H19*G2*E9*B55</f>
        <v>87339.684861584057</v>
      </c>
      <c r="O31" s="28" t="s">
        <v>59</v>
      </c>
      <c r="P31" t="s">
        <v>55</v>
      </c>
      <c r="Q31">
        <f>H18*G2*E9*B55</f>
        <v>64582.161341312167</v>
      </c>
      <c r="S31" s="28" t="s">
        <v>59</v>
      </c>
      <c r="T31" t="s">
        <v>55</v>
      </c>
      <c r="U31">
        <f>H17*G2*E9*B55</f>
        <v>55971.206495803875</v>
      </c>
      <c r="W31" s="28" t="s">
        <v>84</v>
      </c>
      <c r="X31" t="s">
        <v>55</v>
      </c>
      <c r="Y31">
        <f>H16*G2*E9*B55</f>
        <v>398564.19570638367</v>
      </c>
      <c r="AA31" s="28" t="s">
        <v>59</v>
      </c>
      <c r="AB31" t="s">
        <v>55</v>
      </c>
      <c r="AC31">
        <f>H22*G2*E9*B55</f>
        <v>606457.24840508366</v>
      </c>
      <c r="AE31" s="28" t="s">
        <v>59</v>
      </c>
      <c r="AF31" t="s">
        <v>55</v>
      </c>
      <c r="AG31">
        <f>I21*G2*E9*B55</f>
        <v>14761.636878014209</v>
      </c>
      <c r="AI31" s="28" t="s">
        <v>59</v>
      </c>
      <c r="AJ31" t="s">
        <v>55</v>
      </c>
      <c r="AK31">
        <f>I20*G2*E9*B55</f>
        <v>0</v>
      </c>
    </row>
    <row r="32" spans="1:37" ht="18" thickBot="1" x14ac:dyDescent="0.25">
      <c r="A32" s="47"/>
      <c r="B32" s="5" t="s">
        <v>16</v>
      </c>
      <c r="C32" s="5">
        <v>0.65</v>
      </c>
      <c r="D32" s="17">
        <v>0.81</v>
      </c>
      <c r="E32" s="5" t="s">
        <v>21</v>
      </c>
      <c r="H32" t="s">
        <v>56</v>
      </c>
      <c r="I32">
        <f>I31*D22</f>
        <v>11809.309502411368</v>
      </c>
      <c r="L32" t="s">
        <v>56</v>
      </c>
      <c r="M32">
        <f>M31*D38</f>
        <v>78605.716375425647</v>
      </c>
      <c r="P32" t="s">
        <v>56</v>
      </c>
      <c r="Q32">
        <f>Q31*D34</f>
        <v>61998.87488765968</v>
      </c>
      <c r="T32" t="s">
        <v>56</v>
      </c>
      <c r="U32">
        <f>U31*D30</f>
        <v>47575.525521433294</v>
      </c>
      <c r="X32" t="s">
        <v>56</v>
      </c>
      <c r="Y32">
        <f>Y31*D26</f>
        <v>370664.70200693683</v>
      </c>
      <c r="AF32" t="s">
        <v>56</v>
      </c>
      <c r="AG32">
        <f>AG31*D18</f>
        <v>9742.6803394893777</v>
      </c>
      <c r="AJ32" t="s">
        <v>56</v>
      </c>
      <c r="AK32">
        <f>AK31*D22</f>
        <v>0</v>
      </c>
    </row>
    <row r="33" spans="1:38" ht="35" thickBot="1" x14ac:dyDescent="0.25">
      <c r="A33" s="47"/>
      <c r="B33" s="5" t="s">
        <v>17</v>
      </c>
      <c r="C33" s="5">
        <v>0.89</v>
      </c>
      <c r="D33" s="26">
        <v>0.94</v>
      </c>
      <c r="E33" s="5" t="s">
        <v>21</v>
      </c>
      <c r="G33" s="31" t="s">
        <v>65</v>
      </c>
      <c r="H33" t="s">
        <v>55</v>
      </c>
      <c r="I33">
        <f>H20*G2*E10*B56</f>
        <v>1207171.1385176003</v>
      </c>
      <c r="K33" s="32" t="s">
        <v>65</v>
      </c>
      <c r="L33" t="s">
        <v>55</v>
      </c>
      <c r="M33">
        <f>H19*G2*E10*B56</f>
        <v>7142429.2362291338</v>
      </c>
      <c r="O33" s="32" t="s">
        <v>79</v>
      </c>
      <c r="P33" t="s">
        <v>55</v>
      </c>
      <c r="Q33">
        <f>H18*G2*E10*B56</f>
        <v>5281373.7310145004</v>
      </c>
      <c r="S33" s="32" t="s">
        <v>14</v>
      </c>
      <c r="T33" t="s">
        <v>55</v>
      </c>
      <c r="U33">
        <f>H17*G2*E10*B56</f>
        <v>4577190.5668792333</v>
      </c>
      <c r="W33" s="32" t="s">
        <v>85</v>
      </c>
      <c r="X33" t="s">
        <v>55</v>
      </c>
      <c r="Y33">
        <f>H16*G2*E10*B56</f>
        <v>32593620.739975207</v>
      </c>
      <c r="AA33" s="32" t="s">
        <v>65</v>
      </c>
      <c r="AB33" t="s">
        <v>55</v>
      </c>
      <c r="AC33">
        <f>H22*G2*E10*B56</f>
        <v>49594614.274098076</v>
      </c>
      <c r="AE33" s="32" t="s">
        <v>65</v>
      </c>
      <c r="AF33" t="s">
        <v>55</v>
      </c>
      <c r="AI33" s="32" t="s">
        <v>65</v>
      </c>
      <c r="AJ33" t="s">
        <v>55</v>
      </c>
    </row>
    <row r="34" spans="1:38" ht="18" thickBot="1" x14ac:dyDescent="0.25">
      <c r="A34" s="48"/>
      <c r="B34" s="5" t="s">
        <v>18</v>
      </c>
      <c r="C34" s="5">
        <v>0.92</v>
      </c>
      <c r="D34" s="29">
        <v>0.96</v>
      </c>
      <c r="E34" s="5" t="s">
        <v>21</v>
      </c>
      <c r="H34" t="s">
        <v>56</v>
      </c>
      <c r="I34">
        <f>I33*D19</f>
        <v>1001952.0449696082</v>
      </c>
      <c r="L34" t="s">
        <v>56</v>
      </c>
      <c r="M34">
        <f>M33*D35</f>
        <v>5285397.6348095592</v>
      </c>
      <c r="P34" t="s">
        <v>56</v>
      </c>
      <c r="Q34">
        <f>Q33*D31</f>
        <v>5598256.1548753707</v>
      </c>
      <c r="T34" t="s">
        <v>56</v>
      </c>
      <c r="U34">
        <f>U33*D27</f>
        <v>3432892.925159425</v>
      </c>
      <c r="X34" t="s">
        <v>56</v>
      </c>
      <c r="Y34">
        <f>Y33*D23</f>
        <v>28356450.043778431</v>
      </c>
      <c r="AF34" t="s">
        <v>56</v>
      </c>
      <c r="AJ34" t="s">
        <v>56</v>
      </c>
    </row>
    <row r="35" spans="1:38" ht="86" thickBot="1" x14ac:dyDescent="0.25">
      <c r="A35" s="46" t="s">
        <v>8</v>
      </c>
      <c r="B35" s="5" t="s">
        <v>14</v>
      </c>
      <c r="C35" s="5">
        <v>0.62</v>
      </c>
      <c r="D35" s="23">
        <v>0.74</v>
      </c>
      <c r="E35" s="5" t="s">
        <v>24</v>
      </c>
      <c r="G35" s="7" t="s">
        <v>71</v>
      </c>
      <c r="I35" s="36">
        <f>SUM(I26,I28,I30,I32)</f>
        <v>62500.099068312687</v>
      </c>
      <c r="J35" s="20"/>
      <c r="K35" s="7" t="s">
        <v>71</v>
      </c>
      <c r="M35" s="36">
        <f>SUM(M26,M28,M30,M32)</f>
        <v>352989.02327413601</v>
      </c>
      <c r="O35" s="7" t="s">
        <v>71</v>
      </c>
      <c r="Q35" s="35">
        <f>SUM(Q26,Q28,Q30,Q32)</f>
        <v>354594.01814689348</v>
      </c>
      <c r="S35" s="7" t="s">
        <v>71</v>
      </c>
      <c r="U35" s="35">
        <f>SUM(U26,U28,U30,U32)</f>
        <v>233292.58059499855</v>
      </c>
      <c r="W35" s="7" t="s">
        <v>71</v>
      </c>
      <c r="Y35" s="35">
        <f>SUM(Y26,Y28,Y30,Y32)</f>
        <v>2120779.4245983306</v>
      </c>
      <c r="AA35" s="7" t="s">
        <v>89</v>
      </c>
      <c r="AC35" s="35">
        <f>SUM(AC25,AC27,AC29,AC31)</f>
        <v>3713069.1784933861</v>
      </c>
      <c r="AF35" s="7" t="s">
        <v>92</v>
      </c>
      <c r="AG35">
        <f>SUM(AG26,AG28,AG30,AG32)</f>
        <v>55172.023766102255</v>
      </c>
      <c r="AI35" s="7" t="s">
        <v>96</v>
      </c>
      <c r="AK35">
        <f>SUM(AK26,AK28,AK30,AK32)</f>
        <v>0</v>
      </c>
    </row>
    <row r="36" spans="1:38" ht="86" thickBot="1" x14ac:dyDescent="0.25">
      <c r="A36" s="47"/>
      <c r="B36" s="5" t="s">
        <v>16</v>
      </c>
      <c r="C36" s="5">
        <v>0.32</v>
      </c>
      <c r="D36" s="17">
        <v>0.54</v>
      </c>
      <c r="E36" s="5" t="s">
        <v>24</v>
      </c>
      <c r="AG36" s="7" t="s">
        <v>104</v>
      </c>
      <c r="AH36" s="7" t="s">
        <v>105</v>
      </c>
      <c r="AK36" s="7" t="s">
        <v>107</v>
      </c>
      <c r="AL36" s="7" t="s">
        <v>108</v>
      </c>
    </row>
    <row r="37" spans="1:38" ht="154" thickBot="1" x14ac:dyDescent="0.25">
      <c r="A37" s="47"/>
      <c r="B37" s="5" t="s">
        <v>17</v>
      </c>
      <c r="C37" s="5">
        <v>0.64</v>
      </c>
      <c r="D37" s="26">
        <v>0.75</v>
      </c>
      <c r="E37" s="5" t="s">
        <v>24</v>
      </c>
      <c r="G37" s="7" t="s">
        <v>75</v>
      </c>
      <c r="I37" s="35">
        <f>M20*H20*G2</f>
        <v>2649834.4262152091</v>
      </c>
      <c r="K37" s="7" t="s">
        <v>78</v>
      </c>
      <c r="M37" s="35">
        <f>M19*H19*G2</f>
        <v>1084796.367022892</v>
      </c>
      <c r="O37" s="7" t="s">
        <v>80</v>
      </c>
      <c r="Q37" s="35">
        <f>M18*H18*G2</f>
        <v>1060922.2683991278</v>
      </c>
      <c r="S37" s="7" t="s">
        <v>82</v>
      </c>
      <c r="U37" s="35">
        <f>M17*H17*G2</f>
        <v>720792.62812222843</v>
      </c>
      <c r="W37" s="7" t="s">
        <v>86</v>
      </c>
      <c r="Y37" s="35">
        <f>M16*H16*G2</f>
        <v>1035751.0323418436</v>
      </c>
      <c r="AA37" s="7" t="s">
        <v>90</v>
      </c>
      <c r="AC37">
        <v>0</v>
      </c>
      <c r="AF37" s="7" t="s">
        <v>95</v>
      </c>
      <c r="AG37">
        <f>M21*I21*G2</f>
        <v>1383999.1430952961</v>
      </c>
      <c r="AH37">
        <f>N21*G2*I21</f>
        <v>691999.57154764794</v>
      </c>
      <c r="AI37" s="7" t="s">
        <v>97</v>
      </c>
      <c r="AK37">
        <f>M20*I20*G2</f>
        <v>0</v>
      </c>
      <c r="AL37" s="35">
        <f>N20*G2*I20</f>
        <v>0</v>
      </c>
    </row>
    <row r="38" spans="1:38" ht="137" thickBot="1" x14ac:dyDescent="0.25">
      <c r="A38" s="48"/>
      <c r="B38" s="5" t="s">
        <v>18</v>
      </c>
      <c r="C38" s="5">
        <v>0.86</v>
      </c>
      <c r="D38" s="29">
        <v>0.9</v>
      </c>
      <c r="E38" s="5" t="s">
        <v>24</v>
      </c>
      <c r="G38" s="7" t="s">
        <v>74</v>
      </c>
      <c r="I38" s="35">
        <f>SUM(I35,I37)</f>
        <v>2712334.525283522</v>
      </c>
      <c r="M38" s="35">
        <f>SUM(M35,M37)</f>
        <v>1437785.390297028</v>
      </c>
      <c r="Q38" s="35">
        <f>SUM(Q35,Q37)</f>
        <v>1415516.2865460212</v>
      </c>
      <c r="U38" s="35">
        <f>SUM(U35,U37)</f>
        <v>954085.20871722698</v>
      </c>
      <c r="Y38" s="35">
        <f>SUM(Y35,Y37)</f>
        <v>3156530.4569401741</v>
      </c>
      <c r="AC38" s="35">
        <f>SUM(AC35,AC37)</f>
        <v>3713069.1784933861</v>
      </c>
      <c r="AG38">
        <f>SUM(AG35,AG37)</f>
        <v>1439171.1668613984</v>
      </c>
      <c r="AH38" s="35">
        <f>SUM(AG35,AH37)</f>
        <v>747171.59531375021</v>
      </c>
      <c r="AK38">
        <f>SUM(AK35,AK37)</f>
        <v>0</v>
      </c>
      <c r="AL38" s="35">
        <f>SUM(AK35,AL37)</f>
        <v>0</v>
      </c>
    </row>
    <row r="39" spans="1:38" x14ac:dyDescent="0.2">
      <c r="A39" s="9"/>
      <c r="F39" t="s">
        <v>110</v>
      </c>
      <c r="I39" t="s">
        <v>98</v>
      </c>
      <c r="J39" t="s">
        <v>99</v>
      </c>
      <c r="K39" t="s">
        <v>100</v>
      </c>
    </row>
    <row r="40" spans="1:38" ht="35" thickBot="1" x14ac:dyDescent="0.25">
      <c r="A40" s="10" t="s">
        <v>25</v>
      </c>
      <c r="G40" s="7" t="s">
        <v>101</v>
      </c>
      <c r="I40" s="37">
        <f>SUM(I38,M38,Q38,U38,Y38,AC38)</f>
        <v>13389321.046277359</v>
      </c>
      <c r="J40" s="37">
        <f>SUM(M38,Q38,U38,Y38,AC38,AG38,AK38)</f>
        <v>12116157.687855234</v>
      </c>
    </row>
    <row r="41" spans="1:38" ht="35" thickBot="1" x14ac:dyDescent="0.25">
      <c r="A41" s="1" t="s">
        <v>26</v>
      </c>
      <c r="B41" s="2" t="s">
        <v>27</v>
      </c>
      <c r="C41" s="2" t="s">
        <v>36</v>
      </c>
      <c r="D41" s="2" t="s">
        <v>28</v>
      </c>
      <c r="E41" s="2" t="s">
        <v>1</v>
      </c>
      <c r="G41" s="41" t="s">
        <v>91</v>
      </c>
      <c r="I41" s="37">
        <f>I40/12/E2</f>
        <v>15.496899359117315</v>
      </c>
      <c r="J41" s="37">
        <f>J40/12/E2</f>
        <v>14.023330657239855</v>
      </c>
      <c r="K41" s="37">
        <f>J41-I41</f>
        <v>-1.4735687018774595</v>
      </c>
    </row>
    <row r="42" spans="1:38" ht="120" thickBot="1" x14ac:dyDescent="0.25">
      <c r="A42" s="3" t="s">
        <v>29</v>
      </c>
      <c r="B42" s="5">
        <v>1721</v>
      </c>
      <c r="C42" s="5">
        <v>59.1</v>
      </c>
      <c r="D42" s="5">
        <v>1017</v>
      </c>
      <c r="E42" s="5" t="s">
        <v>30</v>
      </c>
      <c r="G42" s="7" t="s">
        <v>102</v>
      </c>
      <c r="I42" s="37">
        <f>I40</f>
        <v>13389321.046277359</v>
      </c>
      <c r="J42" s="37">
        <f>SUM(M38,Q38,U38,Y38,AC38,AH38,AK38)</f>
        <v>11424158.116307586</v>
      </c>
    </row>
    <row r="43" spans="1:38" ht="35" thickBot="1" x14ac:dyDescent="0.25">
      <c r="A43" s="3" t="s">
        <v>31</v>
      </c>
      <c r="B43" s="5">
        <v>3294.7</v>
      </c>
      <c r="C43" s="5">
        <v>59.1</v>
      </c>
      <c r="D43" s="5">
        <v>1947.17</v>
      </c>
      <c r="E43" s="5" t="s">
        <v>122</v>
      </c>
      <c r="G43" s="7" t="s">
        <v>91</v>
      </c>
      <c r="I43" s="37">
        <f>I42/12/E2</f>
        <v>15.496899359117315</v>
      </c>
      <c r="J43" s="37">
        <f>J42/12/E2</f>
        <v>13.222405227207854</v>
      </c>
      <c r="K43" s="37">
        <f>J43-I43</f>
        <v>-2.27449413190946</v>
      </c>
    </row>
    <row r="44" spans="1:38" ht="69" thickBot="1" x14ac:dyDescent="0.25">
      <c r="A44" s="3" t="s">
        <v>32</v>
      </c>
      <c r="B44" s="5">
        <v>80.31</v>
      </c>
      <c r="C44" s="5">
        <v>35.1</v>
      </c>
      <c r="D44" s="5">
        <f>B44*0.351</f>
        <v>28.18881</v>
      </c>
      <c r="E44" s="5" t="s">
        <v>122</v>
      </c>
      <c r="F44" s="7" t="s">
        <v>109</v>
      </c>
      <c r="I44" t="s">
        <v>98</v>
      </c>
      <c r="J44" t="s">
        <v>99</v>
      </c>
    </row>
    <row r="45" spans="1:38" ht="69" thickBot="1" x14ac:dyDescent="0.25">
      <c r="A45" s="3" t="s">
        <v>33</v>
      </c>
      <c r="B45" s="5">
        <v>229</v>
      </c>
      <c r="C45" s="5">
        <v>61</v>
      </c>
      <c r="D45" s="5">
        <v>139.69</v>
      </c>
      <c r="E45" s="5" t="s">
        <v>122</v>
      </c>
      <c r="G45" s="7" t="s">
        <v>101</v>
      </c>
      <c r="I45" s="37">
        <f>I40</f>
        <v>13389321.046277359</v>
      </c>
      <c r="J45" s="37">
        <f>J40</f>
        <v>12116157.687855234</v>
      </c>
      <c r="K45" s="37">
        <f>J45-I45</f>
        <v>-1273163.3584221248</v>
      </c>
    </row>
    <row r="46" spans="1:38" ht="35" thickBot="1" x14ac:dyDescent="0.25">
      <c r="A46" s="3" t="s">
        <v>34</v>
      </c>
      <c r="B46" s="5">
        <v>330.6</v>
      </c>
      <c r="C46" s="5">
        <v>53.9</v>
      </c>
      <c r="D46" s="5">
        <v>178.19300000000001</v>
      </c>
      <c r="E46" s="5" t="s">
        <v>122</v>
      </c>
      <c r="G46" s="7" t="s">
        <v>91</v>
      </c>
      <c r="I46" s="37">
        <f>I41</f>
        <v>15.496899359117315</v>
      </c>
      <c r="J46" s="37">
        <f>J41</f>
        <v>14.023330657239855</v>
      </c>
      <c r="K46" s="37">
        <f>J46-I46</f>
        <v>-1.4735687018774595</v>
      </c>
    </row>
    <row r="47" spans="1:38" ht="103" thickBot="1" x14ac:dyDescent="0.25">
      <c r="A47" s="3" t="s">
        <v>35</v>
      </c>
      <c r="B47" s="5">
        <f>1183.55/6</f>
        <v>197.25833333333333</v>
      </c>
      <c r="C47" s="5">
        <v>68.3</v>
      </c>
      <c r="D47" s="5">
        <f>808.365/6</f>
        <v>134.72749999999999</v>
      </c>
      <c r="E47" s="5" t="s">
        <v>122</v>
      </c>
      <c r="G47" s="7" t="s">
        <v>106</v>
      </c>
      <c r="I47" s="37">
        <f>I45</f>
        <v>13389321.046277359</v>
      </c>
      <c r="J47" s="37">
        <f>SUM(M38,Q38,U38,Y38,AC38,AH38,AL38)</f>
        <v>11424158.116307586</v>
      </c>
    </row>
    <row r="48" spans="1:38" ht="17" x14ac:dyDescent="0.2">
      <c r="G48" s="7" t="s">
        <v>91</v>
      </c>
      <c r="I48" s="37">
        <f>I47/12/E2</f>
        <v>15.496899359117315</v>
      </c>
      <c r="J48" s="37">
        <f>J47/12/E2</f>
        <v>13.222405227207854</v>
      </c>
      <c r="K48" s="37">
        <f>J48-I48</f>
        <v>-2.27449413190946</v>
      </c>
    </row>
    <row r="49" spans="1:3" ht="52" thickBot="1" x14ac:dyDescent="0.25">
      <c r="A49" s="8" t="s">
        <v>37</v>
      </c>
    </row>
    <row r="50" spans="1:3" ht="18" thickBot="1" x14ac:dyDescent="0.25">
      <c r="A50" s="1" t="s">
        <v>38</v>
      </c>
      <c r="B50" s="2" t="s">
        <v>49</v>
      </c>
      <c r="C50" s="2" t="s">
        <v>1</v>
      </c>
    </row>
    <row r="51" spans="1:3" ht="35" thickBot="1" x14ac:dyDescent="0.25">
      <c r="A51" s="3" t="s">
        <v>39</v>
      </c>
      <c r="B51" s="22">
        <v>32687</v>
      </c>
      <c r="C51" s="5" t="s">
        <v>40</v>
      </c>
    </row>
    <row r="52" spans="1:3" ht="52" thickBot="1" x14ac:dyDescent="0.25">
      <c r="A52" s="3" t="s">
        <v>41</v>
      </c>
      <c r="B52" s="11">
        <v>18820</v>
      </c>
      <c r="C52" s="5" t="s">
        <v>42</v>
      </c>
    </row>
    <row r="53" spans="1:3" ht="35" thickBot="1" x14ac:dyDescent="0.25">
      <c r="A53" s="3" t="s">
        <v>43</v>
      </c>
      <c r="B53" s="18">
        <v>14717</v>
      </c>
      <c r="C53" s="5" t="s">
        <v>40</v>
      </c>
    </row>
    <row r="54" spans="1:3" ht="35" thickBot="1" x14ac:dyDescent="0.25">
      <c r="A54" s="3" t="s">
        <v>44</v>
      </c>
      <c r="B54" s="27">
        <v>6169</v>
      </c>
      <c r="C54" s="5" t="s">
        <v>45</v>
      </c>
    </row>
    <row r="55" spans="1:3" ht="52" thickBot="1" x14ac:dyDescent="0.25">
      <c r="A55" s="3" t="s">
        <v>46</v>
      </c>
      <c r="B55" s="30">
        <v>14463</v>
      </c>
      <c r="C55" s="5" t="s">
        <v>40</v>
      </c>
    </row>
    <row r="56" spans="1:3" ht="35" thickBot="1" x14ac:dyDescent="0.25">
      <c r="A56" s="3" t="s">
        <v>47</v>
      </c>
      <c r="B56" s="33">
        <v>87252</v>
      </c>
      <c r="C56" s="5" t="s">
        <v>48</v>
      </c>
    </row>
  </sheetData>
  <mergeCells count="6">
    <mergeCell ref="A35:A38"/>
    <mergeCell ref="A15:A18"/>
    <mergeCell ref="A19:A22"/>
    <mergeCell ref="A23:A26"/>
    <mergeCell ref="A27:A30"/>
    <mergeCell ref="A31:A34"/>
  </mergeCells>
  <hyperlinks>
    <hyperlink ref="A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G16" sqref="G16"/>
    </sheetView>
  </sheetViews>
  <sheetFormatPr baseColWidth="10" defaultRowHeight="16" x14ac:dyDescent="0.2"/>
  <sheetData>
    <row r="1" spans="1:3" x14ac:dyDescent="0.2">
      <c r="A1" t="s">
        <v>66</v>
      </c>
      <c r="B1" t="s">
        <v>67</v>
      </c>
      <c r="C1" t="s">
        <v>68</v>
      </c>
    </row>
    <row r="2" spans="1:3" x14ac:dyDescent="0.2">
      <c r="A2" s="6">
        <v>650000</v>
      </c>
      <c r="B2" s="4">
        <v>0.17219999999999999</v>
      </c>
      <c r="C2" s="4">
        <v>0.154</v>
      </c>
    </row>
    <row r="5" spans="1:3" x14ac:dyDescent="0.2">
      <c r="A5" s="34" t="s">
        <v>69</v>
      </c>
      <c r="B5">
        <f>A2*0.1722*0.154</f>
        <v>17237.22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PFHP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Kaiser</dc:creator>
  <cp:lastModifiedBy>Jenny Kaiser</cp:lastModifiedBy>
  <dcterms:created xsi:type="dcterms:W3CDTF">2018-12-26T23:17:42Z</dcterms:created>
  <dcterms:modified xsi:type="dcterms:W3CDTF">2019-01-08T06:54:37Z</dcterms:modified>
</cp:coreProperties>
</file>