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广发金工\课题1 主动基金业绩比较基准选择研究\20210301\"/>
    </mc:Choice>
  </mc:AlternateContent>
  <xr:revisionPtr revIDLastSave="0" documentId="13_ncr:1_{99B8BF6A-F6C5-4152-9210-077061946F5D}" xr6:coauthVersionLast="46" xr6:coauthVersionMax="46" xr10:uidLastSave="{00000000-0000-0000-0000-000000000000}"/>
  <bookViews>
    <workbookView xWindow="-98" yWindow="-98" windowWidth="19396" windowHeight="10395" tabRatio="815" firstSheet="1" activeTab="1" xr2:uid="{7C6DE0D3-BBD0-4E63-805E-746D1C53889B}"/>
  </bookViews>
  <sheets>
    <sheet name="中国基金分类情况统计" sheetId="1" r:id="rId1"/>
    <sheet name="基金二级分类业绩评价基准-股指基准和债指基准统计" sheetId="2" r:id="rId2"/>
    <sheet name="基金二级分类业绩评价基准-统计" sheetId="6" r:id="rId3"/>
    <sheet name="基金一级分类业绩评价基准-股指基准和债指基准统计" sheetId="3" r:id="rId4"/>
    <sheet name="基金一级分类业绩评价基准-组成部分分组" sheetId="7" r:id="rId5"/>
    <sheet name="基金行业主题分类业绩评价基准-股指基准和债指基准统计" sheetId="4" r:id="rId6"/>
    <sheet name="Sheet1" sheetId="5" r:id="rId7"/>
  </sheets>
  <externalReferences>
    <externalReference r:id="rId8"/>
  </externalReferences>
  <definedNames>
    <definedName name="_xlnm._FilterDatabase" localSheetId="5" hidden="1">'基金行业主题分类业绩评价基准-股指基准和债指基准统计'!$W$12:$Y$23</definedName>
    <definedName name="_xlnm._FilterDatabase" localSheetId="0" hidden="1">中国基金分类情况统计!$G$1:$H$1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C7" i="2"/>
  <c r="D2" i="2"/>
  <c r="C2" i="2"/>
  <c r="C17" i="7"/>
  <c r="C18" i="7"/>
  <c r="C14" i="7"/>
  <c r="C13" i="7"/>
  <c r="C9" i="7"/>
  <c r="C7" i="7"/>
  <c r="F3" i="6"/>
  <c r="E3" i="6"/>
  <c r="C3" i="6"/>
  <c r="B3" i="6"/>
  <c r="V59" i="4"/>
  <c r="U59" i="4"/>
  <c r="Y52" i="4"/>
  <c r="V49" i="4"/>
  <c r="V48" i="4"/>
  <c r="Y39" i="4"/>
  <c r="Y38" i="4"/>
  <c r="X38" i="4"/>
  <c r="Y37" i="4"/>
  <c r="X37" i="4"/>
  <c r="Y36" i="4"/>
  <c r="X36" i="4"/>
  <c r="V36" i="4"/>
  <c r="U36" i="4"/>
  <c r="Y28" i="4"/>
  <c r="X28" i="4"/>
  <c r="Y26" i="4"/>
  <c r="X26" i="4"/>
  <c r="Y25" i="4"/>
  <c r="X25" i="4"/>
  <c r="Y18" i="4"/>
  <c r="X18" i="4"/>
  <c r="Y16" i="4"/>
  <c r="X16" i="4"/>
  <c r="Y14" i="4"/>
  <c r="X14" i="4"/>
  <c r="Y13" i="4"/>
  <c r="X13" i="4"/>
  <c r="V13" i="4"/>
  <c r="U13" i="4"/>
  <c r="V5" i="4"/>
  <c r="U5" i="4"/>
  <c r="Y4" i="4"/>
  <c r="X4" i="4"/>
  <c r="V4" i="4"/>
  <c r="Y2" i="4"/>
  <c r="X2" i="4"/>
  <c r="V2" i="4"/>
  <c r="U2" i="4"/>
  <c r="C59" i="5"/>
  <c r="B59" i="5"/>
  <c r="F52" i="5"/>
  <c r="C48" i="5"/>
  <c r="C49" i="5"/>
  <c r="F39" i="5"/>
  <c r="F38" i="5"/>
  <c r="E38" i="5"/>
  <c r="F37" i="5"/>
  <c r="E37" i="5"/>
  <c r="F36" i="5"/>
  <c r="E36" i="5"/>
  <c r="C36" i="5"/>
  <c r="B36" i="5"/>
  <c r="F28" i="5"/>
  <c r="E28" i="5"/>
  <c r="F26" i="5"/>
  <c r="E26" i="5"/>
  <c r="F25" i="5"/>
  <c r="E25" i="5"/>
  <c r="F19" i="5"/>
  <c r="E19" i="5"/>
  <c r="F13" i="5"/>
  <c r="E13" i="5"/>
  <c r="F18" i="5"/>
  <c r="E18" i="5"/>
  <c r="F14" i="5"/>
  <c r="E14" i="5"/>
  <c r="C13" i="5"/>
  <c r="B13" i="5"/>
  <c r="F4" i="5"/>
  <c r="E4" i="5"/>
  <c r="F2" i="5"/>
  <c r="E2" i="5"/>
  <c r="C5" i="5"/>
  <c r="B5" i="5"/>
  <c r="C4" i="5"/>
  <c r="C2" i="5"/>
  <c r="B2" i="5"/>
  <c r="I3" i="1"/>
  <c r="I4" i="1"/>
  <c r="I5" i="1"/>
  <c r="I6" i="1"/>
  <c r="I7" i="1"/>
  <c r="I8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<sst xmlns="http://schemas.openxmlformats.org/spreadsheetml/2006/main" count="868" uniqueCount="290">
  <si>
    <t>所选股指</t>
  </si>
  <si>
    <t>基准对应的基金数目</t>
  </si>
  <si>
    <t>所选股指比例平均数</t>
  </si>
  <si>
    <t>所选债指</t>
  </si>
  <si>
    <t>所选债指比例平均数</t>
  </si>
  <si>
    <t>沪深300指数收益率</t>
  </si>
  <si>
    <t>上证国债指数收益率</t>
  </si>
  <si>
    <t>中证800指数收益率</t>
  </si>
  <si>
    <t>中债综合指数收益率</t>
  </si>
  <si>
    <t>沪深300指数</t>
  </si>
  <si>
    <t>中证全债指数收益率</t>
  </si>
  <si>
    <t>中证500指数收益率</t>
  </si>
  <si>
    <t>中证综合债指数收益率</t>
  </si>
  <si>
    <t>中国战略新兴产业成份指数收益率</t>
  </si>
  <si>
    <t>中债综合全价指数收益率</t>
  </si>
  <si>
    <t>中证医药卫生指数收益率</t>
  </si>
  <si>
    <t>中证综合债券指数收益率</t>
  </si>
  <si>
    <t>中证内地消费主题指数收益率</t>
  </si>
  <si>
    <t>上证国债指数</t>
  </si>
  <si>
    <t>中证700指数收益率</t>
  </si>
  <si>
    <t>中债综合财富指数收益率</t>
  </si>
  <si>
    <t>中证红利指数收益率</t>
  </si>
  <si>
    <t>中证全债指数</t>
  </si>
  <si>
    <t>中证新兴产业指数收益率</t>
  </si>
  <si>
    <t>中债综合全价(总值)指数收益率</t>
  </si>
  <si>
    <t>恒生指数收益率(使用估值汇率折算)</t>
  </si>
  <si>
    <t>中债综合财富(总值)指数收益率</t>
  </si>
  <si>
    <t>中证TMT产业主题指数收益率</t>
  </si>
  <si>
    <t>银行活期存款利率(税后)</t>
  </si>
  <si>
    <t>中国债券总指数收益率</t>
  </si>
  <si>
    <t>创业板指数收益率</t>
  </si>
  <si>
    <t>中证港股通综合指数收益率</t>
  </si>
  <si>
    <t>申银万国制造业指数收益率</t>
  </si>
  <si>
    <t>恒生指数收益率</t>
  </si>
  <si>
    <t>中债总指数收益率</t>
  </si>
  <si>
    <t>中债总指数(全价)收益率</t>
  </si>
  <si>
    <t>中债总全价指数收益率</t>
  </si>
  <si>
    <t>所选基金二级分类类型：偏股混合型、灵活配置型、普通股票型、偏债混合型、股票多空型</t>
    <phoneticPr fontId="2" type="noConversion"/>
  </si>
  <si>
    <t>行标签</t>
  </si>
  <si>
    <t>计数项:证券代码</t>
  </si>
  <si>
    <t>REITs</t>
  </si>
  <si>
    <t>被动指数型基金</t>
  </si>
  <si>
    <t>被动指数型债券基金</t>
  </si>
  <si>
    <t>短期纯债型基金</t>
  </si>
  <si>
    <t>股票多空</t>
  </si>
  <si>
    <t>混合债券型二级基金</t>
  </si>
  <si>
    <t>混合债券型一级基金</t>
  </si>
  <si>
    <t>灵活配置型基金</t>
  </si>
  <si>
    <t>偏股混合型基金</t>
  </si>
  <si>
    <t>偏债混合型基金</t>
  </si>
  <si>
    <t>平衡混合型基金</t>
  </si>
  <si>
    <t>普通股票型基金</t>
  </si>
  <si>
    <t>商品型基金</t>
  </si>
  <si>
    <t>增强指数型基金</t>
  </si>
  <si>
    <t>增强指数型债券基金</t>
  </si>
  <si>
    <t>中长期纯债型基金</t>
  </si>
  <si>
    <t>股票型基金</t>
  </si>
  <si>
    <t>国际(QDII)基金</t>
  </si>
  <si>
    <t>混合型基金</t>
  </si>
  <si>
    <t>货币市场型基金</t>
  </si>
  <si>
    <t>另类投资基金</t>
  </si>
  <si>
    <t>债券型基金</t>
  </si>
  <si>
    <t>国际(QDII)股票型基金</t>
  </si>
  <si>
    <t>国际(QDII)混合型基金</t>
  </si>
  <si>
    <t>国际(QDII)另类投资基金</t>
  </si>
  <si>
    <t>国际(QDII)债券型基金</t>
  </si>
  <si>
    <t>求和项:计数项:证券代码</t>
  </si>
  <si>
    <t>半导体行业主题基金</t>
  </si>
  <si>
    <t>包装行业主题基金</t>
  </si>
  <si>
    <t>保险行业主题基金</t>
  </si>
  <si>
    <t>餐饮旅游行业主题基金</t>
  </si>
  <si>
    <t>电工电网行业主题基金</t>
  </si>
  <si>
    <t>电力行业主题基金</t>
  </si>
  <si>
    <t>电脑硬件行业主题基金</t>
  </si>
  <si>
    <t>电子元器件行业主题基金</t>
  </si>
  <si>
    <t>发电设备行业主题基金</t>
  </si>
  <si>
    <t>房地产行业主题基金</t>
  </si>
  <si>
    <t>纺织服装行业主题基金</t>
  </si>
  <si>
    <t>钢铁行业主题基金</t>
  </si>
  <si>
    <t>工程机械行业主题基金</t>
  </si>
  <si>
    <t>工业机械行业主题基金</t>
  </si>
  <si>
    <t>贵金属行业主题基金</t>
  </si>
  <si>
    <t>航空行业主题基金</t>
  </si>
  <si>
    <t>航天军工行业主题基金</t>
  </si>
  <si>
    <t>互联网行业主题基金</t>
  </si>
  <si>
    <t>化肥农药行业主题基金</t>
  </si>
  <si>
    <t>化工原料行业主题基金</t>
  </si>
  <si>
    <t>环保行业主题基金</t>
  </si>
  <si>
    <t>机场行业主题基金</t>
  </si>
  <si>
    <t>基本金属行业主题基金</t>
  </si>
  <si>
    <t>家居用品行业主题基金</t>
  </si>
  <si>
    <t>家用电器行业主题基金</t>
  </si>
  <si>
    <t>建材行业主题基金</t>
  </si>
  <si>
    <t>建筑行业主题基金</t>
  </si>
  <si>
    <t>精细化工行业主题基金</t>
  </si>
  <si>
    <t>酒类行业主题基金</t>
  </si>
  <si>
    <t>零售行业主题基金</t>
  </si>
  <si>
    <t>煤炭行业主题基金</t>
  </si>
  <si>
    <t>农业行业主题基金</t>
  </si>
  <si>
    <t>汽车行业主题基金</t>
  </si>
  <si>
    <t>汽车零部件行业主题基金</t>
  </si>
  <si>
    <t>券商行业主题基金</t>
  </si>
  <si>
    <t>日用化工行业主题基金</t>
  </si>
  <si>
    <t>软件行业主题基金</t>
  </si>
  <si>
    <t>商业服务行业主题基金</t>
  </si>
  <si>
    <t>生物科技行业主题基金</t>
  </si>
  <si>
    <t>食品行业主题基金</t>
  </si>
  <si>
    <t>通信设备行业主题基金</t>
  </si>
  <si>
    <t>文化传媒行业主题基金</t>
  </si>
  <si>
    <t>医疗保健行业主题基金</t>
  </si>
  <si>
    <t>银行行业主题基金</t>
  </si>
  <si>
    <t>制药行业主题基金</t>
  </si>
  <si>
    <t>重型机械行业主题基金</t>
  </si>
  <si>
    <t>中证100指数收益率</t>
  </si>
  <si>
    <t>中证主要消费指数收益率</t>
  </si>
  <si>
    <t>中证服务业指数收益率</t>
  </si>
  <si>
    <t>中证100指数</t>
  </si>
  <si>
    <t>中证内地消费主题指数</t>
  </si>
  <si>
    <t>中证食品饮料指数收益率</t>
  </si>
  <si>
    <t>同期一年期银行定期存款利率</t>
  </si>
  <si>
    <t>申银万国消费品指数</t>
  </si>
  <si>
    <t>中证红利潜力指数收益率</t>
  </si>
  <si>
    <t>中证四川国企改革指数收益率</t>
  </si>
  <si>
    <t>一年期人民币定期存款利率(税后)</t>
  </si>
  <si>
    <t>富时中国A50指数收益率</t>
  </si>
  <si>
    <t>酒类行业股指基准</t>
    <phoneticPr fontId="5" type="noConversion"/>
  </si>
  <si>
    <t>中证综合债券指数</t>
  </si>
  <si>
    <t>银行同业存款利率</t>
  </si>
  <si>
    <t>活期存款利率(税后)</t>
  </si>
  <si>
    <t>银行人民币活期存款利率(税后)</t>
  </si>
  <si>
    <t>酒类行业债指基准</t>
    <phoneticPr fontId="5" type="noConversion"/>
  </si>
  <si>
    <t>人民币活期存款利率(税后)</t>
  </si>
  <si>
    <t>中债综合指数</t>
  </si>
  <si>
    <t>电子元器件行业债指基准</t>
    <phoneticPr fontId="5" type="noConversion"/>
  </si>
  <si>
    <t>中证人工智能主题指数收益率</t>
  </si>
  <si>
    <t>中证全指指数收益率</t>
  </si>
  <si>
    <t>中证信息技术指数收益率</t>
  </si>
  <si>
    <t>中证全指信息技术指数收益率</t>
  </si>
  <si>
    <t>中证军工指数收益率</t>
  </si>
  <si>
    <t>中证科技100指数收益率</t>
  </si>
  <si>
    <t>中证人工智能产业指数收益率</t>
  </si>
  <si>
    <t>中小板指数收益率</t>
  </si>
  <si>
    <t>申银万国制造业指数</t>
  </si>
  <si>
    <t>申万国防军工指数收益率</t>
  </si>
  <si>
    <t>中证移动互联网指数收益率</t>
  </si>
  <si>
    <t>电子元器件行业股指基准</t>
    <phoneticPr fontId="5" type="noConversion"/>
  </si>
  <si>
    <t>中证新能源汽车指数收益率</t>
  </si>
  <si>
    <t>创业板50指数收益率</t>
  </si>
  <si>
    <t>中证环保产业指数收益率</t>
  </si>
  <si>
    <t>中证新能源汽车产业指数收益率</t>
  </si>
  <si>
    <t>中证新能源指数收益率</t>
  </si>
  <si>
    <t>中证内地低碳经济主题指数收益率</t>
  </si>
  <si>
    <t>创业板动量成长指数收益率</t>
  </si>
  <si>
    <t>创业板指数</t>
  </si>
  <si>
    <t>创业板大盘指数收益率</t>
  </si>
  <si>
    <t>中证装备产业指数</t>
  </si>
  <si>
    <t>中证深圳科技创新主题指数收益率</t>
  </si>
  <si>
    <t>中证全指一级行业能源指数收益率</t>
  </si>
  <si>
    <t>富时中国A600周期行业指数</t>
  </si>
  <si>
    <t>国证新能源汽车指数收益率</t>
  </si>
  <si>
    <t>电工电网行业股指基准</t>
    <phoneticPr fontId="5" type="noConversion"/>
  </si>
  <si>
    <t>中债综合指数收益率(全价)</t>
  </si>
  <si>
    <t>银行活期存款利率</t>
  </si>
  <si>
    <t>标普中国债券指数收益率</t>
  </si>
  <si>
    <t>人民币银行活期存款利率(税后)</t>
  </si>
  <si>
    <t>恒生工业行业指数收益率(使用估值汇率折算)</t>
  </si>
  <si>
    <t>商业银行活期存款利率(税后)</t>
  </si>
  <si>
    <t>电工电网行业债指基准</t>
    <phoneticPr fontId="5" type="noConversion"/>
  </si>
  <si>
    <t>半导体行业股指基准</t>
    <phoneticPr fontId="5" type="noConversion"/>
  </si>
  <si>
    <t>半导体行业债指基准</t>
    <phoneticPr fontId="5" type="noConversion"/>
  </si>
  <si>
    <t>中证5G通信主题指数收益率</t>
  </si>
  <si>
    <t>国证半导体芯片指数收益率</t>
  </si>
  <si>
    <t>中证高端装备制造指数收益率</t>
  </si>
  <si>
    <t>中华交易服务半导体芯片行业指数收益率</t>
  </si>
  <si>
    <t>中证工业4.0指数收益率</t>
  </si>
  <si>
    <t>中证全指半导体产品与设备指数收益率</t>
  </si>
  <si>
    <t>中证工业指数收益率</t>
  </si>
  <si>
    <t>中证中财沪深100ESG领先指数收益率</t>
  </si>
  <si>
    <t>天相小市值指数</t>
  </si>
  <si>
    <t>一年期人民币定期存款基准利率(税后)</t>
  </si>
  <si>
    <t>同业存款利率(税后)</t>
  </si>
  <si>
    <t>中债总财富指数收益率</t>
  </si>
  <si>
    <t>2%</t>
  </si>
  <si>
    <t>中证港股通TMT主题指数收益率</t>
  </si>
  <si>
    <t>生物科技行业股指基准</t>
    <phoneticPr fontId="5" type="noConversion"/>
  </si>
  <si>
    <t>生物科技行业债指基准</t>
    <phoneticPr fontId="5" type="noConversion"/>
  </si>
  <si>
    <t>中证全指医药卫生指数收益率</t>
  </si>
  <si>
    <t>申万医药生物行业指数收益率</t>
  </si>
  <si>
    <t>中证医药卫生指数</t>
  </si>
  <si>
    <t>中证细分医药产业主题指数收益率</t>
  </si>
  <si>
    <t>中证生物医药指数收益率</t>
  </si>
  <si>
    <t>中证医药100指数收益率</t>
  </si>
  <si>
    <t>中证精准医疗主题指数收益率</t>
  </si>
  <si>
    <t>中证生物科技主题指数收益率</t>
  </si>
  <si>
    <t>中证医药指数收益率</t>
  </si>
  <si>
    <t>沪深300医药卫生指数收益率</t>
  </si>
  <si>
    <t>沪深300医药卫生指数</t>
  </si>
  <si>
    <t>国证生物医药指数收益率</t>
  </si>
  <si>
    <t>国证医药卫生行业指数收益率</t>
  </si>
  <si>
    <t>中证消费指数收益率</t>
  </si>
  <si>
    <t>中证申万医药生物指数收益率</t>
  </si>
  <si>
    <t>中债总财富(总值)指数收益率</t>
  </si>
  <si>
    <t>恒生医疗保健指数收益率</t>
  </si>
  <si>
    <t>商业银行人民币活期存款利率(税后)</t>
  </si>
  <si>
    <t>中债综合指数(全价)收益率</t>
  </si>
  <si>
    <r>
      <t>酒类行业（</t>
    </r>
    <r>
      <rPr>
        <sz val="10.5"/>
        <color theme="1"/>
        <rFont val="Arial"/>
        <family val="2"/>
      </rPr>
      <t>470/19.5%</t>
    </r>
    <r>
      <rPr>
        <sz val="10.5"/>
        <color theme="1"/>
        <rFont val="楷体_GB2312"/>
        <family val="3"/>
        <charset val="134"/>
      </rPr>
      <t>）、电子元器件行业（</t>
    </r>
    <r>
      <rPr>
        <sz val="10.5"/>
        <color theme="1"/>
        <rFont val="Arial"/>
        <family val="2"/>
      </rPr>
      <t>381/15.8%</t>
    </r>
    <r>
      <rPr>
        <sz val="10.5"/>
        <color theme="1"/>
        <rFont val="楷体_GB2312"/>
        <family val="3"/>
        <charset val="134"/>
      </rPr>
      <t>）、电工电网行业（</t>
    </r>
    <r>
      <rPr>
        <sz val="10.5"/>
        <color theme="1"/>
        <rFont val="Arial"/>
        <family val="2"/>
      </rPr>
      <t>183/7.6%</t>
    </r>
    <r>
      <rPr>
        <sz val="10.5"/>
        <color theme="1"/>
        <rFont val="楷体_GB2312"/>
        <family val="3"/>
        <charset val="134"/>
      </rPr>
      <t>）、半导体行业（</t>
    </r>
    <r>
      <rPr>
        <sz val="10.5"/>
        <color theme="1"/>
        <rFont val="Arial"/>
        <family val="2"/>
      </rPr>
      <t>164/6.8%</t>
    </r>
    <r>
      <rPr>
        <sz val="10.5"/>
        <color theme="1"/>
        <rFont val="楷体_GB2312"/>
        <family val="3"/>
        <charset val="134"/>
      </rPr>
      <t>）、生物科技行业（</t>
    </r>
    <r>
      <rPr>
        <sz val="10.5"/>
        <color theme="1"/>
        <rFont val="Arial"/>
        <family val="2"/>
      </rPr>
      <t>123/5.1%</t>
    </r>
    <r>
      <rPr>
        <sz val="10.5"/>
        <color theme="1"/>
        <rFont val="楷体_GB2312"/>
        <family val="3"/>
        <charset val="134"/>
      </rPr>
      <t>）、银行行业（</t>
    </r>
    <r>
      <rPr>
        <sz val="10.5"/>
        <color theme="1"/>
        <rFont val="Arial"/>
        <family val="2"/>
      </rPr>
      <t>119/5.0%</t>
    </r>
    <r>
      <rPr>
        <sz val="10.5"/>
        <color theme="1"/>
        <rFont val="楷体_GB2312"/>
        <family val="3"/>
        <charset val="134"/>
      </rPr>
      <t>）</t>
    </r>
    <phoneticPr fontId="2" type="noConversion"/>
  </si>
  <si>
    <t>银行行业股指基准</t>
    <phoneticPr fontId="5" type="noConversion"/>
  </si>
  <si>
    <t>银行行业债指基准</t>
    <phoneticPr fontId="5" type="noConversion"/>
  </si>
  <si>
    <t>中证银行指数收益率</t>
  </si>
  <si>
    <t>沪深300红利低波动指数收益率</t>
  </si>
  <si>
    <t>央视财经50指数收益率</t>
  </si>
  <si>
    <t>中证锐联基本面50指数收益率</t>
  </si>
  <si>
    <t>中证浙江凤凰行动50指数收益率</t>
  </si>
  <si>
    <t>沪深300价值指数增长率</t>
  </si>
  <si>
    <t>中证全指金融地产指数收益率</t>
  </si>
  <si>
    <t>中债综合全价指数收益</t>
  </si>
  <si>
    <t>沪深300金融地产行业指数收益率</t>
  </si>
  <si>
    <t>上证180价值指数</t>
  </si>
  <si>
    <t>中证国有企业改革指数收益率</t>
  </si>
  <si>
    <t>中证全指金融地产指数</t>
  </si>
  <si>
    <t>中证银行指数</t>
  </si>
  <si>
    <t>中债国债总指数(全价)</t>
  </si>
  <si>
    <t>金融机构人民币活期存款基准利率(税后)</t>
  </si>
  <si>
    <t>中债总指数(财富)</t>
  </si>
  <si>
    <t>银行同业存款收益率</t>
  </si>
  <si>
    <t>恒生综合指数收益率</t>
  </si>
  <si>
    <t>中证香港上市可交易内地金融指数收益率</t>
  </si>
  <si>
    <t>银行活期存款(税后)</t>
  </si>
  <si>
    <t>同期银行活期存款利率(税后)</t>
  </si>
  <si>
    <t>股票型基金</t>
    <phoneticPr fontId="2" type="noConversion"/>
  </si>
  <si>
    <t>单基准基金个数</t>
    <phoneticPr fontId="2" type="noConversion"/>
  </si>
  <si>
    <t>双基准基金个数</t>
    <phoneticPr fontId="2" type="noConversion"/>
  </si>
  <si>
    <t>四基准基金个数</t>
    <phoneticPr fontId="2" type="noConversion"/>
  </si>
  <si>
    <t>五基准基金个数</t>
    <phoneticPr fontId="2" type="noConversion"/>
  </si>
  <si>
    <t>国际(QDII)基金</t>
    <phoneticPr fontId="2" type="noConversion"/>
  </si>
  <si>
    <t>混合型基金</t>
    <phoneticPr fontId="2" type="noConversion"/>
  </si>
  <si>
    <t>货币市场基金</t>
    <phoneticPr fontId="2" type="noConversion"/>
  </si>
  <si>
    <t>三基准基金个数</t>
    <phoneticPr fontId="5" type="noConversion"/>
  </si>
  <si>
    <t>金融机构人民币三年期定期存款基准利率(税后)</t>
  </si>
  <si>
    <t>三年期银行定期存款利率(税后)</t>
  </si>
  <si>
    <t>上证A股指数</t>
  </si>
  <si>
    <t>一年期银行定期存款利率(税后)</t>
  </si>
  <si>
    <t>固定利率年化收益率7%</t>
    <phoneticPr fontId="2" type="noConversion"/>
  </si>
  <si>
    <t>固定利率年化收益率6%</t>
    <phoneticPr fontId="2" type="noConversion"/>
  </si>
  <si>
    <t>中证光伏产业指数收益率</t>
  </si>
  <si>
    <t>同期七天通知存款利率(税后)</t>
  </si>
  <si>
    <t>六个月银行定期存款利率(税后)</t>
  </si>
  <si>
    <t>同期人民币三年期定期存款利率(税后)</t>
  </si>
  <si>
    <t>彭博巴克莱短期美元综合债券指数(Bloomberg BarclaysShort-Term U.S. Aggregate Bond Index)收益率</t>
  </si>
  <si>
    <t>标普高盛原油商品指数(S&amp;P GSCI Crude Oil Index ER)收益率</t>
  </si>
  <si>
    <t>人民币计价的纳斯达克100总收益指数收益率</t>
  </si>
  <si>
    <t>人民币计价的MSCI美国REIT净总收益指数(MSCI US REIT Net Daily Total Return Index)</t>
  </si>
  <si>
    <t>黄金现货实盘合约AU99.99收益率</t>
  </si>
  <si>
    <t>上海黄金交易所上海金集中定价合约(合约代码:SHAU)午盘基准价格收益率</t>
  </si>
  <si>
    <t>1年期银行定期存款收益率(税后)</t>
  </si>
  <si>
    <t>一年期定期存款利率(税后)</t>
  </si>
  <si>
    <t>单一基准基金</t>
    <phoneticPr fontId="5" type="noConversion"/>
  </si>
  <si>
    <t>业绩比较基准</t>
    <phoneticPr fontId="5" type="noConversion"/>
  </si>
  <si>
    <t>基准对应的基金数目</t>
    <phoneticPr fontId="5" type="noConversion"/>
  </si>
  <si>
    <t>双基准基金</t>
    <phoneticPr fontId="5" type="noConversion"/>
  </si>
  <si>
    <t>基准对应的比例</t>
    <phoneticPr fontId="2" type="noConversion"/>
  </si>
  <si>
    <t>1年期定期存款利率(税后)</t>
  </si>
  <si>
    <t>商业银行活期存款基准利率(税后)</t>
  </si>
  <si>
    <t>巴克莱资本美国综合债券指数收益率</t>
  </si>
  <si>
    <t>人民币活期存款收益率(税后)</t>
  </si>
  <si>
    <t>固定利率3%</t>
  </si>
  <si>
    <t>中国人民银行公布的同期一年期定期存款基准利率(税后)</t>
  </si>
  <si>
    <t>上海黄金交易所上海金集中定价合约(合约代码:SHAU)的午盘基准价格收益率</t>
  </si>
  <si>
    <t>三基准基金</t>
    <phoneticPr fontId="5" type="noConversion"/>
  </si>
  <si>
    <t>中证可转换债券指数收益率</t>
  </si>
  <si>
    <t>中证海外中国互联网指数收益率</t>
  </si>
  <si>
    <t>摩根士丹利资本国际全球指数(MSCI All Country World Index)收益率</t>
  </si>
  <si>
    <t>(美国10年期国债收益率</t>
  </si>
  <si>
    <t>1.5%)</t>
  </si>
  <si>
    <t>偏股混合型</t>
    <phoneticPr fontId="2" type="noConversion"/>
  </si>
  <si>
    <t>沪深300指数收益率</t>
    <phoneticPr fontId="2" type="noConversion"/>
  </si>
  <si>
    <t>灵活配置型</t>
    <phoneticPr fontId="2" type="noConversion"/>
  </si>
  <si>
    <t>普通股票型</t>
    <phoneticPr fontId="2" type="noConversion"/>
  </si>
  <si>
    <t>偏债混合型</t>
    <phoneticPr fontId="2" type="noConversion"/>
  </si>
  <si>
    <t>中证股票型基金指数收益率</t>
  </si>
  <si>
    <t>固定利率0.02</t>
    <phoneticPr fontId="2" type="noConversion"/>
  </si>
  <si>
    <t>中证800指数收益率</t>
    <phoneticPr fontId="2" type="noConversion"/>
  </si>
  <si>
    <t>中证500指数收益率</t>
    <phoneticPr fontId="2" type="noConversion"/>
  </si>
  <si>
    <t>中证全债指数收益率</t>
    <phoneticPr fontId="2" type="noConversion"/>
  </si>
  <si>
    <t>第一基准对应的基金数目</t>
    <phoneticPr fontId="2" type="noConversion"/>
  </si>
  <si>
    <t>第一基准</t>
    <phoneticPr fontId="2" type="noConversion"/>
  </si>
  <si>
    <t>第一基准的平均比例</t>
    <phoneticPr fontId="2" type="noConversion"/>
  </si>
  <si>
    <t>第二基准</t>
    <phoneticPr fontId="2" type="noConversion"/>
  </si>
  <si>
    <t>第二基准对应的基金数目</t>
    <phoneticPr fontId="2" type="noConversion"/>
  </si>
  <si>
    <t>第二基准的平均比例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</si>
</sst>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.5"/>
      <color theme="1"/>
      <name val="楷体_GB2312"/>
      <family val="3"/>
      <charset val="134"/>
    </font>
    <font>
      <sz val="10.5"/>
      <color theme="1"/>
      <name val="Arial"/>
      <family val="2"/>
    </font>
    <font>
      <sz val="9"/>
      <name val="等线"/>
      <family val="3"/>
      <charset val="134"/>
      <scheme val="minor"/>
    </font>
    <font>
      <b/>
      <sz val="8"/>
      <color rgb="FF0F243E"/>
      <name val="楷体_GB2312"/>
      <family val="3"/>
      <charset val="134"/>
    </font>
    <font>
      <b/>
      <sz val="8"/>
      <color rgb="FF0F243E"/>
      <name val="Arial"/>
      <family val="2"/>
    </font>
    <font>
      <sz val="8"/>
      <color rgb="FF0F243E"/>
      <name val="Arial"/>
      <family val="2"/>
    </font>
    <font>
      <u/>
      <sz val="11"/>
      <color theme="1"/>
      <name val="等线"/>
      <family val="2"/>
      <charset val="134"/>
      <scheme val="minor"/>
    </font>
    <font>
      <b/>
      <u/>
      <sz val="8"/>
      <color rgb="FF0F243E"/>
      <name val="楷体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0" fontId="0" fillId="0" borderId="0" xfId="0" applyAlignment="1"/>
    <xf numFmtId="10" fontId="0" fillId="0" borderId="0" xfId="0" applyNumberFormat="1" applyAlignment="1"/>
    <xf numFmtId="0" fontId="0" fillId="2" borderId="0" xfId="0" applyFill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>
      <alignment vertical="center"/>
    </xf>
    <xf numFmtId="10" fontId="6" fillId="0" borderId="2" xfId="0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/>
    <xf numFmtId="0" fontId="10" fillId="0" borderId="2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中国基金分类情况统计!$B$1</c:f>
              <c:strCache>
                <c:ptCount val="1"/>
                <c:pt idx="0">
                  <c:v>计数项:证券代码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C5A-84D4-4BB116EE9B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C5A-84D4-4BB116EE9B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D1-4C5A-84D4-4BB116EE9B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D1-4C5A-84D4-4BB116EE9B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D1-4C5A-84D4-4BB116EE9B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D1-4C5A-84D4-4BB116EE9B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D1-4C5A-84D4-4BB116EE9B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D1-4C5A-84D4-4BB116EE9B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9D1-4C5A-84D4-4BB116EE9B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9D1-4C5A-84D4-4BB116EE9B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9D1-4C5A-84D4-4BB116EE9B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9D1-4C5A-84D4-4BB116EE9B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9D1-4C5A-84D4-4BB116EE9B0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9D1-4C5A-84D4-4BB116EE9B0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9D1-4C5A-84D4-4BB116EE9B0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9D1-4C5A-84D4-4BB116EE9B0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9D1-4C5A-84D4-4BB116EE9B0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9D1-4C5A-84D4-4BB116EE9B0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9D1-4C5A-84D4-4BB116EE9B0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9D1-4C5A-84D4-4BB116EE9B0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9D1-4C5A-84D4-4BB116EE9B05}"/>
              </c:ext>
            </c:extLst>
          </c:dPt>
          <c:cat>
            <c:strRef>
              <c:f>中国基金分类情况统计!$A$2:$A$22</c:f>
              <c:strCache>
                <c:ptCount val="21"/>
                <c:pt idx="0">
                  <c:v>中长期纯债型基金</c:v>
                </c:pt>
                <c:pt idx="1">
                  <c:v>灵活配置型基金</c:v>
                </c:pt>
                <c:pt idx="2">
                  <c:v>偏股混合型基金</c:v>
                </c:pt>
                <c:pt idx="3">
                  <c:v>被动指数型基金</c:v>
                </c:pt>
                <c:pt idx="4">
                  <c:v>偏债混合型基金</c:v>
                </c:pt>
                <c:pt idx="5">
                  <c:v>货币市场型基金</c:v>
                </c:pt>
                <c:pt idx="6">
                  <c:v>混合债券型二级基金</c:v>
                </c:pt>
                <c:pt idx="7">
                  <c:v>普通股票型基金</c:v>
                </c:pt>
                <c:pt idx="8">
                  <c:v>短期纯债型基金</c:v>
                </c:pt>
                <c:pt idx="9">
                  <c:v>被动指数型债券基金</c:v>
                </c:pt>
                <c:pt idx="10">
                  <c:v>增强指数型基金</c:v>
                </c:pt>
                <c:pt idx="11">
                  <c:v>混合债券型一级基金</c:v>
                </c:pt>
                <c:pt idx="12">
                  <c:v>国际(QDII)股票型基金</c:v>
                </c:pt>
                <c:pt idx="13">
                  <c:v>平衡混合型基金</c:v>
                </c:pt>
                <c:pt idx="14">
                  <c:v>国际(QDII)债券型基金</c:v>
                </c:pt>
                <c:pt idx="15">
                  <c:v>国际(QDII)混合型基金</c:v>
                </c:pt>
                <c:pt idx="16">
                  <c:v>商品型基金</c:v>
                </c:pt>
                <c:pt idx="17">
                  <c:v>股票多空</c:v>
                </c:pt>
                <c:pt idx="18">
                  <c:v>国际(QDII)另类投资基金</c:v>
                </c:pt>
                <c:pt idx="19">
                  <c:v>REITs</c:v>
                </c:pt>
                <c:pt idx="20">
                  <c:v>增强指数型债券基金</c:v>
                </c:pt>
              </c:strCache>
            </c:strRef>
          </c:cat>
          <c:val>
            <c:numRef>
              <c:f>中国基金分类情况统计!$B$2:$B$22</c:f>
              <c:numCache>
                <c:formatCode>General</c:formatCode>
                <c:ptCount val="21"/>
                <c:pt idx="0">
                  <c:v>2309</c:v>
                </c:pt>
                <c:pt idx="1">
                  <c:v>2063</c:v>
                </c:pt>
                <c:pt idx="2">
                  <c:v>1855</c:v>
                </c:pt>
                <c:pt idx="3">
                  <c:v>1056</c:v>
                </c:pt>
                <c:pt idx="4">
                  <c:v>784</c:v>
                </c:pt>
                <c:pt idx="5">
                  <c:v>693</c:v>
                </c:pt>
                <c:pt idx="6">
                  <c:v>646</c:v>
                </c:pt>
                <c:pt idx="7">
                  <c:v>596</c:v>
                </c:pt>
                <c:pt idx="8">
                  <c:v>384</c:v>
                </c:pt>
                <c:pt idx="9">
                  <c:v>271</c:v>
                </c:pt>
                <c:pt idx="10">
                  <c:v>223</c:v>
                </c:pt>
                <c:pt idx="11">
                  <c:v>160</c:v>
                </c:pt>
                <c:pt idx="12">
                  <c:v>138</c:v>
                </c:pt>
                <c:pt idx="13">
                  <c:v>133</c:v>
                </c:pt>
                <c:pt idx="14">
                  <c:v>78</c:v>
                </c:pt>
                <c:pt idx="15">
                  <c:v>56</c:v>
                </c:pt>
                <c:pt idx="16">
                  <c:v>42</c:v>
                </c:pt>
                <c:pt idx="17">
                  <c:v>39</c:v>
                </c:pt>
                <c:pt idx="18">
                  <c:v>37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F-43D2-96AD-BA4D5404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'基金二级分类业绩评价基准-股指基准和债指基准统计'!$E$12:$E$16</c:f>
              <c:strCache>
                <c:ptCount val="5"/>
                <c:pt idx="0">
                  <c:v>中证全债指数收益率</c:v>
                </c:pt>
                <c:pt idx="1">
                  <c:v>上证国债指数收益率</c:v>
                </c:pt>
                <c:pt idx="2">
                  <c:v>中债综合指数收益率</c:v>
                </c:pt>
                <c:pt idx="3">
                  <c:v>中证综合债指数收益率</c:v>
                </c:pt>
                <c:pt idx="4">
                  <c:v>中证综合债券指数收益率</c:v>
                </c:pt>
              </c:strCache>
            </c:strRef>
          </c:cat>
          <c:val>
            <c:numRef>
              <c:f>'基金二级分类业绩评价基准-股指基准和债指基准统计'!$F$12:$F$16</c:f>
              <c:numCache>
                <c:formatCode>General</c:formatCode>
                <c:ptCount val="5"/>
                <c:pt idx="0">
                  <c:v>56</c:v>
                </c:pt>
                <c:pt idx="1">
                  <c:v>48</c:v>
                </c:pt>
                <c:pt idx="2">
                  <c:v>45</c:v>
                </c:pt>
                <c:pt idx="3">
                  <c:v>38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1-497E-A302-DB17E1C1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705448"/>
        <c:axId val="1099698232"/>
      </c:barChart>
      <c:catAx>
        <c:axId val="109970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98232"/>
        <c:crosses val="autoZero"/>
        <c:auto val="1"/>
        <c:lblAlgn val="ctr"/>
        <c:lblOffset val="100"/>
        <c:noMultiLvlLbl val="0"/>
      </c:catAx>
      <c:valAx>
        <c:axId val="109969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70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'基金二级分类业绩评价基准-股指基准和债指基准统计'!$B$17:$B$21</c:f>
              <c:strCache>
                <c:ptCount val="5"/>
                <c:pt idx="0">
                  <c:v>沪深300指数收益率</c:v>
                </c:pt>
                <c:pt idx="1">
                  <c:v>中证800指数收益率</c:v>
                </c:pt>
                <c:pt idx="2">
                  <c:v>中证500指数收益率</c:v>
                </c:pt>
                <c:pt idx="3">
                  <c:v>中证股票型基金指数收益率</c:v>
                </c:pt>
                <c:pt idx="4">
                  <c:v>固定利率0.02</c:v>
                </c:pt>
              </c:strCache>
            </c:strRef>
          </c:cat>
          <c:val>
            <c:numRef>
              <c:f>'基金二级分类业绩评价基准-股指基准和债指基准统计'!$C$17:$C$21</c:f>
              <c:numCache>
                <c:formatCode>General</c:formatCode>
                <c:ptCount val="5"/>
                <c:pt idx="0">
                  <c:v>631</c:v>
                </c:pt>
                <c:pt idx="1">
                  <c:v>66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A-4C66-B65A-21E435D9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520368"/>
        <c:axId val="1289520696"/>
      </c:barChart>
      <c:catAx>
        <c:axId val="128952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20696"/>
        <c:crosses val="autoZero"/>
        <c:auto val="1"/>
        <c:lblAlgn val="ctr"/>
        <c:lblOffset val="100"/>
        <c:noMultiLvlLbl val="0"/>
      </c:catAx>
      <c:valAx>
        <c:axId val="12895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'基金二级分类业绩评价基准-股指基准和债指基准统计'!$E$17:$E$21</c:f>
              <c:strCache>
                <c:ptCount val="5"/>
                <c:pt idx="0">
                  <c:v>中债综合指数收益率</c:v>
                </c:pt>
                <c:pt idx="1">
                  <c:v>中证全债指数收益率</c:v>
                </c:pt>
                <c:pt idx="2">
                  <c:v>中债综合财富(总值)指数收益率</c:v>
                </c:pt>
                <c:pt idx="3">
                  <c:v>上证国债指数收益率</c:v>
                </c:pt>
                <c:pt idx="4">
                  <c:v>中证综合债指数收益率</c:v>
                </c:pt>
              </c:strCache>
            </c:strRef>
          </c:cat>
          <c:val>
            <c:numRef>
              <c:f>'基金二级分类业绩评价基准-股指基准和债指基准统计'!$F$17:$F$21</c:f>
              <c:numCache>
                <c:formatCode>General</c:formatCode>
                <c:ptCount val="5"/>
                <c:pt idx="0">
                  <c:v>152</c:v>
                </c:pt>
                <c:pt idx="1">
                  <c:v>118</c:v>
                </c:pt>
                <c:pt idx="2">
                  <c:v>63</c:v>
                </c:pt>
                <c:pt idx="3">
                  <c:v>54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1-4BBC-BCF4-1CEB61E6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142320"/>
        <c:axId val="1301142648"/>
      </c:barChart>
      <c:catAx>
        <c:axId val="130114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142648"/>
        <c:crosses val="autoZero"/>
        <c:auto val="1"/>
        <c:lblAlgn val="ctr"/>
        <c:lblOffset val="100"/>
        <c:noMultiLvlLbl val="0"/>
      </c:catAx>
      <c:valAx>
        <c:axId val="13011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1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'基金行业主题分类业绩评价基准-股指基准和债指基准统计'!$U$1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'基金行业主题分类业绩评价基准-股指基准和债指基准统计'!$T$2:$T$11</c:f>
              <c:strCache>
                <c:ptCount val="10"/>
                <c:pt idx="0">
                  <c:v>沪深300指数收益率</c:v>
                </c:pt>
                <c:pt idx="1">
                  <c:v>中证800指数收益率</c:v>
                </c:pt>
                <c:pt idx="2">
                  <c:v>中证内地消费主题指数收益率</c:v>
                </c:pt>
                <c:pt idx="3">
                  <c:v>中证100指数收益率</c:v>
                </c:pt>
                <c:pt idx="4">
                  <c:v>中证主要消费指数收益率</c:v>
                </c:pt>
                <c:pt idx="5">
                  <c:v>中证服务业指数收益率</c:v>
                </c:pt>
                <c:pt idx="6">
                  <c:v>中证红利指数收益率</c:v>
                </c:pt>
                <c:pt idx="7">
                  <c:v>中证食品饮料指数收益率</c:v>
                </c:pt>
                <c:pt idx="8">
                  <c:v>中证500指数收益率</c:v>
                </c:pt>
                <c:pt idx="9">
                  <c:v>申银万国消费品指数</c:v>
                </c:pt>
              </c:strCache>
            </c:strRef>
          </c:cat>
          <c:val>
            <c:numRef>
              <c:f>'基金行业主题分类业绩评价基准-股指基准和债指基准统计'!$U$2:$U$11</c:f>
              <c:numCache>
                <c:formatCode>General</c:formatCode>
                <c:ptCount val="10"/>
                <c:pt idx="0">
                  <c:v>240</c:v>
                </c:pt>
                <c:pt idx="1">
                  <c:v>38</c:v>
                </c:pt>
                <c:pt idx="2">
                  <c:v>26</c:v>
                </c:pt>
                <c:pt idx="3">
                  <c:v>19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F-45AB-B847-58C7B44D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131168"/>
        <c:axId val="1301129200"/>
      </c:barChart>
      <c:catAx>
        <c:axId val="130113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129200"/>
        <c:crosses val="autoZero"/>
        <c:auto val="1"/>
        <c:lblAlgn val="ctr"/>
        <c:lblOffset val="100"/>
        <c:noMultiLvlLbl val="0"/>
      </c:catAx>
      <c:valAx>
        <c:axId val="13011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1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'基金行业主题分类业绩评价基准-股指基准和债指基准统计'!$X$1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'基金行业主题分类业绩评价基准-股指基准和债指基准统计'!$W$2:$W$11</c:f>
              <c:strCache>
                <c:ptCount val="10"/>
                <c:pt idx="0">
                  <c:v>中证全债指数收益率</c:v>
                </c:pt>
                <c:pt idx="1">
                  <c:v>中债综合指数收益率</c:v>
                </c:pt>
                <c:pt idx="2">
                  <c:v>上证国债指数收益率</c:v>
                </c:pt>
                <c:pt idx="3">
                  <c:v>中证综合债指数收益率</c:v>
                </c:pt>
                <c:pt idx="4">
                  <c:v>银行活期存款利率(税后)</c:v>
                </c:pt>
                <c:pt idx="5">
                  <c:v>中债综合全价指数收益率</c:v>
                </c:pt>
                <c:pt idx="6">
                  <c:v>中国债券总指数收益率</c:v>
                </c:pt>
                <c:pt idx="7">
                  <c:v>恒生指数收益率</c:v>
                </c:pt>
                <c:pt idx="8">
                  <c:v>中证综合债券指数收益率</c:v>
                </c:pt>
                <c:pt idx="9">
                  <c:v>中债总指数收益率</c:v>
                </c:pt>
              </c:strCache>
            </c:strRef>
          </c:cat>
          <c:val>
            <c:numRef>
              <c:f>'基金行业主题分类业绩评价基准-股指基准和债指基准统计'!$X$2:$X$11</c:f>
              <c:numCache>
                <c:formatCode>General</c:formatCode>
                <c:ptCount val="10"/>
                <c:pt idx="0">
                  <c:v>62</c:v>
                </c:pt>
                <c:pt idx="1">
                  <c:v>44</c:v>
                </c:pt>
                <c:pt idx="2">
                  <c:v>43</c:v>
                </c:pt>
                <c:pt idx="3">
                  <c:v>31</c:v>
                </c:pt>
                <c:pt idx="4">
                  <c:v>21</c:v>
                </c:pt>
                <c:pt idx="5">
                  <c:v>20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A-4DD8-AAD9-72A1945E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7350256"/>
        <c:axId val="1097347632"/>
      </c:barChart>
      <c:catAx>
        <c:axId val="109735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347632"/>
        <c:crosses val="autoZero"/>
        <c:auto val="1"/>
        <c:lblAlgn val="ctr"/>
        <c:lblOffset val="100"/>
        <c:noMultiLvlLbl val="0"/>
      </c:catAx>
      <c:valAx>
        <c:axId val="109734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3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'基金行业主题分类业绩评价基准-股指基准和债指基准统计'!$U$12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'基金行业主题分类业绩评价基准-股指基准和债指基准统计'!$T$13:$T$23</c:f>
              <c:strCache>
                <c:ptCount val="11"/>
                <c:pt idx="0">
                  <c:v>沪深300指数收益率</c:v>
                </c:pt>
                <c:pt idx="1">
                  <c:v>中证800指数收益率</c:v>
                </c:pt>
                <c:pt idx="2">
                  <c:v>中国战略新兴产业成份指数收益率</c:v>
                </c:pt>
                <c:pt idx="3">
                  <c:v>中证500指数收益率</c:v>
                </c:pt>
                <c:pt idx="4">
                  <c:v>中证人工智能主题指数收益率</c:v>
                </c:pt>
                <c:pt idx="5">
                  <c:v>中证TMT产业主题指数收益率</c:v>
                </c:pt>
                <c:pt idx="6">
                  <c:v>中证全指指数收益率</c:v>
                </c:pt>
                <c:pt idx="7">
                  <c:v>中证信息技术指数收益率</c:v>
                </c:pt>
                <c:pt idx="8">
                  <c:v>中证全指信息技术指数收益率</c:v>
                </c:pt>
                <c:pt idx="9">
                  <c:v>中证军工指数收益率</c:v>
                </c:pt>
                <c:pt idx="10">
                  <c:v>中证700指数收益率</c:v>
                </c:pt>
              </c:strCache>
            </c:strRef>
          </c:cat>
          <c:val>
            <c:numRef>
              <c:f>'基金行业主题分类业绩评价基准-股指基准和债指基准统计'!$U$13:$U$23</c:f>
              <c:numCache>
                <c:formatCode>General</c:formatCode>
                <c:ptCount val="11"/>
                <c:pt idx="0">
                  <c:v>157</c:v>
                </c:pt>
                <c:pt idx="1">
                  <c:v>37</c:v>
                </c:pt>
                <c:pt idx="2">
                  <c:v>23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8-43E5-8B08-3E2C326EF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681872"/>
        <c:axId val="1301683840"/>
      </c:barChart>
      <c:catAx>
        <c:axId val="130168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683840"/>
        <c:crosses val="autoZero"/>
        <c:auto val="1"/>
        <c:lblAlgn val="ctr"/>
        <c:lblOffset val="100"/>
        <c:noMultiLvlLbl val="0"/>
      </c:catAx>
      <c:valAx>
        <c:axId val="13016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6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'基金行业主题分类业绩评价基准-股指基准和债指基准统计'!$X$12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'基金行业主题分类业绩评价基准-股指基准和债指基准统计'!$W$13:$W$23</c:f>
              <c:strCache>
                <c:ptCount val="11"/>
                <c:pt idx="0">
                  <c:v>上证国债指数收益率</c:v>
                </c:pt>
                <c:pt idx="1">
                  <c:v>中证全债指数收益率</c:v>
                </c:pt>
                <c:pt idx="2">
                  <c:v>中证综合债指数收益率</c:v>
                </c:pt>
                <c:pt idx="3">
                  <c:v>中债综合全价(总值)指数收益率</c:v>
                </c:pt>
                <c:pt idx="4">
                  <c:v>中证综合债券指数收益率</c:v>
                </c:pt>
                <c:pt idx="5">
                  <c:v>银行活期存款利率(税后)</c:v>
                </c:pt>
                <c:pt idx="6">
                  <c:v>中债综合指数收益率</c:v>
                </c:pt>
                <c:pt idx="7">
                  <c:v>中国债券总指数收益率</c:v>
                </c:pt>
                <c:pt idx="8">
                  <c:v>中债综合财富(总值)指数收益率</c:v>
                </c:pt>
                <c:pt idx="9">
                  <c:v>中债总指数收益率</c:v>
                </c:pt>
                <c:pt idx="10">
                  <c:v>恒生指数收益率</c:v>
                </c:pt>
              </c:strCache>
            </c:strRef>
          </c:cat>
          <c:val>
            <c:numRef>
              <c:f>'基金行业主题分类业绩评价基准-股指基准和债指基准统计'!$X$13:$X$23</c:f>
              <c:numCache>
                <c:formatCode>General</c:formatCode>
                <c:ptCount val="11"/>
                <c:pt idx="0">
                  <c:v>58</c:v>
                </c:pt>
                <c:pt idx="1">
                  <c:v>58</c:v>
                </c:pt>
                <c:pt idx="2">
                  <c:v>31</c:v>
                </c:pt>
                <c:pt idx="3">
                  <c:v>25</c:v>
                </c:pt>
                <c:pt idx="4">
                  <c:v>23</c:v>
                </c:pt>
                <c:pt idx="5">
                  <c:v>21</c:v>
                </c:pt>
                <c:pt idx="6">
                  <c:v>18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B-4EBF-896A-F4E9CD2F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4485960"/>
        <c:axId val="1414477104"/>
      </c:barChart>
      <c:catAx>
        <c:axId val="1414485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77104"/>
        <c:crosses val="autoZero"/>
        <c:auto val="1"/>
        <c:lblAlgn val="ctr"/>
        <c:lblOffset val="100"/>
        <c:noMultiLvlLbl val="0"/>
      </c:catAx>
      <c:valAx>
        <c:axId val="141447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8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'基金行业主题分类业绩评价基准-股指基准和债指基准统计'!$U$24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'基金行业主题分类业绩评价基准-股指基准和债指基准统计'!$T$25:$T$34</c:f>
              <c:strCache>
                <c:ptCount val="10"/>
                <c:pt idx="0">
                  <c:v>沪深300指数收益率</c:v>
                </c:pt>
                <c:pt idx="1">
                  <c:v>创业板指数收益率</c:v>
                </c:pt>
                <c:pt idx="2">
                  <c:v>中证新能源汽车指数收益率</c:v>
                </c:pt>
                <c:pt idx="3">
                  <c:v>中证800指数收益率</c:v>
                </c:pt>
                <c:pt idx="4">
                  <c:v>创业板50指数收益率</c:v>
                </c:pt>
                <c:pt idx="5">
                  <c:v>中国战略新兴产业成份指数收益率</c:v>
                </c:pt>
                <c:pt idx="6">
                  <c:v>中证环保产业指数收益率</c:v>
                </c:pt>
                <c:pt idx="7">
                  <c:v>中证新能源汽车产业指数收益率</c:v>
                </c:pt>
                <c:pt idx="8">
                  <c:v>中证新能源指数收益率</c:v>
                </c:pt>
                <c:pt idx="9">
                  <c:v>中证内地低碳经济主题指数收益率</c:v>
                </c:pt>
              </c:strCache>
            </c:strRef>
          </c:cat>
          <c:val>
            <c:numRef>
              <c:f>'基金行业主题分类业绩评价基准-股指基准和债指基准统计'!$U$25:$U$34</c:f>
              <c:numCache>
                <c:formatCode>General</c:formatCode>
                <c:ptCount val="10"/>
                <c:pt idx="0">
                  <c:v>63</c:v>
                </c:pt>
                <c:pt idx="1">
                  <c:v>40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7-476B-BBB4-08610A15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1409392"/>
        <c:axId val="901411360"/>
      </c:barChart>
      <c:catAx>
        <c:axId val="90140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411360"/>
        <c:crosses val="autoZero"/>
        <c:auto val="1"/>
        <c:lblAlgn val="ctr"/>
        <c:lblOffset val="100"/>
        <c:noMultiLvlLbl val="0"/>
      </c:catAx>
      <c:valAx>
        <c:axId val="9014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4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'基金行业主题分类业绩评价基准-股指基准和债指基准统计'!$X$24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'基金行业主题分类业绩评价基准-股指基准和债指基准统计'!$W$25:$W$34</c:f>
              <c:strCache>
                <c:ptCount val="10"/>
                <c:pt idx="0">
                  <c:v>上证国债指数收益率</c:v>
                </c:pt>
                <c:pt idx="1">
                  <c:v>银行活期存款利率(税后)</c:v>
                </c:pt>
                <c:pt idx="2">
                  <c:v>中证全债指数收益率</c:v>
                </c:pt>
                <c:pt idx="3">
                  <c:v>银行人民币活期存款利率(税后)</c:v>
                </c:pt>
                <c:pt idx="4">
                  <c:v>中债综合指数收益率</c:v>
                </c:pt>
                <c:pt idx="5">
                  <c:v>中证综合债指数收益率</c:v>
                </c:pt>
                <c:pt idx="6">
                  <c:v>中国债券总指数收益率</c:v>
                </c:pt>
                <c:pt idx="7">
                  <c:v>中债综合指数收益率(全价)</c:v>
                </c:pt>
                <c:pt idx="8">
                  <c:v>恒生指数收益率(使用估值汇率折算)</c:v>
                </c:pt>
                <c:pt idx="9">
                  <c:v>中债总指数收益率</c:v>
                </c:pt>
              </c:strCache>
            </c:strRef>
          </c:cat>
          <c:val>
            <c:numRef>
              <c:f>'基金行业主题分类业绩评价基准-股指基准和债指基准统计'!$X$25:$X$34</c:f>
              <c:numCache>
                <c:formatCode>General</c:formatCode>
                <c:ptCount val="10"/>
                <c:pt idx="0">
                  <c:v>29</c:v>
                </c:pt>
                <c:pt idx="1">
                  <c:v>24</c:v>
                </c:pt>
                <c:pt idx="2">
                  <c:v>14</c:v>
                </c:pt>
                <c:pt idx="3">
                  <c:v>17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7B7-888E-7C12ABD6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9338808"/>
        <c:axId val="1299334544"/>
      </c:barChart>
      <c:catAx>
        <c:axId val="129933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334544"/>
        <c:crosses val="autoZero"/>
        <c:auto val="1"/>
        <c:lblAlgn val="ctr"/>
        <c:lblOffset val="100"/>
        <c:noMultiLvlLbl val="0"/>
      </c:catAx>
      <c:valAx>
        <c:axId val="12993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33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'基金行业主题分类业绩评价基准-股指基准和债指基准统计'!$U$35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'基金行业主题分类业绩评价基准-股指基准和债指基准统计'!$T$36:$T$45</c:f>
              <c:strCache>
                <c:ptCount val="10"/>
                <c:pt idx="0">
                  <c:v>沪深300指数收益率</c:v>
                </c:pt>
                <c:pt idx="1">
                  <c:v>中证800指数收益率</c:v>
                </c:pt>
                <c:pt idx="2">
                  <c:v>中国战略新兴产业成份指数收益率</c:v>
                </c:pt>
                <c:pt idx="3">
                  <c:v>中证TMT产业主题指数收益率</c:v>
                </c:pt>
                <c:pt idx="4">
                  <c:v>中证5G通信主题指数收益率</c:v>
                </c:pt>
                <c:pt idx="5">
                  <c:v>国证半导体芯片指数收益率</c:v>
                </c:pt>
                <c:pt idx="6">
                  <c:v>中证新能源指数收益率</c:v>
                </c:pt>
                <c:pt idx="7">
                  <c:v>中证高端装备制造指数收益率</c:v>
                </c:pt>
                <c:pt idx="8">
                  <c:v>中华交易服务半导体芯片行业指数收益率</c:v>
                </c:pt>
                <c:pt idx="9">
                  <c:v>中证工业4.0指数收益率</c:v>
                </c:pt>
              </c:strCache>
            </c:strRef>
          </c:cat>
          <c:val>
            <c:numRef>
              <c:f>'基金行业主题分类业绩评价基准-股指基准和债指基准统计'!$U$36:$U$45</c:f>
              <c:numCache>
                <c:formatCode>General</c:formatCode>
                <c:ptCount val="10"/>
                <c:pt idx="0">
                  <c:v>68</c:v>
                </c:pt>
                <c:pt idx="1">
                  <c:v>11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7-4EFF-B00A-D45887D9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484288"/>
        <c:axId val="1289479040"/>
      </c:barChart>
      <c:catAx>
        <c:axId val="128948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479040"/>
        <c:crosses val="autoZero"/>
        <c:auto val="1"/>
        <c:lblAlgn val="ctr"/>
        <c:lblOffset val="100"/>
        <c:noMultiLvlLbl val="0"/>
      </c:catAx>
      <c:valAx>
        <c:axId val="12894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4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Wind二级分类</c:v>
          </c:tx>
          <c:dLbls>
            <c:dLbl>
              <c:idx val="0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6E-43FA-9782-E602DEE6F7F9}"/>
                </c:ext>
              </c:extLst>
            </c:dLbl>
            <c:dLbl>
              <c:idx val="1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6E-43FA-9782-E602DEE6F7F9}"/>
                </c:ext>
              </c:extLst>
            </c:dLbl>
            <c:dLbl>
              <c:idx val="2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6E-43FA-9782-E602DEE6F7F9}"/>
                </c:ext>
              </c:extLst>
            </c:dLbl>
            <c:dLbl>
              <c:idx val="3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6E-43FA-9782-E602DEE6F7F9}"/>
                </c:ext>
              </c:extLst>
            </c:dLbl>
            <c:dLbl>
              <c:idx val="4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6E-43FA-9782-E602DEE6F7F9}"/>
                </c:ext>
              </c:extLst>
            </c:dLbl>
            <c:dLbl>
              <c:idx val="5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6E-43FA-9782-E602DEE6F7F9}"/>
                </c:ext>
              </c:extLst>
            </c:dLbl>
            <c:dLbl>
              <c:idx val="6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6E-43FA-9782-E602DEE6F7F9}"/>
                </c:ext>
              </c:extLst>
            </c:dLbl>
            <c:dLbl>
              <c:idx val="7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6E-43FA-9782-E602DEE6F7F9}"/>
                </c:ext>
              </c:extLst>
            </c:dLbl>
            <c:dLbl>
              <c:idx val="8"/>
              <c:layout>
                <c:manualLayout>
                  <c:x val="1.008277151630556E-2"/>
                  <c:y val="-1.2902045780862757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6E-43FA-9782-E602DEE6F7F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6E-43FA-9782-E602DEE6F7F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6E-43FA-9782-E602DEE6F7F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6E-43FA-9782-E602DEE6F7F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6E-43FA-9782-E602DEE6F7F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6E-43FA-9782-E602DEE6F7F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6E-43FA-9782-E602DEE6F7F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6E-43FA-9782-E602DEE6F7F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6E-43FA-9782-E602DEE6F7F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6E-43FA-9782-E602DEE6F7F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6E-43FA-9782-E602DEE6F7F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6E-43FA-9782-E602DEE6F7F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6E-43FA-9782-E602DEE6F7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中国基金分类情况统计!$A$2:$A$22</c:f>
              <c:strCache>
                <c:ptCount val="21"/>
                <c:pt idx="0">
                  <c:v>中长期纯债型基金</c:v>
                </c:pt>
                <c:pt idx="1">
                  <c:v>灵活配置型基金</c:v>
                </c:pt>
                <c:pt idx="2">
                  <c:v>偏股混合型基金</c:v>
                </c:pt>
                <c:pt idx="3">
                  <c:v>被动指数型基金</c:v>
                </c:pt>
                <c:pt idx="4">
                  <c:v>偏债混合型基金</c:v>
                </c:pt>
                <c:pt idx="5">
                  <c:v>货币市场型基金</c:v>
                </c:pt>
                <c:pt idx="6">
                  <c:v>混合债券型二级基金</c:v>
                </c:pt>
                <c:pt idx="7">
                  <c:v>普通股票型基金</c:v>
                </c:pt>
                <c:pt idx="8">
                  <c:v>短期纯债型基金</c:v>
                </c:pt>
                <c:pt idx="9">
                  <c:v>被动指数型债券基金</c:v>
                </c:pt>
                <c:pt idx="10">
                  <c:v>增强指数型基金</c:v>
                </c:pt>
                <c:pt idx="11">
                  <c:v>混合债券型一级基金</c:v>
                </c:pt>
                <c:pt idx="12">
                  <c:v>国际(QDII)股票型基金</c:v>
                </c:pt>
                <c:pt idx="13">
                  <c:v>平衡混合型基金</c:v>
                </c:pt>
                <c:pt idx="14">
                  <c:v>国际(QDII)债券型基金</c:v>
                </c:pt>
                <c:pt idx="15">
                  <c:v>国际(QDII)混合型基金</c:v>
                </c:pt>
                <c:pt idx="16">
                  <c:v>商品型基金</c:v>
                </c:pt>
                <c:pt idx="17">
                  <c:v>股票多空</c:v>
                </c:pt>
                <c:pt idx="18">
                  <c:v>国际(QDII)另类投资基金</c:v>
                </c:pt>
                <c:pt idx="19">
                  <c:v>REITs</c:v>
                </c:pt>
                <c:pt idx="20">
                  <c:v>增强指数型债券基金</c:v>
                </c:pt>
              </c:strCache>
            </c:strRef>
          </c:cat>
          <c:val>
            <c:numRef>
              <c:f>中国基金分类情况统计!$B$2:$B$22</c:f>
              <c:numCache>
                <c:formatCode>General</c:formatCode>
                <c:ptCount val="21"/>
                <c:pt idx="0">
                  <c:v>2309</c:v>
                </c:pt>
                <c:pt idx="1">
                  <c:v>2063</c:v>
                </c:pt>
                <c:pt idx="2">
                  <c:v>1855</c:v>
                </c:pt>
                <c:pt idx="3">
                  <c:v>1056</c:v>
                </c:pt>
                <c:pt idx="4">
                  <c:v>784</c:v>
                </c:pt>
                <c:pt idx="5">
                  <c:v>693</c:v>
                </c:pt>
                <c:pt idx="6">
                  <c:v>646</c:v>
                </c:pt>
                <c:pt idx="7">
                  <c:v>596</c:v>
                </c:pt>
                <c:pt idx="8">
                  <c:v>384</c:v>
                </c:pt>
                <c:pt idx="9">
                  <c:v>271</c:v>
                </c:pt>
                <c:pt idx="10">
                  <c:v>223</c:v>
                </c:pt>
                <c:pt idx="11">
                  <c:v>160</c:v>
                </c:pt>
                <c:pt idx="12">
                  <c:v>138</c:v>
                </c:pt>
                <c:pt idx="13">
                  <c:v>133</c:v>
                </c:pt>
                <c:pt idx="14">
                  <c:v>78</c:v>
                </c:pt>
                <c:pt idx="15">
                  <c:v>56</c:v>
                </c:pt>
                <c:pt idx="16">
                  <c:v>42</c:v>
                </c:pt>
                <c:pt idx="17">
                  <c:v>39</c:v>
                </c:pt>
                <c:pt idx="18">
                  <c:v>37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6E-43FA-9782-E602DEE6F7F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'基金行业主题分类业绩评价基准-股指基准和债指基准统计'!$X$35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'基金行业主题分类业绩评价基准-股指基准和债指基准统计'!$W$36:$W$45</c:f>
              <c:strCache>
                <c:ptCount val="10"/>
                <c:pt idx="0">
                  <c:v>中证全债指数收益率</c:v>
                </c:pt>
                <c:pt idx="1">
                  <c:v>上证国债指数收益率</c:v>
                </c:pt>
                <c:pt idx="2">
                  <c:v>中证综合债指数收益率</c:v>
                </c:pt>
                <c:pt idx="3">
                  <c:v>人民币活期存款利率(税后)</c:v>
                </c:pt>
                <c:pt idx="4">
                  <c:v>中债综合指数收益率</c:v>
                </c:pt>
                <c:pt idx="5">
                  <c:v>中债综合财富指数收益率</c:v>
                </c:pt>
                <c:pt idx="6">
                  <c:v>中债总全价指数收益率</c:v>
                </c:pt>
                <c:pt idx="7">
                  <c:v>中债总指数收益率</c:v>
                </c:pt>
                <c:pt idx="8">
                  <c:v>同业存款利率(税后)</c:v>
                </c:pt>
                <c:pt idx="9">
                  <c:v>中债总财富指数收益率</c:v>
                </c:pt>
              </c:strCache>
            </c:strRef>
          </c:cat>
          <c:val>
            <c:numRef>
              <c:f>'基金行业主题分类业绩评价基准-股指基准和债指基准统计'!$X$36:$X$45</c:f>
              <c:numCache>
                <c:formatCode>General</c:formatCode>
                <c:ptCount val="10"/>
                <c:pt idx="0">
                  <c:v>32</c:v>
                </c:pt>
                <c:pt idx="1">
                  <c:v>27</c:v>
                </c:pt>
                <c:pt idx="2">
                  <c:v>21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7-47E9-8952-4C6F21D1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7278024"/>
        <c:axId val="1062110960"/>
      </c:barChart>
      <c:catAx>
        <c:axId val="108727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110960"/>
        <c:crosses val="autoZero"/>
        <c:auto val="1"/>
        <c:lblAlgn val="ctr"/>
        <c:lblOffset val="100"/>
        <c:noMultiLvlLbl val="0"/>
      </c:catAx>
      <c:valAx>
        <c:axId val="10621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2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'基金行业主题分类业绩评价基准-股指基准和债指基准统计'!$U$46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'基金行业主题分类业绩评价基准-股指基准和债指基准统计'!$T$47:$T$57</c:f>
              <c:strCache>
                <c:ptCount val="11"/>
                <c:pt idx="0">
                  <c:v>中证医药卫生指数收益率</c:v>
                </c:pt>
                <c:pt idx="1">
                  <c:v>沪深300指数收益率</c:v>
                </c:pt>
                <c:pt idx="2">
                  <c:v>中证全指医药卫生指数收益率</c:v>
                </c:pt>
                <c:pt idx="3">
                  <c:v>申万医药生物行业指数收益率</c:v>
                </c:pt>
                <c:pt idx="4">
                  <c:v>中证细分医药产业主题指数收益率</c:v>
                </c:pt>
                <c:pt idx="5">
                  <c:v>中证生物医药指数收益率</c:v>
                </c:pt>
                <c:pt idx="6">
                  <c:v>中证医药100指数收益率</c:v>
                </c:pt>
                <c:pt idx="7">
                  <c:v>中证精准医疗主题指数收益率</c:v>
                </c:pt>
                <c:pt idx="8">
                  <c:v>中证生物科技主题指数收益率</c:v>
                </c:pt>
                <c:pt idx="9">
                  <c:v>中证医药指数收益率</c:v>
                </c:pt>
                <c:pt idx="10">
                  <c:v>沪深300医药卫生指数收益率</c:v>
                </c:pt>
              </c:strCache>
            </c:strRef>
          </c:cat>
          <c:val>
            <c:numRef>
              <c:f>'基金行业主题分类业绩评价基准-股指基准和债指基准统计'!$U$47:$U$57</c:f>
              <c:numCache>
                <c:formatCode>General</c:formatCode>
                <c:ptCount val="11"/>
                <c:pt idx="0">
                  <c:v>36</c:v>
                </c:pt>
                <c:pt idx="1">
                  <c:v>34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2-4469-AC79-C5EF3063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713320"/>
        <c:axId val="1099712008"/>
      </c:barChart>
      <c:catAx>
        <c:axId val="1099713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712008"/>
        <c:crosses val="autoZero"/>
        <c:auto val="1"/>
        <c:lblAlgn val="ctr"/>
        <c:lblOffset val="100"/>
        <c:noMultiLvlLbl val="0"/>
      </c:catAx>
      <c:valAx>
        <c:axId val="109971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71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'基金行业主题分类业绩评价基准-股指基准和债指基准统计'!$X$46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'基金行业主题分类业绩评价基准-股指基准和债指基准统计'!$W$47:$W$57</c:f>
              <c:strCache>
                <c:ptCount val="11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中债综合全价(总值)指数收益率</c:v>
                </c:pt>
                <c:pt idx="4">
                  <c:v>银行人民币活期存款利率(税后)</c:v>
                </c:pt>
                <c:pt idx="5">
                  <c:v>中证综合债指数收益率</c:v>
                </c:pt>
                <c:pt idx="6">
                  <c:v>中债总指数收益率</c:v>
                </c:pt>
                <c:pt idx="7">
                  <c:v>商业银行活期存款利率(税后)</c:v>
                </c:pt>
                <c:pt idx="8">
                  <c:v>中债总指数(全价)收益率</c:v>
                </c:pt>
                <c:pt idx="9">
                  <c:v>活期存款利率(税后)</c:v>
                </c:pt>
                <c:pt idx="10">
                  <c:v>中债总财富(总值)指数收益率</c:v>
                </c:pt>
              </c:strCache>
            </c:strRef>
          </c:cat>
          <c:val>
            <c:numRef>
              <c:f>'基金行业主题分类业绩评价基准-股指基准和债指基准统计'!$X$47:$X$57</c:f>
              <c:numCache>
                <c:formatCode>General</c:formatCode>
                <c:ptCount val="11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3-45CC-AB64-9E5A4148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1401520"/>
        <c:axId val="901396272"/>
      </c:barChart>
      <c:catAx>
        <c:axId val="90140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396272"/>
        <c:crosses val="autoZero"/>
        <c:auto val="1"/>
        <c:lblAlgn val="ctr"/>
        <c:lblOffset val="100"/>
        <c:noMultiLvlLbl val="0"/>
      </c:catAx>
      <c:valAx>
        <c:axId val="9013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4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'基金行业主题分类业绩评价基准-股指基准和债指基准统计'!$U$58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'基金行业主题分类业绩评价基准-股指基准和债指基准统计'!$T$59:$T$68</c:f>
              <c:strCache>
                <c:ptCount val="10"/>
                <c:pt idx="0">
                  <c:v>沪深300指数收益率</c:v>
                </c:pt>
                <c:pt idx="1">
                  <c:v>中证银行指数收益率</c:v>
                </c:pt>
                <c:pt idx="2">
                  <c:v>中证800指数收益率</c:v>
                </c:pt>
                <c:pt idx="3">
                  <c:v>中债综合全价指数收益率</c:v>
                </c:pt>
                <c:pt idx="4">
                  <c:v>中债综合财富指数收益率</c:v>
                </c:pt>
                <c:pt idx="5">
                  <c:v>中证红利指数收益率</c:v>
                </c:pt>
                <c:pt idx="6">
                  <c:v>沪深300红利低波动指数收益率</c:v>
                </c:pt>
                <c:pt idx="7">
                  <c:v>央视财经50指数收益率</c:v>
                </c:pt>
                <c:pt idx="8">
                  <c:v>中证锐联基本面50指数收益率</c:v>
                </c:pt>
                <c:pt idx="9">
                  <c:v>中证浙江凤凰行动50指数收益率</c:v>
                </c:pt>
              </c:strCache>
            </c:strRef>
          </c:cat>
          <c:val>
            <c:numRef>
              <c:f>'基金行业主题分类业绩评价基准-股指基准和债指基准统计'!$U$59:$U$68</c:f>
              <c:numCache>
                <c:formatCode>General</c:formatCode>
                <c:ptCount val="10"/>
                <c:pt idx="0">
                  <c:v>37</c:v>
                </c:pt>
                <c:pt idx="1">
                  <c:v>21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3-495B-99CA-D996F80B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653624"/>
        <c:axId val="1099654280"/>
      </c:barChart>
      <c:catAx>
        <c:axId val="1099653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54280"/>
        <c:crosses val="autoZero"/>
        <c:auto val="1"/>
        <c:lblAlgn val="ctr"/>
        <c:lblOffset val="100"/>
        <c:noMultiLvlLbl val="0"/>
      </c:catAx>
      <c:valAx>
        <c:axId val="1099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5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'基金行业主题分类业绩评价基准-股指基准和债指基准统计'!$X$58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'基金行业主题分类业绩评价基准-股指基准和债指基准统计'!$W$59:$W$68</c:f>
              <c:strCache>
                <c:ptCount val="1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银行人民币活期存款利率(税后)</c:v>
                </c:pt>
                <c:pt idx="4">
                  <c:v>中国债券总指数收益率</c:v>
                </c:pt>
                <c:pt idx="5">
                  <c:v>中债国债总指数(全价)</c:v>
                </c:pt>
                <c:pt idx="6">
                  <c:v>金融机构人民币活期存款基准利率(税后)</c:v>
                </c:pt>
                <c:pt idx="7">
                  <c:v>中债总指数(财富)</c:v>
                </c:pt>
                <c:pt idx="8">
                  <c:v>银行同业存款利率</c:v>
                </c:pt>
                <c:pt idx="9">
                  <c:v>中债综合全价指数收益率</c:v>
                </c:pt>
              </c:strCache>
            </c:strRef>
          </c:cat>
          <c:val>
            <c:numRef>
              <c:f>'基金行业主题分类业绩评价基准-股指基准和债指基准统计'!$X$59:$X$68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6-45EF-AC3E-AF67C165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4478088"/>
        <c:axId val="1414485304"/>
      </c:barChart>
      <c:catAx>
        <c:axId val="1414478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85304"/>
        <c:crosses val="autoZero"/>
        <c:auto val="1"/>
        <c:lblAlgn val="ctr"/>
        <c:lblOffset val="100"/>
        <c:noMultiLvlLbl val="0"/>
      </c:catAx>
      <c:valAx>
        <c:axId val="141448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7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Wind一级分类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中国基金分类情况统计!$D$2:$D$6</c:f>
              <c:strCache>
                <c:ptCount val="5"/>
                <c:pt idx="0">
                  <c:v>混合型基金</c:v>
                </c:pt>
                <c:pt idx="1">
                  <c:v>债券型基金</c:v>
                </c:pt>
                <c:pt idx="2">
                  <c:v>股票型基金</c:v>
                </c:pt>
                <c:pt idx="3">
                  <c:v>货币市场型基金</c:v>
                </c:pt>
                <c:pt idx="4">
                  <c:v>国际(QDII)基金</c:v>
                </c:pt>
              </c:strCache>
            </c:strRef>
          </c:cat>
          <c:val>
            <c:numRef>
              <c:f>中国基金分类情况统计!$E$2:$E$6</c:f>
              <c:numCache>
                <c:formatCode>General</c:formatCode>
                <c:ptCount val="5"/>
                <c:pt idx="0">
                  <c:v>4835</c:v>
                </c:pt>
                <c:pt idx="1">
                  <c:v>3771</c:v>
                </c:pt>
                <c:pt idx="2">
                  <c:v>1875</c:v>
                </c:pt>
                <c:pt idx="3">
                  <c:v>693</c:v>
                </c:pt>
                <c:pt idx="4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9D-401C-8DE8-35E01447845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5.0924639322046331E-3"/>
                  <c:y val="-7.83231364372136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A14-4F1D-9FAD-173F60C3BD20}"/>
                </c:ext>
              </c:extLst>
            </c:dLbl>
            <c:dLbl>
              <c:idx val="6"/>
              <c:layout>
                <c:manualLayout>
                  <c:x val="-2.025997975743226E-2"/>
                  <c:y val="1.11395831618608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A14-4F1D-9FAD-173F60C3BD20}"/>
                </c:ext>
              </c:extLst>
            </c:dLbl>
            <c:dLbl>
              <c:idx val="7"/>
              <c:layout>
                <c:manualLayout>
                  <c:x val="-2.0864683581219016E-2"/>
                  <c:y val="-1.79384893961425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A14-4F1D-9FAD-173F60C3BD20}"/>
                </c:ext>
              </c:extLst>
            </c:dLbl>
            <c:dLbl>
              <c:idx val="8"/>
              <c:layout>
                <c:manualLayout>
                  <c:x val="-0.10664608100458031"/>
                  <c:y val="-0.110563252764136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A14-4F1D-9FAD-173F60C3BD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A14-4F1D-9FAD-173F60C3BD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A14-4F1D-9FAD-173F60C3BD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A14-4F1D-9FAD-173F60C3BD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A14-4F1D-9FAD-173F60C3BD2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A14-4F1D-9FAD-173F60C3BD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A14-4F1D-9FAD-173F60C3BD2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A14-4F1D-9FAD-173F60C3BD2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A14-4F1D-9FAD-173F60C3BD2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A14-4F1D-9FAD-173F60C3BD2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A14-4F1D-9FAD-173F60C3BD2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A14-4F1D-9FAD-173F60C3BD2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A14-4F1D-9FAD-173F60C3BD2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A14-4F1D-9FAD-173F60C3BD2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A14-4F1D-9FAD-173F60C3BD2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A14-4F1D-9FAD-173F60C3BD20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A14-4F1D-9FAD-173F60C3BD2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14-4F1D-9FAD-173F60C3BD2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14-4F1D-9FAD-173F60C3BD2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A14-4F1D-9FAD-173F60C3BD2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A14-4F1D-9FAD-173F60C3BD2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A14-4F1D-9FAD-173F60C3BD20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A14-4F1D-9FAD-173F60C3BD20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A14-4F1D-9FAD-173F60C3BD20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A14-4F1D-9FAD-173F60C3BD20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A14-4F1D-9FAD-173F60C3BD20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A14-4F1D-9FAD-173F60C3BD20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A14-4F1D-9FAD-173F60C3BD20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A14-4F1D-9FAD-173F60C3BD20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14-4F1D-9FAD-173F60C3BD20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A14-4F1D-9FAD-173F60C3BD20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14-4F1D-9FAD-173F60C3BD20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14-4F1D-9FAD-173F60C3BD20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14-4F1D-9FAD-173F60C3BD20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14-4F1D-9FAD-173F60C3BD20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14-4F1D-9FAD-173F60C3BD20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14-4F1D-9FAD-173F60C3BD20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14-4F1D-9FAD-173F60C3BD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中国基金分类情况统计!$G$2:$G$47</c:f>
              <c:strCache>
                <c:ptCount val="46"/>
                <c:pt idx="0">
                  <c:v>酒类行业主题基金</c:v>
                </c:pt>
                <c:pt idx="1">
                  <c:v>电子元器件行业主题基金</c:v>
                </c:pt>
                <c:pt idx="2">
                  <c:v>电工电网行业主题基金</c:v>
                </c:pt>
                <c:pt idx="3">
                  <c:v>半导体行业主题基金</c:v>
                </c:pt>
                <c:pt idx="4">
                  <c:v>生物科技行业主题基金</c:v>
                </c:pt>
                <c:pt idx="5">
                  <c:v>银行行业主题基金</c:v>
                </c:pt>
                <c:pt idx="6">
                  <c:v>家用电器行业主题基金</c:v>
                </c:pt>
                <c:pt idx="7">
                  <c:v>保险行业主题基金</c:v>
                </c:pt>
                <c:pt idx="8">
                  <c:v>房地产行业主题基金</c:v>
                </c:pt>
                <c:pt idx="9">
                  <c:v>券商行业主题基金</c:v>
                </c:pt>
                <c:pt idx="10">
                  <c:v>软件行业主题基金</c:v>
                </c:pt>
                <c:pt idx="11">
                  <c:v>制药行业主题基金</c:v>
                </c:pt>
                <c:pt idx="12">
                  <c:v>医疗保健行业主题基金</c:v>
                </c:pt>
                <c:pt idx="13">
                  <c:v>贵金属行业主题基金</c:v>
                </c:pt>
                <c:pt idx="14">
                  <c:v>食品行业主题基金</c:v>
                </c:pt>
                <c:pt idx="15">
                  <c:v>工业机械行业主题基金</c:v>
                </c:pt>
                <c:pt idx="16">
                  <c:v>互联网行业主题基金</c:v>
                </c:pt>
                <c:pt idx="17">
                  <c:v>航天军工行业主题基金</c:v>
                </c:pt>
                <c:pt idx="18">
                  <c:v>建筑行业主题基金</c:v>
                </c:pt>
                <c:pt idx="19">
                  <c:v>农业行业主题基金</c:v>
                </c:pt>
                <c:pt idx="20">
                  <c:v>建材行业主题基金</c:v>
                </c:pt>
                <c:pt idx="21">
                  <c:v>文化传媒行业主题基金</c:v>
                </c:pt>
                <c:pt idx="22">
                  <c:v>精细化工行业主题基金</c:v>
                </c:pt>
                <c:pt idx="23">
                  <c:v>餐饮旅游行业主题基金</c:v>
                </c:pt>
                <c:pt idx="24">
                  <c:v>基本金属行业主题基金</c:v>
                </c:pt>
                <c:pt idx="25">
                  <c:v>汽车零部件行业主题基金</c:v>
                </c:pt>
                <c:pt idx="26">
                  <c:v>零售行业主题基金</c:v>
                </c:pt>
                <c:pt idx="27">
                  <c:v>电脑硬件行业主题基金</c:v>
                </c:pt>
                <c:pt idx="28">
                  <c:v>航空行业主题基金</c:v>
                </c:pt>
                <c:pt idx="29">
                  <c:v>煤炭行业主题基金</c:v>
                </c:pt>
                <c:pt idx="30">
                  <c:v>汽车行业主题基金</c:v>
                </c:pt>
                <c:pt idx="31">
                  <c:v>发电设备行业主题基金</c:v>
                </c:pt>
                <c:pt idx="32">
                  <c:v>化工原料行业主题基金</c:v>
                </c:pt>
                <c:pt idx="33">
                  <c:v>钢铁行业主题基金</c:v>
                </c:pt>
                <c:pt idx="34">
                  <c:v>家居用品行业主题基金</c:v>
                </c:pt>
                <c:pt idx="35">
                  <c:v>通信设备行业主题基金</c:v>
                </c:pt>
                <c:pt idx="36">
                  <c:v>化肥农药行业主题基金</c:v>
                </c:pt>
                <c:pt idx="37">
                  <c:v>电力行业主题基金</c:v>
                </c:pt>
                <c:pt idx="38">
                  <c:v>工程机械行业主题基金</c:v>
                </c:pt>
                <c:pt idx="39">
                  <c:v>环保行业主题基金</c:v>
                </c:pt>
                <c:pt idx="40">
                  <c:v>商业服务行业主题基金</c:v>
                </c:pt>
                <c:pt idx="41">
                  <c:v>包装行业主题基金</c:v>
                </c:pt>
                <c:pt idx="42">
                  <c:v>纺织服装行业主题基金</c:v>
                </c:pt>
                <c:pt idx="43">
                  <c:v>机场行业主题基金</c:v>
                </c:pt>
                <c:pt idx="44">
                  <c:v>重型机械行业主题基金</c:v>
                </c:pt>
                <c:pt idx="45">
                  <c:v>日用化工行业主题基金</c:v>
                </c:pt>
              </c:strCache>
            </c:strRef>
          </c:cat>
          <c:val>
            <c:numRef>
              <c:f>中国基金分类情况统计!$H$2:$H$47</c:f>
              <c:numCache>
                <c:formatCode>General</c:formatCode>
                <c:ptCount val="46"/>
                <c:pt idx="0">
                  <c:v>470</c:v>
                </c:pt>
                <c:pt idx="1">
                  <c:v>381</c:v>
                </c:pt>
                <c:pt idx="2">
                  <c:v>183</c:v>
                </c:pt>
                <c:pt idx="3">
                  <c:v>164</c:v>
                </c:pt>
                <c:pt idx="4">
                  <c:v>123</c:v>
                </c:pt>
                <c:pt idx="5">
                  <c:v>119</c:v>
                </c:pt>
                <c:pt idx="6">
                  <c:v>116</c:v>
                </c:pt>
                <c:pt idx="7">
                  <c:v>86</c:v>
                </c:pt>
                <c:pt idx="8">
                  <c:v>85</c:v>
                </c:pt>
                <c:pt idx="9">
                  <c:v>77</c:v>
                </c:pt>
                <c:pt idx="10">
                  <c:v>77</c:v>
                </c:pt>
                <c:pt idx="11">
                  <c:v>72</c:v>
                </c:pt>
                <c:pt idx="12">
                  <c:v>61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</c:v>
                </c:pt>
                <c:pt idx="17">
                  <c:v>25</c:v>
                </c:pt>
                <c:pt idx="18">
                  <c:v>24</c:v>
                </c:pt>
                <c:pt idx="19">
                  <c:v>20</c:v>
                </c:pt>
                <c:pt idx="20">
                  <c:v>18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4-4F1D-9FAD-173F60C3BD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'基金二级分类业绩评价基准-股指基准和债指基准统计'!$C$1</c:f>
              <c:strCache>
                <c:ptCount val="1"/>
                <c:pt idx="0">
                  <c:v>第一基准对应的基金数目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'基金二级分类业绩评价基准-股指基准和债指基准统计'!$B$2:$B$6</c:f>
              <c:strCache>
                <c:ptCount val="5"/>
                <c:pt idx="0">
                  <c:v>沪深300指数收益率</c:v>
                </c:pt>
                <c:pt idx="1">
                  <c:v>中证800指数收益率</c:v>
                </c:pt>
                <c:pt idx="2">
                  <c:v>中证500指数收益率</c:v>
                </c:pt>
                <c:pt idx="3">
                  <c:v>中国战略新兴产业成份指数收益率</c:v>
                </c:pt>
                <c:pt idx="4">
                  <c:v>中证医药卫生指数收益率</c:v>
                </c:pt>
              </c:strCache>
            </c:strRef>
          </c:cat>
          <c:val>
            <c:numRef>
              <c:f>'基金二级分类业绩评价基准-股指基准和债指基准统计'!$C$2:$C$6</c:f>
              <c:numCache>
                <c:formatCode>General</c:formatCode>
                <c:ptCount val="5"/>
                <c:pt idx="0">
                  <c:v>947</c:v>
                </c:pt>
                <c:pt idx="1">
                  <c:v>278</c:v>
                </c:pt>
                <c:pt idx="2">
                  <c:v>71</c:v>
                </c:pt>
                <c:pt idx="3">
                  <c:v>67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9-4D3B-B04D-3AB9A46F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516104"/>
        <c:axId val="1289522008"/>
      </c:barChart>
      <c:catAx>
        <c:axId val="1289516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22008"/>
        <c:crosses val="autoZero"/>
        <c:auto val="1"/>
        <c:lblAlgn val="ctr"/>
        <c:lblOffset val="100"/>
        <c:noMultiLvlLbl val="0"/>
      </c:catAx>
      <c:valAx>
        <c:axId val="128952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1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'基金二级分类业绩评价基准-股指基准和债指基准统计'!$F$1</c:f>
              <c:strCache>
                <c:ptCount val="1"/>
                <c:pt idx="0">
                  <c:v>第二基准对应的基金数目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'基金二级分类业绩评价基准-股指基准和债指基准统计'!$E$2:$E$6</c:f>
              <c:strCache>
                <c:ptCount val="5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</c:strCache>
            </c:strRef>
          </c:cat>
          <c:val>
            <c:numRef>
              <c:f>'基金二级分类业绩评价基准-股指基准和债指基准统计'!$F$2:$F$6</c:f>
              <c:numCache>
                <c:formatCode>General</c:formatCode>
                <c:ptCount val="5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3-4824-AAA8-A7F730DE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658216"/>
        <c:axId val="1099663464"/>
      </c:barChart>
      <c:catAx>
        <c:axId val="10996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63464"/>
        <c:crosses val="autoZero"/>
        <c:auto val="1"/>
        <c:lblAlgn val="ctr"/>
        <c:lblOffset val="100"/>
        <c:noMultiLvlLbl val="0"/>
      </c:catAx>
      <c:valAx>
        <c:axId val="109966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'基金二级分类业绩评价基准-股指基准和债指基准统计'!$B$7:$B$11</c:f>
              <c:strCache>
                <c:ptCount val="5"/>
                <c:pt idx="0">
                  <c:v>沪深300指数收益率</c:v>
                </c:pt>
                <c:pt idx="1">
                  <c:v>中证800指数收益率</c:v>
                </c:pt>
                <c:pt idx="2">
                  <c:v>中证全债指数收益率</c:v>
                </c:pt>
                <c:pt idx="3">
                  <c:v>一年期银行定期存款利率(税后)</c:v>
                </c:pt>
                <c:pt idx="4">
                  <c:v>中证综合债指数收益率</c:v>
                </c:pt>
              </c:strCache>
            </c:strRef>
          </c:cat>
          <c:val>
            <c:numRef>
              <c:f>'基金二级分类业绩评价基准-股指基准和债指基准统计'!$C$7:$C$11</c:f>
              <c:numCache>
                <c:formatCode>General</c:formatCode>
                <c:ptCount val="5"/>
                <c:pt idx="0">
                  <c:v>1220</c:v>
                </c:pt>
                <c:pt idx="1">
                  <c:v>131</c:v>
                </c:pt>
                <c:pt idx="2">
                  <c:v>56</c:v>
                </c:pt>
                <c:pt idx="3">
                  <c:v>49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7-46EA-B369-4BA0A7E0A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502000"/>
        <c:axId val="1289505280"/>
      </c:barChart>
      <c:catAx>
        <c:axId val="128950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05280"/>
        <c:crosses val="autoZero"/>
        <c:auto val="1"/>
        <c:lblAlgn val="ctr"/>
        <c:lblOffset val="100"/>
        <c:noMultiLvlLbl val="0"/>
      </c:catAx>
      <c:valAx>
        <c:axId val="12895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'基金二级分类业绩评价基准-股指基准和债指基准统计'!$E$7:$E$11</c:f>
              <c:strCache>
                <c:ptCount val="5"/>
                <c:pt idx="0">
                  <c:v>上证国债指数收益率</c:v>
                </c:pt>
                <c:pt idx="1">
                  <c:v>中证全债指数收益率</c:v>
                </c:pt>
                <c:pt idx="2">
                  <c:v>中债综合指数收益率</c:v>
                </c:pt>
                <c:pt idx="3">
                  <c:v>沪深300指数收益率</c:v>
                </c:pt>
                <c:pt idx="4">
                  <c:v>中证综合债指数收益率</c:v>
                </c:pt>
              </c:strCache>
            </c:strRef>
          </c:cat>
          <c:val>
            <c:numRef>
              <c:f>'基金二级分类业绩评价基准-股指基准和债指基准统计'!$F$7:$F$11</c:f>
              <c:numCache>
                <c:formatCode>General</c:formatCode>
                <c:ptCount val="5"/>
                <c:pt idx="0">
                  <c:v>261</c:v>
                </c:pt>
                <c:pt idx="1">
                  <c:v>251</c:v>
                </c:pt>
                <c:pt idx="2">
                  <c:v>226</c:v>
                </c:pt>
                <c:pt idx="3">
                  <c:v>222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8-4302-B266-D128ED65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4497112"/>
        <c:axId val="1414488584"/>
      </c:barChart>
      <c:catAx>
        <c:axId val="141449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88584"/>
        <c:crosses val="autoZero"/>
        <c:auto val="1"/>
        <c:lblAlgn val="ctr"/>
        <c:lblOffset val="100"/>
        <c:noMultiLvlLbl val="0"/>
      </c:catAx>
      <c:valAx>
        <c:axId val="141448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9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'基金二级分类业绩评价基准-股指基准和债指基准统计'!$B$12:$B$16</c:f>
              <c:strCache>
                <c:ptCount val="5"/>
                <c:pt idx="0">
                  <c:v>沪深300指数收益率</c:v>
                </c:pt>
                <c:pt idx="1">
                  <c:v>中证800指数收益率</c:v>
                </c:pt>
                <c:pt idx="2">
                  <c:v>中证500指数收益率</c:v>
                </c:pt>
                <c:pt idx="3">
                  <c:v>中证医药卫生指数收益率</c:v>
                </c:pt>
                <c:pt idx="4">
                  <c:v>中证内地消费主题指数收益率</c:v>
                </c:pt>
              </c:strCache>
            </c:strRef>
          </c:cat>
          <c:val>
            <c:numRef>
              <c:f>'基金二级分类业绩评价基准-股指基准和债指基准统计'!$C$12:$C$16</c:f>
              <c:numCache>
                <c:formatCode>General</c:formatCode>
                <c:ptCount val="5"/>
                <c:pt idx="0">
                  <c:v>163</c:v>
                </c:pt>
                <c:pt idx="1">
                  <c:v>69</c:v>
                </c:pt>
                <c:pt idx="2">
                  <c:v>41</c:v>
                </c:pt>
                <c:pt idx="3">
                  <c:v>31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1-41A0-871F-7DC9AFDC7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704464"/>
        <c:axId val="1099704792"/>
      </c:barChart>
      <c:catAx>
        <c:axId val="109970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704792"/>
        <c:crosses val="autoZero"/>
        <c:auto val="1"/>
        <c:lblAlgn val="ctr"/>
        <c:lblOffset val="100"/>
        <c:noMultiLvlLbl val="0"/>
      </c:catAx>
      <c:valAx>
        <c:axId val="109970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7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104774</xdr:rowOff>
    </xdr:from>
    <xdr:to>
      <xdr:col>4</xdr:col>
      <xdr:colOff>390525</xdr:colOff>
      <xdr:row>36</xdr:row>
      <xdr:rowOff>138110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CC7346-F144-45BD-A8D1-A81377A2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204789</xdr:colOff>
      <xdr:row>20</xdr:row>
      <xdr:rowOff>114300</xdr:rowOff>
    </xdr:from>
    <xdr:to>
      <xdr:col>19</xdr:col>
      <xdr:colOff>323851</xdr:colOff>
      <xdr:row>36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4CC8F8-A6B2-42BC-93A8-1197F5928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19</xdr:row>
      <xdr:rowOff>161925</xdr:rowOff>
    </xdr:from>
    <xdr:to>
      <xdr:col>17</xdr:col>
      <xdr:colOff>152400</xdr:colOff>
      <xdr:row>35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DD7090-13DE-4430-B8B7-D6EED2644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0</xdr:colOff>
      <xdr:row>15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119327-BD9F-41ED-86E9-73B6AE66E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354806</xdr:colOff>
      <xdr:row>0</xdr:row>
      <xdr:rowOff>90488</xdr:rowOff>
    </xdr:from>
    <xdr:to>
      <xdr:col>15</xdr:col>
      <xdr:colOff>392906</xdr:colOff>
      <xdr:row>16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452655D-428C-4EB0-AAD9-66E35DCD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421480</xdr:colOff>
      <xdr:row>2</xdr:row>
      <xdr:rowOff>157162</xdr:rowOff>
    </xdr:from>
    <xdr:to>
      <xdr:col>16</xdr:col>
      <xdr:colOff>459580</xdr:colOff>
      <xdr:row>18</xdr:row>
      <xdr:rowOff>80962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7CB92D-DBCB-4F59-8D5B-935270B9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592931</xdr:colOff>
      <xdr:row>3</xdr:row>
      <xdr:rowOff>85725</xdr:rowOff>
    </xdr:from>
    <xdr:to>
      <xdr:col>16</xdr:col>
      <xdr:colOff>631031</xdr:colOff>
      <xdr:row>19</xdr:row>
      <xdr:rowOff>9525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75A4994-8796-47A9-85D1-62E9F577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192881</xdr:colOff>
      <xdr:row>4</xdr:row>
      <xdr:rowOff>166687</xdr:rowOff>
    </xdr:from>
    <xdr:to>
      <xdr:col>17</xdr:col>
      <xdr:colOff>230981</xdr:colOff>
      <xdr:row>20</xdr:row>
      <xdr:rowOff>90487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101A38D-4BEA-42FC-9296-B028FF6B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154780</xdr:colOff>
      <xdr:row>5</xdr:row>
      <xdr:rowOff>0</xdr:rowOff>
    </xdr:from>
    <xdr:to>
      <xdr:col>17</xdr:col>
      <xdr:colOff>192880</xdr:colOff>
      <xdr:row>20</xdr:row>
      <xdr:rowOff>100012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FD5FEB9-9C99-49A2-9C9B-6840D8C1E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354806</xdr:colOff>
      <xdr:row>4</xdr:row>
      <xdr:rowOff>61912</xdr:rowOff>
    </xdr:from>
    <xdr:to>
      <xdr:col>15</xdr:col>
      <xdr:colOff>392906</xdr:colOff>
      <xdr:row>19</xdr:row>
      <xdr:rowOff>161925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B69E5B6-A68C-4367-939E-B3B7458B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292893</xdr:colOff>
      <xdr:row>7</xdr:row>
      <xdr:rowOff>66675</xdr:rowOff>
    </xdr:from>
    <xdr:to>
      <xdr:col>16</xdr:col>
      <xdr:colOff>330993</xdr:colOff>
      <xdr:row>22</xdr:row>
      <xdr:rowOff>166687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2D5D1DE-6717-4640-912F-78014DA35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473868</xdr:colOff>
      <xdr:row>4</xdr:row>
      <xdr:rowOff>19049</xdr:rowOff>
    </xdr:from>
    <xdr:to>
      <xdr:col>15</xdr:col>
      <xdr:colOff>511968</xdr:colOff>
      <xdr:row>19</xdr:row>
      <xdr:rowOff>119062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39B54CD-9EAF-4F19-AD59-BF6AC5B9B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273843</xdr:colOff>
      <xdr:row>1</xdr:row>
      <xdr:rowOff>157162</xdr:rowOff>
    </xdr:from>
    <xdr:to>
      <xdr:col>32</xdr:col>
      <xdr:colOff>311943</xdr:colOff>
      <xdr:row>17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07B1A3-A09D-4B95-B1A8-7C6026AB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1040606</xdr:colOff>
      <xdr:row>1</xdr:row>
      <xdr:rowOff>14288</xdr:rowOff>
    </xdr:from>
    <xdr:to>
      <xdr:col>32</xdr:col>
      <xdr:colOff>2381</xdr:colOff>
      <xdr:row>16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DB3468-D6B2-4755-915C-DC794CA4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230980</xdr:colOff>
      <xdr:row>19</xdr:row>
      <xdr:rowOff>90487</xdr:rowOff>
    </xdr:from>
    <xdr:to>
      <xdr:col>33</xdr:col>
      <xdr:colOff>269080</xdr:colOff>
      <xdr:row>34</xdr:row>
      <xdr:rowOff>180974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7BEFC8-5858-4A28-9E5E-0AAD5EFA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292893</xdr:colOff>
      <xdr:row>19</xdr:row>
      <xdr:rowOff>71438</xdr:rowOff>
    </xdr:from>
    <xdr:to>
      <xdr:col>33</xdr:col>
      <xdr:colOff>330993</xdr:colOff>
      <xdr:row>34</xdr:row>
      <xdr:rowOff>161925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205157-5ACC-4EB5-B688-813DC84B4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273843</xdr:colOff>
      <xdr:row>28</xdr:row>
      <xdr:rowOff>80962</xdr:rowOff>
    </xdr:from>
    <xdr:to>
      <xdr:col>33</xdr:col>
      <xdr:colOff>311943</xdr:colOff>
      <xdr:row>44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DA148C5-A604-46E6-A5A3-84DEB3824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421480</xdr:colOff>
      <xdr:row>30</xdr:row>
      <xdr:rowOff>38099</xdr:rowOff>
    </xdr:from>
    <xdr:to>
      <xdr:col>33</xdr:col>
      <xdr:colOff>459580</xdr:colOff>
      <xdr:row>45</xdr:row>
      <xdr:rowOff>133349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6012790-197C-4039-950A-904F324C8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121443</xdr:colOff>
      <xdr:row>40</xdr:row>
      <xdr:rowOff>90487</xdr:rowOff>
    </xdr:from>
    <xdr:to>
      <xdr:col>33</xdr:col>
      <xdr:colOff>159543</xdr:colOff>
      <xdr:row>56</xdr:row>
      <xdr:rowOff>9524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95D4FF6-6011-434C-9FA6-B47EBEF6C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616743</xdr:colOff>
      <xdr:row>42</xdr:row>
      <xdr:rowOff>138112</xdr:rowOff>
    </xdr:from>
    <xdr:to>
      <xdr:col>33</xdr:col>
      <xdr:colOff>7143</xdr:colOff>
      <xdr:row>58</xdr:row>
      <xdr:rowOff>52387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BC01055-FF64-48B1-8598-17B09D96B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383381</xdr:colOff>
      <xdr:row>52</xdr:row>
      <xdr:rowOff>14286</xdr:rowOff>
    </xdr:from>
    <xdr:to>
      <xdr:col>32</xdr:col>
      <xdr:colOff>421481</xdr:colOff>
      <xdr:row>67</xdr:row>
      <xdr:rowOff>109536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4388D9C-75FE-4B7B-AA43-4EF520B6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64293</xdr:colOff>
      <xdr:row>56</xdr:row>
      <xdr:rowOff>171449</xdr:rowOff>
    </xdr:from>
    <xdr:to>
      <xdr:col>32</xdr:col>
      <xdr:colOff>102393</xdr:colOff>
      <xdr:row>72</xdr:row>
      <xdr:rowOff>90487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5BD5548-B945-4432-8A06-7286A017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511968</xdr:colOff>
      <xdr:row>62</xdr:row>
      <xdr:rowOff>90488</xdr:rowOff>
    </xdr:from>
    <xdr:to>
      <xdr:col>32</xdr:col>
      <xdr:colOff>550068</xdr:colOff>
      <xdr:row>78</xdr:row>
      <xdr:rowOff>14288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C86EA96-C03F-4A33-BB8D-BD0418A9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726281</xdr:colOff>
      <xdr:row>62</xdr:row>
      <xdr:rowOff>71437</xdr:rowOff>
    </xdr:from>
    <xdr:to>
      <xdr:col>31</xdr:col>
      <xdr:colOff>335756</xdr:colOff>
      <xdr:row>77</xdr:row>
      <xdr:rowOff>171449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72B9DDE-E57A-4656-B7AB-E37031066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191;&#21457;&#37329;&#24037;/&#35838;&#39064;1%20&#20027;&#21160;&#22522;&#37329;&#19994;&#32489;&#27604;&#36739;&#22522;&#20934;&#36873;&#25321;&#30740;&#31350;/result/&#20108;&#32423;&#20998;&#31867;_&#32479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股票_偏股混合型基金"/>
      <sheetName val="债券_偏股混合型基金"/>
      <sheetName val="股票_灵活配置型基金"/>
      <sheetName val="债券_灵活配置型基金"/>
      <sheetName val="股票_增强指数型基金"/>
      <sheetName val="债券_增强指数型基金"/>
      <sheetName val="股票_普通股票型基金"/>
      <sheetName val="债券_普通股票型基金"/>
      <sheetName val="股票_偏债混合型基金"/>
      <sheetName val="债券_偏债混合型基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FF21-71F2-450D-B7CC-A80CBC365829}">
  <dimension ref="A1:I47"/>
  <sheetViews>
    <sheetView workbookViewId="0">
      <selection activeCell="D2" sqref="D2:D7"/>
    </sheetView>
  </sheetViews>
  <sheetFormatPr defaultRowHeight="13.9" x14ac:dyDescent="0.4"/>
  <cols>
    <col min="1" max="1" width="28.1328125" bestFit="1" customWidth="1"/>
    <col min="4" max="4" width="14.86328125" bestFit="1" customWidth="1"/>
    <col min="7" max="7" width="28.86328125" bestFit="1" customWidth="1"/>
  </cols>
  <sheetData>
    <row r="1" spans="1:9" x14ac:dyDescent="0.4">
      <c r="A1" t="s">
        <v>38</v>
      </c>
      <c r="B1" t="s">
        <v>39</v>
      </c>
      <c r="D1" t="s">
        <v>38</v>
      </c>
      <c r="E1" t="s">
        <v>39</v>
      </c>
      <c r="G1" s="5" t="s">
        <v>38</v>
      </c>
      <c r="H1" s="5" t="s">
        <v>66</v>
      </c>
    </row>
    <row r="2" spans="1:9" x14ac:dyDescent="0.4">
      <c r="A2" t="s">
        <v>55</v>
      </c>
      <c r="B2">
        <v>2309</v>
      </c>
      <c r="C2">
        <f>B2/$B$23</f>
        <v>0.19965412883700823</v>
      </c>
      <c r="D2" t="s">
        <v>58</v>
      </c>
      <c r="E2">
        <v>4835</v>
      </c>
      <c r="G2" s="5" t="s">
        <v>95</v>
      </c>
      <c r="H2" s="5">
        <v>470</v>
      </c>
      <c r="I2">
        <f>H2/2405</f>
        <v>0.19542619542619544</v>
      </c>
    </row>
    <row r="3" spans="1:9" x14ac:dyDescent="0.4">
      <c r="A3" t="s">
        <v>47</v>
      </c>
      <c r="B3">
        <v>2063</v>
      </c>
      <c r="C3">
        <f t="shared" ref="C3:C22" si="0">B3/$B$23</f>
        <v>0.17838305231301341</v>
      </c>
      <c r="D3" t="s">
        <v>61</v>
      </c>
      <c r="E3">
        <v>3771</v>
      </c>
      <c r="G3" s="5" t="s">
        <v>74</v>
      </c>
      <c r="H3" s="5">
        <v>381</v>
      </c>
      <c r="I3">
        <f t="shared" ref="I3:I8" si="1">H3/2405</f>
        <v>0.15841995841995843</v>
      </c>
    </row>
    <row r="4" spans="1:9" x14ac:dyDescent="0.4">
      <c r="A4" t="s">
        <v>48</v>
      </c>
      <c r="B4">
        <v>1855</v>
      </c>
      <c r="C4">
        <f t="shared" si="0"/>
        <v>0.16039775183744057</v>
      </c>
      <c r="D4" t="s">
        <v>56</v>
      </c>
      <c r="E4">
        <v>1875</v>
      </c>
      <c r="G4" s="5" t="s">
        <v>71</v>
      </c>
      <c r="H4" s="5">
        <v>183</v>
      </c>
      <c r="I4">
        <f t="shared" si="1"/>
        <v>7.6091476091476096E-2</v>
      </c>
    </row>
    <row r="5" spans="1:9" x14ac:dyDescent="0.4">
      <c r="A5" t="s">
        <v>41</v>
      </c>
      <c r="B5">
        <v>1056</v>
      </c>
      <c r="C5">
        <f t="shared" si="0"/>
        <v>9.1309987029831383E-2</v>
      </c>
      <c r="D5" t="s">
        <v>59</v>
      </c>
      <c r="E5">
        <v>693</v>
      </c>
      <c r="G5" s="5" t="s">
        <v>67</v>
      </c>
      <c r="H5" s="5">
        <v>164</v>
      </c>
      <c r="I5">
        <f t="shared" si="1"/>
        <v>6.8191268191268195E-2</v>
      </c>
    </row>
    <row r="6" spans="1:9" x14ac:dyDescent="0.4">
      <c r="A6" t="s">
        <v>49</v>
      </c>
      <c r="B6">
        <v>784</v>
      </c>
      <c r="C6">
        <f t="shared" si="0"/>
        <v>6.7790747946389965E-2</v>
      </c>
      <c r="D6" t="s">
        <v>57</v>
      </c>
      <c r="E6">
        <v>309</v>
      </c>
      <c r="G6" s="5" t="s">
        <v>105</v>
      </c>
      <c r="H6" s="5">
        <v>123</v>
      </c>
      <c r="I6">
        <f t="shared" si="1"/>
        <v>5.1143451143451146E-2</v>
      </c>
    </row>
    <row r="7" spans="1:9" x14ac:dyDescent="0.4">
      <c r="A7" t="s">
        <v>59</v>
      </c>
      <c r="B7">
        <v>693</v>
      </c>
      <c r="C7">
        <f t="shared" si="0"/>
        <v>5.992217898832685E-2</v>
      </c>
      <c r="D7" t="s">
        <v>60</v>
      </c>
      <c r="E7">
        <v>82</v>
      </c>
      <c r="G7" s="5" t="s">
        <v>110</v>
      </c>
      <c r="H7" s="5">
        <v>119</v>
      </c>
      <c r="I7">
        <f t="shared" si="1"/>
        <v>4.9480249480249483E-2</v>
      </c>
    </row>
    <row r="8" spans="1:9" x14ac:dyDescent="0.4">
      <c r="A8" t="s">
        <v>45</v>
      </c>
      <c r="B8">
        <v>646</v>
      </c>
      <c r="C8">
        <f t="shared" si="0"/>
        <v>5.5858192823173371E-2</v>
      </c>
      <c r="G8" s="5" t="s">
        <v>91</v>
      </c>
      <c r="H8" s="5">
        <v>116</v>
      </c>
      <c r="I8">
        <f t="shared" si="1"/>
        <v>4.8232848232848236E-2</v>
      </c>
    </row>
    <row r="9" spans="1:9" x14ac:dyDescent="0.4">
      <c r="A9" t="s">
        <v>51</v>
      </c>
      <c r="B9">
        <v>596</v>
      </c>
      <c r="C9">
        <f t="shared" si="0"/>
        <v>5.1534803285776046E-2</v>
      </c>
      <c r="G9" t="s">
        <v>69</v>
      </c>
      <c r="H9">
        <v>86</v>
      </c>
    </row>
    <row r="10" spans="1:9" x14ac:dyDescent="0.4">
      <c r="A10" t="s">
        <v>43</v>
      </c>
      <c r="B10">
        <v>384</v>
      </c>
      <c r="C10">
        <f t="shared" si="0"/>
        <v>3.3203631647211414E-2</v>
      </c>
      <c r="G10" t="s">
        <v>76</v>
      </c>
      <c r="H10">
        <v>85</v>
      </c>
    </row>
    <row r="11" spans="1:9" x14ac:dyDescent="0.4">
      <c r="A11" t="s">
        <v>42</v>
      </c>
      <c r="B11">
        <v>271</v>
      </c>
      <c r="C11">
        <f t="shared" si="0"/>
        <v>2.3432771292693472E-2</v>
      </c>
      <c r="G11" t="s">
        <v>101</v>
      </c>
      <c r="H11">
        <v>77</v>
      </c>
    </row>
    <row r="12" spans="1:9" x14ac:dyDescent="0.4">
      <c r="A12" t="s">
        <v>53</v>
      </c>
      <c r="B12">
        <v>223</v>
      </c>
      <c r="C12">
        <f t="shared" si="0"/>
        <v>1.9282317336792046E-2</v>
      </c>
      <c r="G12" t="s">
        <v>103</v>
      </c>
      <c r="H12">
        <v>77</v>
      </c>
    </row>
    <row r="13" spans="1:9" x14ac:dyDescent="0.4">
      <c r="A13" t="s">
        <v>46</v>
      </c>
      <c r="B13">
        <v>160</v>
      </c>
      <c r="C13">
        <f t="shared" si="0"/>
        <v>1.3834846519671422E-2</v>
      </c>
      <c r="G13" t="s">
        <v>111</v>
      </c>
      <c r="H13">
        <v>72</v>
      </c>
    </row>
    <row r="14" spans="1:9" x14ac:dyDescent="0.4">
      <c r="A14" t="s">
        <v>62</v>
      </c>
      <c r="B14">
        <v>138</v>
      </c>
      <c r="C14">
        <f t="shared" si="0"/>
        <v>1.1932555123216601E-2</v>
      </c>
      <c r="G14" t="s">
        <v>109</v>
      </c>
      <c r="H14">
        <v>61</v>
      </c>
    </row>
    <row r="15" spans="1:9" x14ac:dyDescent="0.4">
      <c r="A15" t="s">
        <v>50</v>
      </c>
      <c r="B15">
        <v>133</v>
      </c>
      <c r="C15">
        <f t="shared" si="0"/>
        <v>1.1500216169476871E-2</v>
      </c>
      <c r="G15" t="s">
        <v>81</v>
      </c>
      <c r="H15">
        <v>38</v>
      </c>
    </row>
    <row r="16" spans="1:9" x14ac:dyDescent="0.4">
      <c r="A16" t="s">
        <v>65</v>
      </c>
      <c r="B16">
        <v>78</v>
      </c>
      <c r="C16">
        <f t="shared" si="0"/>
        <v>6.7444876783398187E-3</v>
      </c>
      <c r="G16" t="s">
        <v>106</v>
      </c>
      <c r="H16">
        <v>35</v>
      </c>
    </row>
    <row r="17" spans="1:8" x14ac:dyDescent="0.4">
      <c r="A17" t="s">
        <v>63</v>
      </c>
      <c r="B17">
        <v>56</v>
      </c>
      <c r="C17">
        <f t="shared" si="0"/>
        <v>4.842196281884998E-3</v>
      </c>
      <c r="G17" t="s">
        <v>80</v>
      </c>
      <c r="H17">
        <v>33</v>
      </c>
    </row>
    <row r="18" spans="1:8" x14ac:dyDescent="0.4">
      <c r="A18" t="s">
        <v>52</v>
      </c>
      <c r="B18">
        <v>42</v>
      </c>
      <c r="C18">
        <f t="shared" si="0"/>
        <v>3.6316472114137485E-3</v>
      </c>
      <c r="G18" t="s">
        <v>84</v>
      </c>
      <c r="H18">
        <v>29</v>
      </c>
    </row>
    <row r="19" spans="1:8" x14ac:dyDescent="0.4">
      <c r="A19" t="s">
        <v>44</v>
      </c>
      <c r="B19">
        <v>39</v>
      </c>
      <c r="C19">
        <f t="shared" si="0"/>
        <v>3.3722438391699094E-3</v>
      </c>
      <c r="G19" t="s">
        <v>83</v>
      </c>
      <c r="H19">
        <v>25</v>
      </c>
    </row>
    <row r="20" spans="1:8" x14ac:dyDescent="0.4">
      <c r="A20" t="s">
        <v>64</v>
      </c>
      <c r="B20">
        <v>37</v>
      </c>
      <c r="C20">
        <f t="shared" si="0"/>
        <v>3.1993082576740163E-3</v>
      </c>
      <c r="G20" t="s">
        <v>93</v>
      </c>
      <c r="H20">
        <v>24</v>
      </c>
    </row>
    <row r="21" spans="1:8" x14ac:dyDescent="0.4">
      <c r="A21" t="s">
        <v>40</v>
      </c>
      <c r="B21">
        <v>1</v>
      </c>
      <c r="C21">
        <f t="shared" si="0"/>
        <v>8.6467790747946394E-5</v>
      </c>
      <c r="G21" t="s">
        <v>98</v>
      </c>
      <c r="H21">
        <v>20</v>
      </c>
    </row>
    <row r="22" spans="1:8" x14ac:dyDescent="0.4">
      <c r="A22" t="s">
        <v>54</v>
      </c>
      <c r="B22">
        <v>1</v>
      </c>
      <c r="C22">
        <f t="shared" si="0"/>
        <v>8.6467790747946394E-5</v>
      </c>
      <c r="G22" t="s">
        <v>92</v>
      </c>
      <c r="H22">
        <v>18</v>
      </c>
    </row>
    <row r="23" spans="1:8" x14ac:dyDescent="0.4">
      <c r="B23">
        <v>11565</v>
      </c>
      <c r="G23" t="s">
        <v>108</v>
      </c>
      <c r="H23">
        <v>14</v>
      </c>
    </row>
    <row r="24" spans="1:8" x14ac:dyDescent="0.4">
      <c r="G24" t="s">
        <v>94</v>
      </c>
      <c r="H24">
        <v>13</v>
      </c>
    </row>
    <row r="25" spans="1:8" x14ac:dyDescent="0.4">
      <c r="G25" t="s">
        <v>70</v>
      </c>
      <c r="H25">
        <v>12</v>
      </c>
    </row>
    <row r="26" spans="1:8" x14ac:dyDescent="0.4">
      <c r="G26" t="s">
        <v>89</v>
      </c>
      <c r="H26">
        <v>12</v>
      </c>
    </row>
    <row r="27" spans="1:8" x14ac:dyDescent="0.4">
      <c r="G27" t="s">
        <v>100</v>
      </c>
      <c r="H27">
        <v>12</v>
      </c>
    </row>
    <row r="28" spans="1:8" x14ac:dyDescent="0.4">
      <c r="G28" t="s">
        <v>96</v>
      </c>
      <c r="H28">
        <v>11</v>
      </c>
    </row>
    <row r="29" spans="1:8" x14ac:dyDescent="0.4">
      <c r="G29" t="s">
        <v>73</v>
      </c>
      <c r="H29">
        <v>10</v>
      </c>
    </row>
    <row r="30" spans="1:8" x14ac:dyDescent="0.4">
      <c r="G30" t="s">
        <v>82</v>
      </c>
      <c r="H30">
        <v>9</v>
      </c>
    </row>
    <row r="31" spans="1:8" x14ac:dyDescent="0.4">
      <c r="G31" t="s">
        <v>97</v>
      </c>
      <c r="H31">
        <v>9</v>
      </c>
    </row>
    <row r="32" spans="1:8" x14ac:dyDescent="0.4">
      <c r="G32" t="s">
        <v>99</v>
      </c>
      <c r="H32">
        <v>8</v>
      </c>
    </row>
    <row r="33" spans="7:8" x14ac:dyDescent="0.4">
      <c r="G33" t="s">
        <v>75</v>
      </c>
      <c r="H33">
        <v>7</v>
      </c>
    </row>
    <row r="34" spans="7:8" x14ac:dyDescent="0.4">
      <c r="G34" t="s">
        <v>86</v>
      </c>
      <c r="H34">
        <v>7</v>
      </c>
    </row>
    <row r="35" spans="7:8" x14ac:dyDescent="0.4">
      <c r="G35" t="s">
        <v>78</v>
      </c>
      <c r="H35">
        <v>6</v>
      </c>
    </row>
    <row r="36" spans="7:8" x14ac:dyDescent="0.4">
      <c r="G36" t="s">
        <v>90</v>
      </c>
      <c r="H36">
        <v>6</v>
      </c>
    </row>
    <row r="37" spans="7:8" x14ac:dyDescent="0.4">
      <c r="G37" t="s">
        <v>107</v>
      </c>
      <c r="H37">
        <v>6</v>
      </c>
    </row>
    <row r="38" spans="7:8" x14ac:dyDescent="0.4">
      <c r="G38" t="s">
        <v>85</v>
      </c>
      <c r="H38">
        <v>5</v>
      </c>
    </row>
    <row r="39" spans="7:8" x14ac:dyDescent="0.4">
      <c r="G39" t="s">
        <v>72</v>
      </c>
      <c r="H39">
        <v>4</v>
      </c>
    </row>
    <row r="40" spans="7:8" x14ac:dyDescent="0.4">
      <c r="G40" t="s">
        <v>79</v>
      </c>
      <c r="H40">
        <v>3</v>
      </c>
    </row>
    <row r="41" spans="7:8" x14ac:dyDescent="0.4">
      <c r="G41" t="s">
        <v>87</v>
      </c>
      <c r="H41">
        <v>3</v>
      </c>
    </row>
    <row r="42" spans="7:8" x14ac:dyDescent="0.4">
      <c r="G42" t="s">
        <v>104</v>
      </c>
      <c r="H42">
        <v>3</v>
      </c>
    </row>
    <row r="43" spans="7:8" x14ac:dyDescent="0.4">
      <c r="G43" t="s">
        <v>68</v>
      </c>
      <c r="H43">
        <v>2</v>
      </c>
    </row>
    <row r="44" spans="7:8" x14ac:dyDescent="0.4">
      <c r="G44" t="s">
        <v>77</v>
      </c>
      <c r="H44">
        <v>2</v>
      </c>
    </row>
    <row r="45" spans="7:8" x14ac:dyDescent="0.4">
      <c r="G45" t="s">
        <v>88</v>
      </c>
      <c r="H45">
        <v>2</v>
      </c>
    </row>
    <row r="46" spans="7:8" x14ac:dyDescent="0.4">
      <c r="G46" t="s">
        <v>112</v>
      </c>
      <c r="H46">
        <v>2</v>
      </c>
    </row>
    <row r="47" spans="7:8" x14ac:dyDescent="0.4">
      <c r="G47" t="s">
        <v>102</v>
      </c>
      <c r="H47">
        <v>1</v>
      </c>
    </row>
  </sheetData>
  <autoFilter ref="G1:H1" xr:uid="{8FA930C7-5A5E-4C44-A4CB-07AC43BD34C2}">
    <sortState xmlns:xlrd2="http://schemas.microsoft.com/office/spreadsheetml/2017/richdata2" ref="G2:H47">
      <sortCondition descending="1" ref="H1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80AF-51D2-4212-B7BF-B9BFB59A30A4}">
  <dimension ref="A1:G21"/>
  <sheetViews>
    <sheetView tabSelected="1" workbookViewId="0">
      <selection activeCell="E17" sqref="E17:F21"/>
    </sheetView>
  </sheetViews>
  <sheetFormatPr defaultRowHeight="13.9" x14ac:dyDescent="0.4"/>
  <cols>
    <col min="1" max="1" width="9.06640625" style="3"/>
    <col min="2" max="2" width="22.3984375" style="3" customWidth="1"/>
    <col min="3" max="3" width="9.06640625" style="3"/>
    <col min="4" max="4" width="9.06640625" style="4"/>
    <col min="5" max="5" width="23.06640625" style="3" bestFit="1" customWidth="1"/>
    <col min="6" max="6" width="9.06640625" style="3"/>
    <col min="7" max="7" width="9.06640625" style="4"/>
    <col min="8" max="16384" width="9.06640625" style="3"/>
  </cols>
  <sheetData>
    <row r="1" spans="1:7" ht="14.25" thickBot="1" x14ac:dyDescent="0.45">
      <c r="A1" s="19"/>
      <c r="B1" s="20" t="s">
        <v>285</v>
      </c>
      <c r="C1" s="20" t="s">
        <v>284</v>
      </c>
      <c r="D1" s="20" t="s">
        <v>286</v>
      </c>
      <c r="E1" s="20" t="s">
        <v>287</v>
      </c>
      <c r="F1" s="20" t="s">
        <v>288</v>
      </c>
      <c r="G1" s="20" t="s">
        <v>289</v>
      </c>
    </row>
    <row r="2" spans="1:7" x14ac:dyDescent="0.4">
      <c r="A2" s="16" t="s">
        <v>274</v>
      </c>
      <c r="B2" s="11" t="s">
        <v>275</v>
      </c>
      <c r="C2" s="10">
        <f>121+826</f>
        <v>947</v>
      </c>
      <c r="D2" s="13">
        <f>826/947*0.649356223175965+121/947*75.27%</f>
        <v>0.66256065506161255</v>
      </c>
      <c r="E2" s="11" t="s">
        <v>6</v>
      </c>
      <c r="F2" s="10">
        <v>239</v>
      </c>
      <c r="G2" s="13">
        <v>0.69166666666666676</v>
      </c>
    </row>
    <row r="3" spans="1:7" x14ac:dyDescent="0.4">
      <c r="A3" s="16"/>
      <c r="B3" s="11" t="s">
        <v>281</v>
      </c>
      <c r="C3" s="10">
        <v>278</v>
      </c>
      <c r="D3" s="13">
        <v>0.66533720930232576</v>
      </c>
      <c r="E3" s="11" t="s">
        <v>8</v>
      </c>
      <c r="F3" s="10">
        <v>212</v>
      </c>
      <c r="G3" s="13">
        <v>0.66013698630136974</v>
      </c>
    </row>
    <row r="4" spans="1:7" x14ac:dyDescent="0.4">
      <c r="A4" s="16"/>
      <c r="B4" s="11" t="s">
        <v>282</v>
      </c>
      <c r="C4" s="10">
        <v>71</v>
      </c>
      <c r="D4" s="13">
        <v>0.68812499999999999</v>
      </c>
      <c r="E4" s="11" t="s">
        <v>10</v>
      </c>
      <c r="F4" s="10">
        <v>169</v>
      </c>
      <c r="G4" s="13">
        <v>0.6663636363636366</v>
      </c>
    </row>
    <row r="5" spans="1:7" x14ac:dyDescent="0.4">
      <c r="A5" s="16"/>
      <c r="B5" s="11" t="s">
        <v>13</v>
      </c>
      <c r="C5" s="10">
        <v>67</v>
      </c>
      <c r="D5" s="13">
        <v>0.66025641025640991</v>
      </c>
      <c r="E5" s="11" t="s">
        <v>12</v>
      </c>
      <c r="F5" s="10">
        <v>115</v>
      </c>
      <c r="G5" s="13">
        <v>0.70714285714285741</v>
      </c>
    </row>
    <row r="6" spans="1:7" x14ac:dyDescent="0.4">
      <c r="A6" s="16"/>
      <c r="B6" s="11" t="s">
        <v>15</v>
      </c>
      <c r="C6" s="10">
        <v>34</v>
      </c>
      <c r="D6" s="13">
        <v>0.61944444444444435</v>
      </c>
      <c r="E6" s="11" t="s">
        <v>14</v>
      </c>
      <c r="F6" s="10">
        <v>99</v>
      </c>
      <c r="G6" s="13">
        <v>0.69891304347826089</v>
      </c>
    </row>
    <row r="7" spans="1:7" x14ac:dyDescent="0.4">
      <c r="A7" s="16" t="s">
        <v>276</v>
      </c>
      <c r="B7" s="11" t="s">
        <v>275</v>
      </c>
      <c r="C7" s="10">
        <f>95+1125</f>
        <v>1220</v>
      </c>
      <c r="D7" s="13">
        <f>1125/1220*0.573263888888889+95/1220*57.9167%</f>
        <v>0.57372355737704928</v>
      </c>
      <c r="E7" s="11" t="s">
        <v>6</v>
      </c>
      <c r="F7" s="10">
        <v>261</v>
      </c>
      <c r="G7" s="13">
        <v>0.62142857142857133</v>
      </c>
    </row>
    <row r="8" spans="1:7" x14ac:dyDescent="0.4">
      <c r="A8" s="16"/>
      <c r="B8" s="11" t="s">
        <v>281</v>
      </c>
      <c r="C8" s="10">
        <v>131</v>
      </c>
      <c r="D8" s="13">
        <v>0.59782608695652162</v>
      </c>
      <c r="E8" s="11" t="s">
        <v>10</v>
      </c>
      <c r="F8" s="10">
        <v>251</v>
      </c>
      <c r="G8" s="13">
        <v>0.56756756756756765</v>
      </c>
    </row>
    <row r="9" spans="1:7" x14ac:dyDescent="0.4">
      <c r="A9" s="16"/>
      <c r="B9" s="11" t="s">
        <v>283</v>
      </c>
      <c r="C9" s="10">
        <v>56</v>
      </c>
      <c r="D9" s="13">
        <v>0.60624999999999996</v>
      </c>
      <c r="E9" s="11" t="s">
        <v>8</v>
      </c>
      <c r="F9" s="10">
        <v>226</v>
      </c>
      <c r="G9" s="13">
        <v>0.59629629629629621</v>
      </c>
    </row>
    <row r="10" spans="1:7" x14ac:dyDescent="0.4">
      <c r="A10" s="16"/>
      <c r="B10" s="11" t="s">
        <v>241</v>
      </c>
      <c r="C10" s="10">
        <v>49</v>
      </c>
      <c r="D10" s="13">
        <v>0.6</v>
      </c>
      <c r="E10" s="11" t="s">
        <v>5</v>
      </c>
      <c r="F10" s="10">
        <v>222</v>
      </c>
      <c r="G10" s="13">
        <v>0.63545454545454527</v>
      </c>
    </row>
    <row r="11" spans="1:7" x14ac:dyDescent="0.4">
      <c r="A11" s="16"/>
      <c r="B11" s="11" t="s">
        <v>12</v>
      </c>
      <c r="C11" s="10">
        <v>39</v>
      </c>
      <c r="D11" s="13">
        <v>0.64166666666666661</v>
      </c>
      <c r="E11" s="11" t="s">
        <v>12</v>
      </c>
      <c r="F11" s="10">
        <v>135</v>
      </c>
      <c r="G11" s="13">
        <v>0.60185185185185186</v>
      </c>
    </row>
    <row r="12" spans="1:7" x14ac:dyDescent="0.4">
      <c r="A12" s="16" t="s">
        <v>277</v>
      </c>
      <c r="B12" s="11" t="s">
        <v>275</v>
      </c>
      <c r="C12" s="10">
        <v>163</v>
      </c>
      <c r="D12" s="13">
        <v>0.74765625000000058</v>
      </c>
      <c r="E12" s="11" t="s">
        <v>10</v>
      </c>
      <c r="F12" s="10">
        <v>56</v>
      </c>
      <c r="G12" s="13">
        <v>0.79333333333333345</v>
      </c>
    </row>
    <row r="13" spans="1:7" x14ac:dyDescent="0.4">
      <c r="A13" s="16"/>
      <c r="B13" s="11" t="s">
        <v>281</v>
      </c>
      <c r="C13" s="10">
        <v>69</v>
      </c>
      <c r="D13" s="13">
        <v>0.79393939393939417</v>
      </c>
      <c r="E13" s="11" t="s">
        <v>6</v>
      </c>
      <c r="F13" s="10">
        <v>48</v>
      </c>
      <c r="G13" s="13">
        <v>0.83000000000000029</v>
      </c>
    </row>
    <row r="14" spans="1:7" x14ac:dyDescent="0.4">
      <c r="A14" s="16"/>
      <c r="B14" s="11" t="s">
        <v>282</v>
      </c>
      <c r="C14" s="10">
        <v>41</v>
      </c>
      <c r="D14" s="13">
        <v>0.87500000000000011</v>
      </c>
      <c r="E14" s="11" t="s">
        <v>8</v>
      </c>
      <c r="F14" s="10">
        <v>45</v>
      </c>
      <c r="G14" s="13">
        <v>0.78947368421052644</v>
      </c>
    </row>
    <row r="15" spans="1:7" x14ac:dyDescent="0.4">
      <c r="A15" s="16"/>
      <c r="B15" s="11" t="s">
        <v>15</v>
      </c>
      <c r="C15" s="10">
        <v>31</v>
      </c>
      <c r="D15" s="13">
        <v>0.75277777777777755</v>
      </c>
      <c r="E15" s="11" t="s">
        <v>12</v>
      </c>
      <c r="F15" s="10">
        <v>38</v>
      </c>
      <c r="G15" s="13">
        <v>0.80652173913043512</v>
      </c>
    </row>
    <row r="16" spans="1:7" x14ac:dyDescent="0.4">
      <c r="A16" s="16"/>
      <c r="B16" s="11" t="s">
        <v>17</v>
      </c>
      <c r="C16" s="10">
        <v>27</v>
      </c>
      <c r="D16" s="13">
        <v>0.75882352941176467</v>
      </c>
      <c r="E16" s="11" t="s">
        <v>16</v>
      </c>
      <c r="F16" s="10">
        <v>34</v>
      </c>
      <c r="G16" s="13">
        <v>0.8192307692307691</v>
      </c>
    </row>
    <row r="17" spans="1:7" x14ac:dyDescent="0.4">
      <c r="A17" s="16" t="s">
        <v>278</v>
      </c>
      <c r="B17" s="11" t="s">
        <v>275</v>
      </c>
      <c r="C17" s="10">
        <v>631</v>
      </c>
      <c r="D17" s="13">
        <v>0.18992721518987291</v>
      </c>
      <c r="E17" s="11" t="s">
        <v>8</v>
      </c>
      <c r="F17" s="10">
        <v>152</v>
      </c>
      <c r="G17" s="13">
        <v>0.16458928571428569</v>
      </c>
    </row>
    <row r="18" spans="1:7" x14ac:dyDescent="0.4">
      <c r="A18" s="16"/>
      <c r="B18" s="11" t="s">
        <v>281</v>
      </c>
      <c r="C18" s="10">
        <v>66</v>
      </c>
      <c r="D18" s="13">
        <v>0.18911764705882361</v>
      </c>
      <c r="E18" s="11" t="s">
        <v>10</v>
      </c>
      <c r="F18" s="10">
        <v>118</v>
      </c>
      <c r="G18" s="13">
        <v>0.2037037037037038</v>
      </c>
    </row>
    <row r="19" spans="1:7" x14ac:dyDescent="0.4">
      <c r="A19" s="16"/>
      <c r="B19" s="11" t="s">
        <v>282</v>
      </c>
      <c r="C19" s="10">
        <v>9</v>
      </c>
      <c r="D19" s="13">
        <v>0.22</v>
      </c>
      <c r="E19" s="11" t="s">
        <v>26</v>
      </c>
      <c r="F19" s="10">
        <v>63</v>
      </c>
      <c r="G19" s="13">
        <v>0.16350000000000001</v>
      </c>
    </row>
    <row r="20" spans="1:7" x14ac:dyDescent="0.4">
      <c r="A20" s="16"/>
      <c r="B20" s="11" t="s">
        <v>279</v>
      </c>
      <c r="C20" s="10">
        <v>8</v>
      </c>
      <c r="D20" s="13">
        <v>0.24</v>
      </c>
      <c r="E20" s="11" t="s">
        <v>6</v>
      </c>
      <c r="F20" s="10">
        <v>54</v>
      </c>
      <c r="G20" s="13">
        <v>0.20909090909090911</v>
      </c>
    </row>
    <row r="21" spans="1:7" x14ac:dyDescent="0.4">
      <c r="A21" s="16"/>
      <c r="B21" s="11" t="s">
        <v>280</v>
      </c>
      <c r="C21" s="10">
        <v>7</v>
      </c>
      <c r="D21" s="13">
        <v>1</v>
      </c>
      <c r="E21" s="11" t="s">
        <v>12</v>
      </c>
      <c r="F21" s="10">
        <v>50</v>
      </c>
      <c r="G21" s="13">
        <v>0.1846153846153846</v>
      </c>
    </row>
  </sheetData>
  <mergeCells count="4">
    <mergeCell ref="A2:A6"/>
    <mergeCell ref="A7:A11"/>
    <mergeCell ref="A12:A16"/>
    <mergeCell ref="A17:A2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5B3E-0707-4BEC-BCAF-915011350107}">
  <dimension ref="A1:F11"/>
  <sheetViews>
    <sheetView workbookViewId="0"/>
  </sheetViews>
  <sheetFormatPr defaultRowHeight="13.9" x14ac:dyDescent="0.4"/>
  <cols>
    <col min="1" max="1" width="33.3984375" style="3" bestFit="1" customWidth="1"/>
    <col min="2" max="2" width="19.59765625" style="3" bestFit="1" customWidth="1"/>
    <col min="3" max="3" width="19.59765625" style="4" bestFit="1" customWidth="1"/>
    <col min="4" max="4" width="33.73046875" style="3" customWidth="1"/>
    <col min="5" max="5" width="19.59765625" style="3" bestFit="1" customWidth="1"/>
    <col min="6" max="6" width="19.59765625" style="4" bestFit="1" customWidth="1"/>
    <col min="7" max="16384" width="9.06640625" style="3"/>
  </cols>
  <sheetData>
    <row r="1" spans="1:6" x14ac:dyDescent="0.4">
      <c r="A1" s="3" t="s">
        <v>37</v>
      </c>
    </row>
    <row r="2" spans="1:6" x14ac:dyDescent="0.4">
      <c r="A2" s="1" t="s">
        <v>0</v>
      </c>
      <c r="B2" s="1" t="s">
        <v>1</v>
      </c>
      <c r="C2" s="2" t="s">
        <v>2</v>
      </c>
      <c r="D2" s="1" t="s">
        <v>3</v>
      </c>
      <c r="E2" s="1" t="s">
        <v>1</v>
      </c>
      <c r="F2" s="2" t="s">
        <v>4</v>
      </c>
    </row>
    <row r="3" spans="1:6" x14ac:dyDescent="0.4">
      <c r="A3" s="3" t="s">
        <v>5</v>
      </c>
      <c r="B3" s="3">
        <f>121+826</f>
        <v>947</v>
      </c>
      <c r="C3" s="4">
        <f>826/947*64.9356223175968%+121/947*75.27%</f>
        <v>0.6625606550616151</v>
      </c>
      <c r="D3" s="3" t="s">
        <v>6</v>
      </c>
      <c r="E3" s="3">
        <f>73+239</f>
        <v>312</v>
      </c>
      <c r="F3" s="4">
        <f>239/312*69.1666666666667%+73/312*76.72%</f>
        <v>0.7093395299145302</v>
      </c>
    </row>
    <row r="4" spans="1:6" x14ac:dyDescent="0.4">
      <c r="A4" s="3" t="s">
        <v>7</v>
      </c>
      <c r="B4" s="3">
        <v>278</v>
      </c>
      <c r="C4" s="4">
        <v>0.66533720930232587</v>
      </c>
      <c r="D4" s="3" t="s">
        <v>8</v>
      </c>
      <c r="E4" s="3">
        <v>212</v>
      </c>
      <c r="F4" s="4">
        <v>0.66013698630136985</v>
      </c>
    </row>
    <row r="5" spans="1:6" x14ac:dyDescent="0.4">
      <c r="A5" s="3" t="s">
        <v>11</v>
      </c>
      <c r="B5" s="3">
        <v>71</v>
      </c>
      <c r="C5" s="4">
        <v>0.68812499999999988</v>
      </c>
      <c r="D5" s="3" t="s">
        <v>10</v>
      </c>
      <c r="E5" s="3">
        <v>169</v>
      </c>
      <c r="F5" s="4">
        <v>0.6663636363636366</v>
      </c>
    </row>
    <row r="6" spans="1:6" x14ac:dyDescent="0.4">
      <c r="A6" s="3" t="s">
        <v>13</v>
      </c>
      <c r="B6" s="3">
        <v>67</v>
      </c>
      <c r="C6" s="4">
        <v>0.66025641025641013</v>
      </c>
      <c r="D6" s="3" t="s">
        <v>12</v>
      </c>
      <c r="E6" s="3">
        <v>115</v>
      </c>
      <c r="F6" s="4">
        <v>0.7071428571428573</v>
      </c>
    </row>
    <row r="7" spans="1:6" x14ac:dyDescent="0.4">
      <c r="A7" s="3" t="s">
        <v>15</v>
      </c>
      <c r="B7" s="3">
        <v>34</v>
      </c>
      <c r="C7" s="4">
        <v>0.61944444444444458</v>
      </c>
      <c r="D7" s="3" t="s">
        <v>14</v>
      </c>
      <c r="E7" s="3">
        <v>99</v>
      </c>
      <c r="F7" s="4">
        <v>0.69891304347826089</v>
      </c>
    </row>
    <row r="8" spans="1:6" x14ac:dyDescent="0.4">
      <c r="A8" s="3" t="s">
        <v>17</v>
      </c>
      <c r="B8" s="3">
        <v>32</v>
      </c>
      <c r="C8" s="4">
        <v>0.6676470588235297</v>
      </c>
      <c r="D8" s="3" t="s">
        <v>16</v>
      </c>
      <c r="E8" s="3">
        <v>82</v>
      </c>
      <c r="F8" s="4">
        <v>0.68620689655172407</v>
      </c>
    </row>
    <row r="9" spans="1:6" x14ac:dyDescent="0.4">
      <c r="A9" s="3" t="s">
        <v>19</v>
      </c>
      <c r="B9" s="3">
        <v>26</v>
      </c>
      <c r="C9" s="4">
        <v>0.71363636363636362</v>
      </c>
      <c r="D9" s="3" t="s">
        <v>20</v>
      </c>
      <c r="E9" s="3">
        <v>56</v>
      </c>
      <c r="F9" s="4">
        <v>0.67962962962962958</v>
      </c>
    </row>
    <row r="10" spans="1:6" x14ac:dyDescent="0.4">
      <c r="A10" s="3" t="s">
        <v>21</v>
      </c>
      <c r="B10" s="3">
        <v>22</v>
      </c>
      <c r="C10" s="4">
        <v>0.74999999999999989</v>
      </c>
      <c r="D10" s="3" t="s">
        <v>22</v>
      </c>
      <c r="E10" s="3">
        <v>54</v>
      </c>
      <c r="F10" s="4">
        <v>0.70526315789473681</v>
      </c>
    </row>
    <row r="11" spans="1:6" x14ac:dyDescent="0.4">
      <c r="A11" s="3" t="s">
        <v>23</v>
      </c>
      <c r="B11" s="3">
        <v>17</v>
      </c>
      <c r="C11" s="4">
        <v>0.65</v>
      </c>
      <c r="D11" s="3" t="s">
        <v>24</v>
      </c>
      <c r="E11" s="3">
        <v>53</v>
      </c>
      <c r="F11" s="4">
        <v>0.66875000000000007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A1F0-016C-4508-B8A5-7C1771D7464A}">
  <dimension ref="A1:F7"/>
  <sheetViews>
    <sheetView workbookViewId="0">
      <selection sqref="A1:F7"/>
    </sheetView>
  </sheetViews>
  <sheetFormatPr defaultRowHeight="13.9" x14ac:dyDescent="0.4"/>
  <sheetData>
    <row r="1" spans="1:6" ht="14.25" thickBot="1" x14ac:dyDescent="0.45">
      <c r="A1" s="9"/>
      <c r="B1" s="9" t="s">
        <v>230</v>
      </c>
      <c r="C1" s="12" t="s">
        <v>231</v>
      </c>
      <c r="D1" s="9" t="s">
        <v>237</v>
      </c>
      <c r="E1" s="9" t="s">
        <v>232</v>
      </c>
      <c r="F1" s="12" t="s">
        <v>233</v>
      </c>
    </row>
    <row r="2" spans="1:6" x14ac:dyDescent="0.4">
      <c r="A2" s="11" t="s">
        <v>229</v>
      </c>
      <c r="B2" s="10">
        <v>339</v>
      </c>
      <c r="C2" s="10">
        <v>1326</v>
      </c>
      <c r="D2" s="10">
        <v>210</v>
      </c>
      <c r="E2" s="10">
        <v>17</v>
      </c>
      <c r="F2" s="10">
        <v>2</v>
      </c>
    </row>
    <row r="3" spans="1:6" x14ac:dyDescent="0.4">
      <c r="A3" s="11" t="s">
        <v>234</v>
      </c>
      <c r="B3" s="10">
        <v>98</v>
      </c>
      <c r="C3" s="10">
        <v>170</v>
      </c>
      <c r="D3" s="10">
        <v>37</v>
      </c>
      <c r="E3" s="10">
        <v>1</v>
      </c>
      <c r="F3" s="10">
        <v>3</v>
      </c>
    </row>
    <row r="4" spans="1:6" x14ac:dyDescent="0.4">
      <c r="A4" s="11" t="s">
        <v>235</v>
      </c>
      <c r="B4" s="10">
        <v>59</v>
      </c>
      <c r="C4" s="10">
        <v>3378</v>
      </c>
      <c r="D4" s="10">
        <v>1287</v>
      </c>
      <c r="E4" s="10">
        <v>105</v>
      </c>
      <c r="F4" s="10">
        <v>6</v>
      </c>
    </row>
    <row r="5" spans="1:6" x14ac:dyDescent="0.4">
      <c r="A5" s="11" t="s">
        <v>60</v>
      </c>
      <c r="B5" s="10">
        <v>39</v>
      </c>
      <c r="C5" s="10">
        <v>43</v>
      </c>
      <c r="D5" s="10">
        <v>0</v>
      </c>
      <c r="E5" s="10">
        <v>0</v>
      </c>
      <c r="F5" s="10">
        <v>0</v>
      </c>
    </row>
    <row r="6" spans="1:6" x14ac:dyDescent="0.4">
      <c r="A6" s="11" t="s">
        <v>61</v>
      </c>
      <c r="B6" s="10">
        <v>2109</v>
      </c>
      <c r="C6" s="10">
        <v>1503</v>
      </c>
      <c r="D6" s="10">
        <v>152</v>
      </c>
      <c r="E6" s="10">
        <v>7</v>
      </c>
      <c r="F6" s="10">
        <v>0</v>
      </c>
    </row>
    <row r="7" spans="1:6" x14ac:dyDescent="0.4">
      <c r="A7" s="11" t="s">
        <v>236</v>
      </c>
      <c r="B7" s="10">
        <v>693</v>
      </c>
      <c r="C7" s="10">
        <v>0</v>
      </c>
      <c r="D7" s="10">
        <v>0</v>
      </c>
      <c r="E7" s="10">
        <v>0</v>
      </c>
      <c r="F7" s="10">
        <v>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58E3-8375-430F-BC02-2AEBADAD13DA}">
  <dimension ref="A1:M31"/>
  <sheetViews>
    <sheetView topLeftCell="H1" workbookViewId="0">
      <selection activeCell="M5" sqref="M5"/>
    </sheetView>
  </sheetViews>
  <sheetFormatPr defaultRowHeight="13.9" x14ac:dyDescent="0.4"/>
  <cols>
    <col min="1" max="1" width="14.86328125" bestFit="1" customWidth="1"/>
    <col min="2" max="2" width="90.6640625" bestFit="1" customWidth="1"/>
    <col min="5" max="5" width="14.86328125" bestFit="1" customWidth="1"/>
    <col min="6" max="6" width="90.6640625" bestFit="1" customWidth="1"/>
    <col min="10" max="10" width="14.86328125" bestFit="1" customWidth="1"/>
    <col min="11" max="11" width="90.6640625" bestFit="1" customWidth="1"/>
  </cols>
  <sheetData>
    <row r="1" spans="1:13" ht="14.25" thickBot="1" x14ac:dyDescent="0.45">
      <c r="A1" s="9" t="s">
        <v>256</v>
      </c>
      <c r="B1" s="9" t="s">
        <v>257</v>
      </c>
      <c r="C1" s="9" t="s">
        <v>258</v>
      </c>
      <c r="E1" s="9" t="s">
        <v>259</v>
      </c>
      <c r="F1" s="9" t="s">
        <v>257</v>
      </c>
      <c r="G1" s="9" t="s">
        <v>258</v>
      </c>
      <c r="H1" s="18" t="s">
        <v>260</v>
      </c>
      <c r="J1" s="9" t="s">
        <v>268</v>
      </c>
      <c r="K1" s="9" t="s">
        <v>257</v>
      </c>
      <c r="L1" s="9" t="s">
        <v>258</v>
      </c>
      <c r="M1" s="18" t="s">
        <v>260</v>
      </c>
    </row>
    <row r="2" spans="1:13" x14ac:dyDescent="0.4">
      <c r="A2" s="17" t="s">
        <v>58</v>
      </c>
      <c r="B2" s="11" t="s">
        <v>238</v>
      </c>
      <c r="C2" s="10">
        <v>13</v>
      </c>
      <c r="E2" s="17" t="s">
        <v>58</v>
      </c>
      <c r="F2" s="11" t="s">
        <v>5</v>
      </c>
      <c r="G2" s="10">
        <v>253</v>
      </c>
      <c r="H2" s="13">
        <v>0.11869565217391299</v>
      </c>
      <c r="J2" s="17" t="s">
        <v>58</v>
      </c>
      <c r="K2" s="11" t="s">
        <v>5</v>
      </c>
      <c r="L2" s="10">
        <v>719</v>
      </c>
      <c r="M2" s="13">
        <v>0.41984679665738162</v>
      </c>
    </row>
    <row r="3" spans="1:13" x14ac:dyDescent="0.4">
      <c r="A3" s="16"/>
      <c r="B3" s="11" t="s">
        <v>239</v>
      </c>
      <c r="C3" s="10">
        <v>4</v>
      </c>
      <c r="E3" s="16"/>
      <c r="F3" s="11" t="s">
        <v>28</v>
      </c>
      <c r="G3" s="10">
        <v>227</v>
      </c>
      <c r="H3" s="13">
        <v>6.2775330396475773E-2</v>
      </c>
      <c r="J3" s="16"/>
      <c r="K3" s="11" t="s">
        <v>33</v>
      </c>
      <c r="L3" s="10">
        <v>389</v>
      </c>
      <c r="M3" s="13">
        <v>0.1409831460674158</v>
      </c>
    </row>
    <row r="4" spans="1:13" x14ac:dyDescent="0.4">
      <c r="A4" s="16"/>
      <c r="B4" s="11" t="s">
        <v>240</v>
      </c>
      <c r="C4" s="10">
        <v>4</v>
      </c>
      <c r="E4" s="16"/>
      <c r="F4" s="11" t="s">
        <v>255</v>
      </c>
      <c r="G4" s="10">
        <v>199</v>
      </c>
      <c r="H4" s="13">
        <v>0.18879781420765029</v>
      </c>
      <c r="J4" s="16"/>
      <c r="K4" s="11" t="s">
        <v>7</v>
      </c>
      <c r="L4" s="10">
        <v>247</v>
      </c>
      <c r="M4" s="13">
        <v>0.54882591093117405</v>
      </c>
    </row>
    <row r="5" spans="1:13" x14ac:dyDescent="0.4">
      <c r="A5" s="16"/>
      <c r="B5" s="11" t="s">
        <v>243</v>
      </c>
      <c r="C5" s="10">
        <v>7</v>
      </c>
      <c r="E5" s="16"/>
      <c r="F5" s="11" t="s">
        <v>261</v>
      </c>
      <c r="G5" s="10">
        <v>193</v>
      </c>
      <c r="H5" s="13">
        <v>0.10051813471502589</v>
      </c>
      <c r="J5" s="16"/>
      <c r="K5" s="11" t="s">
        <v>8</v>
      </c>
      <c r="L5" s="10">
        <v>216</v>
      </c>
      <c r="M5" s="13">
        <v>0.42152777777777778</v>
      </c>
    </row>
    <row r="6" spans="1:13" x14ac:dyDescent="0.4">
      <c r="A6" s="16"/>
      <c r="B6" s="11" t="s">
        <v>242</v>
      </c>
      <c r="C6" s="10">
        <v>3</v>
      </c>
      <c r="E6" s="16"/>
      <c r="F6" s="11" t="s">
        <v>26</v>
      </c>
      <c r="G6" s="10">
        <v>147</v>
      </c>
      <c r="H6" s="13">
        <v>0.88673469387755122</v>
      </c>
      <c r="J6" s="16"/>
      <c r="K6" s="11" t="s">
        <v>10</v>
      </c>
      <c r="L6" s="10">
        <v>165</v>
      </c>
      <c r="M6" s="13">
        <v>0.38272727272727269</v>
      </c>
    </row>
    <row r="7" spans="1:13" x14ac:dyDescent="0.4">
      <c r="A7" s="16" t="s">
        <v>61</v>
      </c>
      <c r="B7" s="11" t="s">
        <v>8</v>
      </c>
      <c r="C7" s="10">
        <f>60+217</f>
        <v>277</v>
      </c>
      <c r="E7" s="16" t="s">
        <v>61</v>
      </c>
      <c r="F7" s="11" t="s">
        <v>5</v>
      </c>
      <c r="G7" s="10">
        <v>2136</v>
      </c>
      <c r="H7" s="13">
        <v>0.51868729488982646</v>
      </c>
      <c r="J7" s="16" t="s">
        <v>61</v>
      </c>
      <c r="K7" s="11" t="s">
        <v>5</v>
      </c>
      <c r="L7" s="10">
        <v>107</v>
      </c>
      <c r="M7" s="13">
        <v>9.7102803738317756E-2</v>
      </c>
    </row>
    <row r="8" spans="1:13" x14ac:dyDescent="0.4">
      <c r="A8" s="16"/>
      <c r="B8" s="11" t="s">
        <v>24</v>
      </c>
      <c r="C8" s="10">
        <v>176</v>
      </c>
      <c r="E8" s="16"/>
      <c r="F8" s="11" t="s">
        <v>6</v>
      </c>
      <c r="G8" s="10">
        <v>510</v>
      </c>
      <c r="H8" s="13">
        <v>0.41555118110236222</v>
      </c>
      <c r="J8" s="16"/>
      <c r="K8" s="11" t="s">
        <v>269</v>
      </c>
      <c r="L8" s="10">
        <v>40</v>
      </c>
      <c r="M8" s="13">
        <v>0.63874999999999993</v>
      </c>
    </row>
    <row r="9" spans="1:13" x14ac:dyDescent="0.4">
      <c r="A9" s="16"/>
      <c r="B9" s="11" t="s">
        <v>10</v>
      </c>
      <c r="C9" s="10">
        <f>54+156</f>
        <v>210</v>
      </c>
      <c r="E9" s="16"/>
      <c r="F9" s="11" t="s">
        <v>10</v>
      </c>
      <c r="G9" s="10">
        <v>494</v>
      </c>
      <c r="H9" s="13">
        <v>0.47806517311608959</v>
      </c>
      <c r="J9" s="16"/>
      <c r="K9" s="11" t="s">
        <v>26</v>
      </c>
      <c r="L9" s="10">
        <v>27</v>
      </c>
      <c r="M9" s="13">
        <v>0.66481481481481475</v>
      </c>
    </row>
    <row r="10" spans="1:13" x14ac:dyDescent="0.4">
      <c r="A10" s="16"/>
      <c r="B10" s="11" t="s">
        <v>12</v>
      </c>
      <c r="C10" s="10">
        <v>140</v>
      </c>
      <c r="E10" s="16"/>
      <c r="F10" s="11" t="s">
        <v>8</v>
      </c>
      <c r="G10" s="10">
        <v>432</v>
      </c>
      <c r="H10" s="13">
        <v>0.46997668997669001</v>
      </c>
      <c r="J10" s="16"/>
      <c r="K10" s="11" t="s">
        <v>8</v>
      </c>
      <c r="L10" s="10">
        <v>18</v>
      </c>
      <c r="M10" s="13">
        <v>0.39444444444444438</v>
      </c>
    </row>
    <row r="11" spans="1:13" x14ac:dyDescent="0.4">
      <c r="A11" s="16"/>
      <c r="B11" s="11" t="s">
        <v>14</v>
      </c>
      <c r="C11" s="10">
        <v>125</v>
      </c>
      <c r="E11" s="16"/>
      <c r="F11" s="11" t="s">
        <v>12</v>
      </c>
      <c r="G11" s="10">
        <v>284</v>
      </c>
      <c r="H11" s="13">
        <v>0.46609154929577468</v>
      </c>
      <c r="J11" s="16"/>
      <c r="K11" s="11" t="s">
        <v>33</v>
      </c>
      <c r="L11" s="10">
        <v>16</v>
      </c>
      <c r="M11" s="13">
        <v>5.6666666666666678E-2</v>
      </c>
    </row>
    <row r="12" spans="1:13" x14ac:dyDescent="0.4">
      <c r="A12" s="16" t="s">
        <v>56</v>
      </c>
      <c r="B12" s="11" t="s">
        <v>30</v>
      </c>
      <c r="C12" s="10">
        <v>12</v>
      </c>
      <c r="E12" s="16" t="s">
        <v>56</v>
      </c>
      <c r="F12" s="11" t="s">
        <v>28</v>
      </c>
      <c r="G12" s="10">
        <v>399</v>
      </c>
      <c r="H12" s="13">
        <v>5.1754385964912282E-2</v>
      </c>
      <c r="J12" s="16" t="s">
        <v>56</v>
      </c>
      <c r="K12" s="11" t="s">
        <v>5</v>
      </c>
      <c r="L12" s="10">
        <v>61</v>
      </c>
      <c r="M12" s="13">
        <v>0.58852459016393432</v>
      </c>
    </row>
    <row r="13" spans="1:13" x14ac:dyDescent="0.4">
      <c r="A13" s="16"/>
      <c r="B13" s="11" t="s">
        <v>5</v>
      </c>
      <c r="C13" s="10">
        <f>10+11</f>
        <v>21</v>
      </c>
      <c r="E13" s="16"/>
      <c r="F13" s="11" t="s">
        <v>5</v>
      </c>
      <c r="G13" s="10">
        <v>230</v>
      </c>
      <c r="H13" s="13">
        <v>0.89543478260869558</v>
      </c>
      <c r="J13" s="16"/>
      <c r="K13" s="11" t="s">
        <v>33</v>
      </c>
      <c r="L13" s="10">
        <v>38</v>
      </c>
      <c r="M13" s="13">
        <v>0.2121621621621621</v>
      </c>
    </row>
    <row r="14" spans="1:13" x14ac:dyDescent="0.4">
      <c r="A14" s="16"/>
      <c r="B14" s="11" t="s">
        <v>11</v>
      </c>
      <c r="C14" s="10">
        <f>8+11</f>
        <v>19</v>
      </c>
      <c r="E14" s="16"/>
      <c r="F14" s="11" t="s">
        <v>11</v>
      </c>
      <c r="G14" s="10">
        <v>145</v>
      </c>
      <c r="H14" s="13">
        <v>0.93862068965517242</v>
      </c>
      <c r="J14" s="16"/>
      <c r="K14" s="11" t="s">
        <v>10</v>
      </c>
      <c r="L14" s="10">
        <v>27</v>
      </c>
      <c r="M14" s="13">
        <v>0.14814814814814811</v>
      </c>
    </row>
    <row r="15" spans="1:13" x14ac:dyDescent="0.4">
      <c r="A15" s="16"/>
      <c r="B15" s="11" t="s">
        <v>208</v>
      </c>
      <c r="C15" s="10">
        <v>6</v>
      </c>
      <c r="E15" s="16"/>
      <c r="F15" s="11" t="s">
        <v>129</v>
      </c>
      <c r="G15" s="10">
        <v>140</v>
      </c>
      <c r="H15" s="13">
        <v>5.3571428571428562E-2</v>
      </c>
      <c r="J15" s="16"/>
      <c r="K15" s="11" t="s">
        <v>8</v>
      </c>
      <c r="L15" s="10">
        <v>26</v>
      </c>
      <c r="M15" s="13">
        <v>0.1596153846153846</v>
      </c>
    </row>
    <row r="16" spans="1:13" x14ac:dyDescent="0.4">
      <c r="A16" s="16"/>
      <c r="B16" s="11" t="s">
        <v>244</v>
      </c>
      <c r="C16" s="10">
        <v>5</v>
      </c>
      <c r="E16" s="16"/>
      <c r="F16" s="11" t="s">
        <v>166</v>
      </c>
      <c r="G16" s="10">
        <v>81</v>
      </c>
      <c r="H16" s="13">
        <v>5.8024691358024703E-2</v>
      </c>
      <c r="J16" s="16"/>
      <c r="K16" s="11" t="s">
        <v>31</v>
      </c>
      <c r="L16" s="10">
        <v>20</v>
      </c>
      <c r="M16" s="13">
        <v>0.155</v>
      </c>
    </row>
    <row r="17" spans="1:13" x14ac:dyDescent="0.4">
      <c r="A17" s="16" t="s">
        <v>59</v>
      </c>
      <c r="B17" s="11" t="s">
        <v>128</v>
      </c>
      <c r="C17" s="10">
        <f>9+6+10+21+43+52+151</f>
        <v>292</v>
      </c>
      <c r="E17" s="16" t="s">
        <v>57</v>
      </c>
      <c r="F17" s="11" t="s">
        <v>131</v>
      </c>
      <c r="G17" s="10">
        <v>34</v>
      </c>
      <c r="H17" s="13">
        <v>8.0882352941176475E-2</v>
      </c>
      <c r="J17" s="16" t="s">
        <v>57</v>
      </c>
      <c r="K17" s="11" t="s">
        <v>6</v>
      </c>
      <c r="L17" s="10">
        <v>6</v>
      </c>
      <c r="M17" s="13">
        <v>0</v>
      </c>
    </row>
    <row r="18" spans="1:13" x14ac:dyDescent="0.4">
      <c r="A18" s="16"/>
      <c r="B18" s="11" t="s">
        <v>245</v>
      </c>
      <c r="C18" s="10">
        <f>9+22+17+21+37+108+117</f>
        <v>331</v>
      </c>
      <c r="E18" s="16"/>
      <c r="F18" s="11" t="s">
        <v>128</v>
      </c>
      <c r="G18" s="10">
        <v>28</v>
      </c>
      <c r="H18" s="13">
        <v>5.000000000000001E-2</v>
      </c>
      <c r="J18" s="16"/>
      <c r="K18" s="11" t="s">
        <v>270</v>
      </c>
      <c r="L18" s="10">
        <v>6</v>
      </c>
      <c r="M18" s="13">
        <v>0</v>
      </c>
    </row>
    <row r="19" spans="1:13" x14ac:dyDescent="0.4">
      <c r="A19" s="16"/>
      <c r="B19" s="11" t="s">
        <v>241</v>
      </c>
      <c r="C19" s="10">
        <v>8</v>
      </c>
      <c r="D19" s="3"/>
      <c r="E19" s="16"/>
      <c r="F19" s="11" t="s">
        <v>262</v>
      </c>
      <c r="G19" s="10">
        <v>20</v>
      </c>
      <c r="H19" s="13">
        <v>6.0000000000000019E-2</v>
      </c>
      <c r="J19" s="16"/>
      <c r="K19" s="11" t="s">
        <v>271</v>
      </c>
      <c r="L19" s="10">
        <v>4</v>
      </c>
      <c r="M19" s="13">
        <v>0</v>
      </c>
    </row>
    <row r="20" spans="1:13" x14ac:dyDescent="0.4">
      <c r="A20" s="16"/>
      <c r="B20" s="11" t="s">
        <v>246</v>
      </c>
      <c r="C20" s="10">
        <v>7</v>
      </c>
      <c r="D20" s="3"/>
      <c r="E20" s="16"/>
      <c r="F20" s="11" t="s">
        <v>263</v>
      </c>
      <c r="G20" s="10">
        <v>12</v>
      </c>
      <c r="H20" s="13">
        <v>0.93333333333333346</v>
      </c>
      <c r="J20" s="16"/>
      <c r="K20" s="11" t="s">
        <v>272</v>
      </c>
      <c r="L20" s="10">
        <v>4</v>
      </c>
      <c r="M20" s="13">
        <v>0</v>
      </c>
    </row>
    <row r="21" spans="1:13" x14ac:dyDescent="0.4">
      <c r="A21" s="16"/>
      <c r="B21" s="11" t="s">
        <v>222</v>
      </c>
      <c r="C21" s="10">
        <v>5</v>
      </c>
      <c r="D21" s="3"/>
      <c r="E21" s="16"/>
      <c r="F21" s="11" t="s">
        <v>264</v>
      </c>
      <c r="G21" s="10">
        <v>12</v>
      </c>
      <c r="H21" s="13">
        <v>5.8333333333333341E-2</v>
      </c>
      <c r="J21" s="16"/>
      <c r="K21" s="11" t="s">
        <v>273</v>
      </c>
      <c r="L21" s="10">
        <v>4</v>
      </c>
      <c r="M21" s="13">
        <v>0</v>
      </c>
    </row>
    <row r="22" spans="1:13" x14ac:dyDescent="0.4">
      <c r="A22" s="16" t="s">
        <v>57</v>
      </c>
      <c r="B22" s="11" t="s">
        <v>247</v>
      </c>
      <c r="C22" s="10">
        <v>6</v>
      </c>
      <c r="D22" s="3"/>
      <c r="E22" s="16" t="s">
        <v>60</v>
      </c>
      <c r="F22" s="11" t="s">
        <v>131</v>
      </c>
      <c r="G22" s="10">
        <v>11</v>
      </c>
      <c r="H22" s="13">
        <v>5.4545454545454557E-2</v>
      </c>
      <c r="J22" s="16" t="s">
        <v>60</v>
      </c>
      <c r="K22" s="11" t="s">
        <v>131</v>
      </c>
      <c r="L22" s="10">
        <v>11</v>
      </c>
      <c r="M22" s="13">
        <v>5.4545454545454557E-2</v>
      </c>
    </row>
    <row r="23" spans="1:13" x14ac:dyDescent="0.4">
      <c r="A23" s="16"/>
      <c r="B23" s="11" t="s">
        <v>248</v>
      </c>
      <c r="C23" s="10">
        <v>4</v>
      </c>
      <c r="D23" s="3"/>
      <c r="E23" s="16"/>
      <c r="F23" s="11" t="s">
        <v>265</v>
      </c>
      <c r="G23" s="10">
        <v>9</v>
      </c>
      <c r="H23" s="13">
        <v>1</v>
      </c>
      <c r="J23" s="16"/>
      <c r="K23" s="11" t="s">
        <v>265</v>
      </c>
      <c r="L23" s="10">
        <v>9</v>
      </c>
      <c r="M23" s="13">
        <v>1</v>
      </c>
    </row>
    <row r="24" spans="1:13" x14ac:dyDescent="0.4">
      <c r="A24" s="16"/>
      <c r="B24" s="11" t="s">
        <v>249</v>
      </c>
      <c r="C24" s="10">
        <v>4</v>
      </c>
      <c r="D24" s="3"/>
      <c r="E24" s="16"/>
      <c r="F24" s="11" t="s">
        <v>266</v>
      </c>
      <c r="G24" s="10">
        <v>6</v>
      </c>
      <c r="H24" s="13">
        <v>0</v>
      </c>
      <c r="J24" s="16"/>
      <c r="K24" s="11" t="s">
        <v>266</v>
      </c>
      <c r="L24" s="10">
        <v>6</v>
      </c>
      <c r="M24" s="13">
        <v>0</v>
      </c>
    </row>
    <row r="25" spans="1:13" x14ac:dyDescent="0.4">
      <c r="A25" s="16"/>
      <c r="B25" s="11" t="s">
        <v>250</v>
      </c>
      <c r="C25" s="10">
        <v>4</v>
      </c>
      <c r="D25" s="3"/>
      <c r="E25" s="16"/>
      <c r="F25" s="11" t="s">
        <v>28</v>
      </c>
      <c r="G25" s="10">
        <v>6</v>
      </c>
      <c r="H25" s="13">
        <v>0</v>
      </c>
      <c r="J25" s="16"/>
      <c r="K25" s="11" t="s">
        <v>28</v>
      </c>
      <c r="L25" s="10">
        <v>6</v>
      </c>
      <c r="M25" s="13">
        <v>0</v>
      </c>
    </row>
    <row r="26" spans="1:13" x14ac:dyDescent="0.4">
      <c r="A26" s="16"/>
      <c r="B26" s="11" t="s">
        <v>251</v>
      </c>
      <c r="C26" s="10">
        <v>4</v>
      </c>
      <c r="D26" s="3"/>
      <c r="E26" s="16"/>
      <c r="F26" s="11" t="s">
        <v>267</v>
      </c>
      <c r="G26" s="10">
        <v>4</v>
      </c>
      <c r="H26" s="13">
        <v>0</v>
      </c>
      <c r="J26" s="16"/>
      <c r="K26" s="11" t="s">
        <v>267</v>
      </c>
      <c r="L26" s="10">
        <v>4</v>
      </c>
      <c r="M26" s="13">
        <v>0</v>
      </c>
    </row>
    <row r="27" spans="1:13" x14ac:dyDescent="0.4">
      <c r="A27" s="16" t="s">
        <v>60</v>
      </c>
      <c r="B27" s="11" t="s">
        <v>241</v>
      </c>
      <c r="C27" s="10">
        <v>4</v>
      </c>
      <c r="D27" s="3"/>
    </row>
    <row r="28" spans="1:13" x14ac:dyDescent="0.4">
      <c r="A28" s="16"/>
      <c r="B28" s="11" t="s">
        <v>252</v>
      </c>
      <c r="C28" s="10">
        <v>3</v>
      </c>
    </row>
    <row r="29" spans="1:13" x14ac:dyDescent="0.4">
      <c r="A29" s="16"/>
      <c r="B29" s="11" t="s">
        <v>253</v>
      </c>
      <c r="C29" s="10">
        <v>3</v>
      </c>
    </row>
    <row r="30" spans="1:13" x14ac:dyDescent="0.4">
      <c r="A30" s="16"/>
      <c r="B30" s="11" t="s">
        <v>254</v>
      </c>
      <c r="C30" s="10">
        <v>2</v>
      </c>
    </row>
    <row r="31" spans="1:13" x14ac:dyDescent="0.4">
      <c r="A31" s="16"/>
      <c r="B31" s="11" t="s">
        <v>239</v>
      </c>
      <c r="C31" s="10">
        <v>2</v>
      </c>
    </row>
  </sheetData>
  <mergeCells count="16">
    <mergeCell ref="J2:J6"/>
    <mergeCell ref="J7:J11"/>
    <mergeCell ref="J12:J16"/>
    <mergeCell ref="J17:J21"/>
    <mergeCell ref="J22:J26"/>
    <mergeCell ref="E2:E6"/>
    <mergeCell ref="E7:E11"/>
    <mergeCell ref="E12:E16"/>
    <mergeCell ref="E17:E21"/>
    <mergeCell ref="E22:E26"/>
    <mergeCell ref="A2:A6"/>
    <mergeCell ref="A7:A11"/>
    <mergeCell ref="A12:A16"/>
    <mergeCell ref="A17:A21"/>
    <mergeCell ref="A22:A26"/>
    <mergeCell ref="A27:A3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2C4B-21E9-427D-91D8-187FEE459C7C}">
  <dimension ref="A1:Y68"/>
  <sheetViews>
    <sheetView topLeftCell="S1" workbookViewId="0">
      <selection activeCell="T1" sqref="T1:V11"/>
    </sheetView>
  </sheetViews>
  <sheetFormatPr defaultRowHeight="13.9" x14ac:dyDescent="0.4"/>
  <cols>
    <col min="1" max="1" width="22.73046875" customWidth="1"/>
    <col min="3" max="3" width="9.06640625" style="7"/>
    <col min="6" max="6" width="9.06640625" style="7"/>
    <col min="9" max="9" width="9.06640625" style="7"/>
    <col min="12" max="12" width="9.06640625" style="7"/>
    <col min="15" max="15" width="9.06640625" style="7"/>
    <col min="18" max="18" width="9.06640625" style="7"/>
    <col min="20" max="20" width="27.1328125" bestFit="1" customWidth="1"/>
    <col min="21" max="21" width="15.06640625" bestFit="1" customWidth="1"/>
    <col min="22" max="22" width="15.06640625" style="7" bestFit="1" customWidth="1"/>
    <col min="23" max="23" width="26.59765625" bestFit="1" customWidth="1"/>
    <col min="24" max="24" width="15.06640625" bestFit="1" customWidth="1"/>
    <col min="25" max="25" width="15.06640625" style="7" bestFit="1" customWidth="1"/>
  </cols>
  <sheetData>
    <row r="1" spans="1:25" ht="14.25" thickBot="1" x14ac:dyDescent="0.45">
      <c r="A1" s="6" t="s">
        <v>205</v>
      </c>
      <c r="T1" s="9" t="s">
        <v>125</v>
      </c>
      <c r="U1" s="9" t="s">
        <v>1</v>
      </c>
      <c r="V1" s="12" t="s">
        <v>2</v>
      </c>
      <c r="W1" s="9" t="s">
        <v>130</v>
      </c>
      <c r="X1" s="9" t="s">
        <v>1</v>
      </c>
      <c r="Y1" s="12" t="s">
        <v>4</v>
      </c>
    </row>
    <row r="2" spans="1:25" s="8" customFormat="1" ht="14.25" thickBot="1" x14ac:dyDescent="0.45">
      <c r="A2" s="9" t="s">
        <v>125</v>
      </c>
      <c r="B2" s="9" t="s">
        <v>1</v>
      </c>
      <c r="C2" s="12" t="s">
        <v>2</v>
      </c>
      <c r="D2" s="9" t="s">
        <v>130</v>
      </c>
      <c r="E2" s="9" t="s">
        <v>1</v>
      </c>
      <c r="F2" s="12" t="s">
        <v>4</v>
      </c>
      <c r="G2" s="9" t="s">
        <v>145</v>
      </c>
      <c r="H2" s="9" t="s">
        <v>1</v>
      </c>
      <c r="I2" s="12" t="s">
        <v>2</v>
      </c>
      <c r="J2" s="9" t="s">
        <v>133</v>
      </c>
      <c r="K2" s="9" t="s">
        <v>1</v>
      </c>
      <c r="L2" s="12" t="s">
        <v>4</v>
      </c>
      <c r="M2" s="9" t="s">
        <v>160</v>
      </c>
      <c r="N2" s="9" t="s">
        <v>1</v>
      </c>
      <c r="O2" s="12" t="s">
        <v>2</v>
      </c>
      <c r="P2" s="9" t="s">
        <v>167</v>
      </c>
      <c r="Q2" s="9" t="s">
        <v>1</v>
      </c>
      <c r="R2" s="12" t="s">
        <v>4</v>
      </c>
      <c r="T2" s="11" t="s">
        <v>5</v>
      </c>
      <c r="U2" s="10">
        <f>214+26</f>
        <v>240</v>
      </c>
      <c r="V2" s="13">
        <f>213/240*62.0560747663551%+26/240*72.5%</f>
        <v>0.62928933021806821</v>
      </c>
      <c r="W2" s="11" t="s">
        <v>10</v>
      </c>
      <c r="X2" s="10">
        <f>17+45</f>
        <v>62</v>
      </c>
      <c r="Y2" s="13">
        <f>45/62*32.8888888888889%+17/62*31.47%</f>
        <v>0.32499838709677425</v>
      </c>
    </row>
    <row r="3" spans="1:25" x14ac:dyDescent="0.4">
      <c r="A3" s="11" t="s">
        <v>5</v>
      </c>
      <c r="B3" s="10">
        <v>214</v>
      </c>
      <c r="C3" s="13">
        <v>0.62056074766355096</v>
      </c>
      <c r="D3" s="11" t="s">
        <v>10</v>
      </c>
      <c r="E3" s="10">
        <v>45</v>
      </c>
      <c r="F3" s="13">
        <v>0.32888888888888879</v>
      </c>
      <c r="G3" s="11" t="s">
        <v>5</v>
      </c>
      <c r="H3" s="10">
        <v>139</v>
      </c>
      <c r="I3" s="13">
        <v>0.62589928057553934</v>
      </c>
      <c r="J3" s="11" t="s">
        <v>6</v>
      </c>
      <c r="K3" s="10">
        <v>50</v>
      </c>
      <c r="L3" s="13">
        <v>0.33500000000000002</v>
      </c>
      <c r="M3" s="11" t="s">
        <v>5</v>
      </c>
      <c r="N3" s="10">
        <v>63</v>
      </c>
      <c r="O3" s="13">
        <v>1.701587301587302</v>
      </c>
      <c r="P3" s="11" t="s">
        <v>6</v>
      </c>
      <c r="Q3" s="10">
        <v>26</v>
      </c>
      <c r="R3" s="13">
        <v>0.25769230769230772</v>
      </c>
      <c r="T3" s="11" t="s">
        <v>7</v>
      </c>
      <c r="U3" s="10">
        <v>38</v>
      </c>
      <c r="V3" s="13">
        <v>0.64605263157894743</v>
      </c>
      <c r="W3" s="11" t="s">
        <v>8</v>
      </c>
      <c r="X3" s="10">
        <v>44</v>
      </c>
      <c r="Y3" s="13">
        <v>0.3329545454545455</v>
      </c>
    </row>
    <row r="4" spans="1:25" x14ac:dyDescent="0.4">
      <c r="A4" s="11" t="s">
        <v>7</v>
      </c>
      <c r="B4" s="10">
        <v>38</v>
      </c>
      <c r="C4" s="13">
        <v>0.64605263157894743</v>
      </c>
      <c r="D4" s="11" t="s">
        <v>8</v>
      </c>
      <c r="E4" s="10">
        <v>44</v>
      </c>
      <c r="F4" s="13">
        <v>0.3329545454545455</v>
      </c>
      <c r="G4" s="11" t="s">
        <v>7</v>
      </c>
      <c r="H4" s="10">
        <v>37</v>
      </c>
      <c r="I4" s="13">
        <v>0.68648648648648669</v>
      </c>
      <c r="J4" s="11" t="s">
        <v>10</v>
      </c>
      <c r="K4" s="10">
        <v>40</v>
      </c>
      <c r="L4" s="13">
        <v>0.32750000000000001</v>
      </c>
      <c r="M4" s="11" t="s">
        <v>30</v>
      </c>
      <c r="N4" s="10">
        <v>40</v>
      </c>
      <c r="O4" s="13">
        <v>0.71249999999999969</v>
      </c>
      <c r="P4" s="11" t="s">
        <v>28</v>
      </c>
      <c r="Q4" s="10">
        <v>21</v>
      </c>
      <c r="R4" s="13">
        <v>5.2380952380952403E-2</v>
      </c>
      <c r="T4" s="11" t="s">
        <v>17</v>
      </c>
      <c r="U4" s="10">
        <v>26</v>
      </c>
      <c r="V4" s="13">
        <f>22/26*69.3181818181818%+4/26*68.75%</f>
        <v>0.69230769230769207</v>
      </c>
      <c r="W4" s="11" t="s">
        <v>6</v>
      </c>
      <c r="X4" s="10">
        <f>11+32</f>
        <v>43</v>
      </c>
      <c r="Y4" s="13">
        <f>32/43*29.6875%+11/43*27.73%</f>
        <v>0.29186744186046509</v>
      </c>
    </row>
    <row r="5" spans="1:25" x14ac:dyDescent="0.4">
      <c r="A5" s="11" t="s">
        <v>9</v>
      </c>
      <c r="B5" s="10">
        <v>26</v>
      </c>
      <c r="C5" s="13">
        <v>0.7250000000000002</v>
      </c>
      <c r="D5" s="11" t="s">
        <v>6</v>
      </c>
      <c r="E5" s="10">
        <v>32</v>
      </c>
      <c r="F5" s="13">
        <v>0.29687499999999989</v>
      </c>
      <c r="G5" s="11" t="s">
        <v>13</v>
      </c>
      <c r="H5" s="10">
        <v>23</v>
      </c>
      <c r="I5" s="13">
        <v>0.62608695652173918</v>
      </c>
      <c r="J5" s="11" t="s">
        <v>12</v>
      </c>
      <c r="K5" s="10">
        <v>31</v>
      </c>
      <c r="L5" s="13">
        <v>0.36451612903225822</v>
      </c>
      <c r="M5" s="11" t="s">
        <v>146</v>
      </c>
      <c r="N5" s="10">
        <v>12</v>
      </c>
      <c r="O5" s="13">
        <v>0.66249999999999998</v>
      </c>
      <c r="P5" s="11" t="s">
        <v>10</v>
      </c>
      <c r="Q5" s="10">
        <v>14</v>
      </c>
      <c r="R5" s="13">
        <v>0.31428571428571428</v>
      </c>
      <c r="T5" s="11" t="s">
        <v>113</v>
      </c>
      <c r="U5" s="10">
        <f>4+15</f>
        <v>19</v>
      </c>
      <c r="V5" s="13">
        <f>15/19*87.6666666666667%+4/19*57%</f>
        <v>0.812105263157895</v>
      </c>
      <c r="W5" s="11" t="s">
        <v>12</v>
      </c>
      <c r="X5" s="10">
        <v>31</v>
      </c>
      <c r="Y5" s="13">
        <v>0.3032258064516129</v>
      </c>
    </row>
    <row r="6" spans="1:25" x14ac:dyDescent="0.4">
      <c r="A6" s="11" t="s">
        <v>17</v>
      </c>
      <c r="B6" s="10">
        <v>22</v>
      </c>
      <c r="C6" s="13">
        <v>0.69318181818181823</v>
      </c>
      <c r="D6" s="11" t="s">
        <v>12</v>
      </c>
      <c r="E6" s="10">
        <v>31</v>
      </c>
      <c r="F6" s="13">
        <v>0.3032258064516129</v>
      </c>
      <c r="G6" s="11" t="s">
        <v>9</v>
      </c>
      <c r="H6" s="10">
        <v>18</v>
      </c>
      <c r="I6" s="13">
        <v>0.70277777777777795</v>
      </c>
      <c r="J6" s="11" t="s">
        <v>16</v>
      </c>
      <c r="K6" s="10">
        <v>23</v>
      </c>
      <c r="L6" s="13">
        <v>0.29565217391304349</v>
      </c>
      <c r="M6" s="11" t="s">
        <v>7</v>
      </c>
      <c r="N6" s="10">
        <v>10</v>
      </c>
      <c r="O6" s="13">
        <v>0.77</v>
      </c>
      <c r="P6" s="11" t="s">
        <v>129</v>
      </c>
      <c r="Q6" s="10">
        <v>11</v>
      </c>
      <c r="R6" s="13">
        <v>0.05</v>
      </c>
      <c r="T6" s="11" t="s">
        <v>114</v>
      </c>
      <c r="U6" s="10">
        <v>8</v>
      </c>
      <c r="V6" s="13">
        <v>0.6</v>
      </c>
      <c r="W6" s="11" t="s">
        <v>28</v>
      </c>
      <c r="X6" s="10">
        <v>21</v>
      </c>
      <c r="Y6" s="13">
        <v>5.000000000000001E-2</v>
      </c>
    </row>
    <row r="7" spans="1:25" x14ac:dyDescent="0.4">
      <c r="A7" s="11" t="s">
        <v>113</v>
      </c>
      <c r="B7" s="10">
        <v>15</v>
      </c>
      <c r="C7" s="13">
        <v>0.87666666666666659</v>
      </c>
      <c r="D7" s="11" t="s">
        <v>28</v>
      </c>
      <c r="E7" s="10">
        <v>21</v>
      </c>
      <c r="F7" s="13">
        <v>5.000000000000001E-2</v>
      </c>
      <c r="G7" s="11" t="s">
        <v>11</v>
      </c>
      <c r="H7" s="10">
        <v>10</v>
      </c>
      <c r="I7" s="13">
        <v>0.745</v>
      </c>
      <c r="J7" s="11" t="s">
        <v>22</v>
      </c>
      <c r="K7" s="10">
        <v>18</v>
      </c>
      <c r="L7" s="13">
        <v>0.28333333333333338</v>
      </c>
      <c r="M7" s="11" t="s">
        <v>147</v>
      </c>
      <c r="N7" s="10">
        <v>6</v>
      </c>
      <c r="O7" s="13">
        <v>0.79166666666666663</v>
      </c>
      <c r="P7" s="11" t="s">
        <v>8</v>
      </c>
      <c r="Q7" s="10">
        <v>10</v>
      </c>
      <c r="R7" s="13">
        <v>0.34</v>
      </c>
      <c r="T7" s="11" t="s">
        <v>115</v>
      </c>
      <c r="U7" s="10">
        <v>6</v>
      </c>
      <c r="V7" s="13">
        <v>0.66666666666666663</v>
      </c>
      <c r="W7" s="11" t="s">
        <v>14</v>
      </c>
      <c r="X7" s="10">
        <v>20</v>
      </c>
      <c r="Y7" s="13">
        <v>0.375</v>
      </c>
    </row>
    <row r="8" spans="1:25" x14ac:dyDescent="0.4">
      <c r="A8" s="11" t="s">
        <v>114</v>
      </c>
      <c r="B8" s="10">
        <v>8</v>
      </c>
      <c r="C8" s="13">
        <v>0.6</v>
      </c>
      <c r="D8" s="11" t="s">
        <v>14</v>
      </c>
      <c r="E8" s="10">
        <v>20</v>
      </c>
      <c r="F8" s="13">
        <v>0.375</v>
      </c>
      <c r="G8" s="11" t="s">
        <v>134</v>
      </c>
      <c r="H8" s="10">
        <v>10</v>
      </c>
      <c r="I8" s="13">
        <v>0.58000000000000007</v>
      </c>
      <c r="J8" s="11" t="s">
        <v>8</v>
      </c>
      <c r="K8" s="10">
        <v>18</v>
      </c>
      <c r="L8" s="13">
        <v>0.33333333333333331</v>
      </c>
      <c r="M8" s="11" t="s">
        <v>13</v>
      </c>
      <c r="N8" s="10">
        <v>5</v>
      </c>
      <c r="O8" s="13">
        <v>0.76</v>
      </c>
      <c r="P8" s="11" t="s">
        <v>12</v>
      </c>
      <c r="Q8" s="10">
        <v>8</v>
      </c>
      <c r="R8" s="13">
        <v>0.26250000000000001</v>
      </c>
      <c r="T8" s="11" t="s">
        <v>21</v>
      </c>
      <c r="U8" s="10">
        <v>4</v>
      </c>
      <c r="V8" s="13">
        <v>0.72499999999999987</v>
      </c>
      <c r="W8" s="11" t="s">
        <v>29</v>
      </c>
      <c r="X8" s="10">
        <v>17</v>
      </c>
      <c r="Y8" s="13">
        <v>0.33823529411764708</v>
      </c>
    </row>
    <row r="9" spans="1:25" x14ac:dyDescent="0.4">
      <c r="A9" s="11" t="s">
        <v>115</v>
      </c>
      <c r="B9" s="10">
        <v>6</v>
      </c>
      <c r="C9" s="13">
        <v>0.66666666666666663</v>
      </c>
      <c r="D9" s="11" t="s">
        <v>29</v>
      </c>
      <c r="E9" s="10">
        <v>17</v>
      </c>
      <c r="F9" s="13">
        <v>0.33823529411764708</v>
      </c>
      <c r="G9" s="11" t="s">
        <v>27</v>
      </c>
      <c r="H9" s="10">
        <v>7</v>
      </c>
      <c r="I9" s="13">
        <v>0.61428571428571421</v>
      </c>
      <c r="J9" s="11" t="s">
        <v>24</v>
      </c>
      <c r="K9" s="10">
        <v>14</v>
      </c>
      <c r="L9" s="13">
        <v>0.39285714285714279</v>
      </c>
      <c r="M9" s="11" t="s">
        <v>148</v>
      </c>
      <c r="N9" s="10">
        <v>5</v>
      </c>
      <c r="O9" s="13">
        <v>0.82000000000000006</v>
      </c>
      <c r="P9" s="11" t="s">
        <v>29</v>
      </c>
      <c r="Q9" s="10">
        <v>8</v>
      </c>
      <c r="R9" s="13">
        <v>0.28749999999999998</v>
      </c>
      <c r="T9" s="11" t="s">
        <v>118</v>
      </c>
      <c r="U9" s="10">
        <v>4</v>
      </c>
      <c r="V9" s="13">
        <v>0.92499999999999993</v>
      </c>
      <c r="W9" s="11" t="s">
        <v>33</v>
      </c>
      <c r="X9" s="10">
        <v>16</v>
      </c>
      <c r="Y9" s="13">
        <v>0.26874999999999999</v>
      </c>
    </row>
    <row r="10" spans="1:25" x14ac:dyDescent="0.4">
      <c r="A10" s="11" t="s">
        <v>116</v>
      </c>
      <c r="B10" s="10">
        <v>5</v>
      </c>
      <c r="C10" s="13">
        <v>0.56999999999999995</v>
      </c>
      <c r="D10" s="11" t="s">
        <v>22</v>
      </c>
      <c r="E10" s="10">
        <v>17</v>
      </c>
      <c r="F10" s="13">
        <v>0.31470588235294122</v>
      </c>
      <c r="G10" s="11" t="s">
        <v>135</v>
      </c>
      <c r="H10" s="10">
        <v>5</v>
      </c>
      <c r="I10" s="13">
        <v>0.5</v>
      </c>
      <c r="J10" s="11" t="s">
        <v>28</v>
      </c>
      <c r="K10" s="10">
        <v>14</v>
      </c>
      <c r="L10" s="13">
        <v>6.4285714285714307E-2</v>
      </c>
      <c r="M10" s="11" t="s">
        <v>149</v>
      </c>
      <c r="N10" s="10">
        <v>5</v>
      </c>
      <c r="O10" s="13">
        <v>0.74</v>
      </c>
      <c r="P10" s="11" t="s">
        <v>161</v>
      </c>
      <c r="Q10" s="10">
        <v>7</v>
      </c>
      <c r="R10" s="13">
        <v>0.27142857142857141</v>
      </c>
      <c r="T10" s="11" t="s">
        <v>11</v>
      </c>
      <c r="U10" s="10">
        <v>3</v>
      </c>
      <c r="V10" s="13">
        <v>0.73333333333333339</v>
      </c>
      <c r="W10" s="11" t="s">
        <v>16</v>
      </c>
      <c r="X10" s="10">
        <v>15</v>
      </c>
      <c r="Y10" s="13">
        <v>0.32333333333333342</v>
      </c>
    </row>
    <row r="11" spans="1:25" x14ac:dyDescent="0.4">
      <c r="A11" s="11" t="s">
        <v>21</v>
      </c>
      <c r="B11" s="10">
        <v>4</v>
      </c>
      <c r="C11" s="13">
        <v>0.72499999999999987</v>
      </c>
      <c r="D11" s="11" t="s">
        <v>33</v>
      </c>
      <c r="E11" s="10">
        <v>16</v>
      </c>
      <c r="F11" s="13">
        <v>0.26874999999999999</v>
      </c>
      <c r="G11" s="11" t="s">
        <v>136</v>
      </c>
      <c r="H11" s="10">
        <v>5</v>
      </c>
      <c r="I11" s="13">
        <v>0.75</v>
      </c>
      <c r="J11" s="11" t="s">
        <v>14</v>
      </c>
      <c r="K11" s="10">
        <v>11</v>
      </c>
      <c r="L11" s="13">
        <v>0.29545454545454553</v>
      </c>
      <c r="M11" s="11" t="s">
        <v>150</v>
      </c>
      <c r="N11" s="10">
        <v>4</v>
      </c>
      <c r="O11" s="13">
        <v>0.52500000000000002</v>
      </c>
      <c r="P11" s="11" t="s">
        <v>131</v>
      </c>
      <c r="Q11" s="10">
        <v>6</v>
      </c>
      <c r="R11" s="13">
        <v>6.6666666666666666E-2</v>
      </c>
      <c r="T11" s="11" t="s">
        <v>120</v>
      </c>
      <c r="U11" s="10">
        <v>3</v>
      </c>
      <c r="V11" s="13">
        <v>0.80000000000000016</v>
      </c>
      <c r="W11" s="11" t="s">
        <v>34</v>
      </c>
      <c r="X11" s="10">
        <v>10</v>
      </c>
      <c r="Y11" s="13">
        <v>0.32</v>
      </c>
    </row>
    <row r="12" spans="1:25" ht="14.25" thickBot="1" x14ac:dyDescent="0.45">
      <c r="A12" s="11" t="s">
        <v>117</v>
      </c>
      <c r="B12" s="10">
        <v>4</v>
      </c>
      <c r="C12" s="13">
        <v>0.6875</v>
      </c>
      <c r="D12" s="11" t="s">
        <v>16</v>
      </c>
      <c r="E12" s="10">
        <v>15</v>
      </c>
      <c r="F12" s="13">
        <v>0.32333333333333342</v>
      </c>
      <c r="G12" s="11" t="s">
        <v>137</v>
      </c>
      <c r="H12" s="10">
        <v>4</v>
      </c>
      <c r="I12" s="13">
        <v>0.875</v>
      </c>
      <c r="J12" s="11" t="s">
        <v>29</v>
      </c>
      <c r="K12" s="10">
        <v>10</v>
      </c>
      <c r="L12" s="13">
        <v>0.33</v>
      </c>
      <c r="M12" s="11" t="s">
        <v>151</v>
      </c>
      <c r="N12" s="10">
        <v>3</v>
      </c>
      <c r="O12" s="13">
        <v>0.80000000000000016</v>
      </c>
      <c r="P12" s="11" t="s">
        <v>25</v>
      </c>
      <c r="Q12" s="10">
        <v>5</v>
      </c>
      <c r="R12" s="13">
        <v>0.2</v>
      </c>
      <c r="T12" s="9" t="s">
        <v>145</v>
      </c>
      <c r="U12" s="9" t="s">
        <v>1</v>
      </c>
      <c r="V12" s="12" t="s">
        <v>2</v>
      </c>
      <c r="W12" s="9" t="s">
        <v>133</v>
      </c>
      <c r="X12" s="9" t="s">
        <v>1</v>
      </c>
      <c r="Y12" s="12" t="s">
        <v>4</v>
      </c>
    </row>
    <row r="13" spans="1:25" x14ac:dyDescent="0.4">
      <c r="A13" s="11" t="s">
        <v>118</v>
      </c>
      <c r="B13" s="10">
        <v>4</v>
      </c>
      <c r="C13" s="13">
        <v>0.92499999999999993</v>
      </c>
      <c r="D13" s="11" t="s">
        <v>5</v>
      </c>
      <c r="E13" s="10">
        <v>13</v>
      </c>
      <c r="F13" s="13">
        <v>0.32692307692307693</v>
      </c>
      <c r="G13" s="11" t="s">
        <v>138</v>
      </c>
      <c r="H13" s="10">
        <v>4</v>
      </c>
      <c r="I13" s="13">
        <v>0.75</v>
      </c>
      <c r="J13" s="11" t="s">
        <v>26</v>
      </c>
      <c r="K13" s="10">
        <v>10</v>
      </c>
      <c r="L13" s="13">
        <v>0.30999999999999989</v>
      </c>
      <c r="M13" s="11" t="s">
        <v>152</v>
      </c>
      <c r="N13" s="10">
        <v>3</v>
      </c>
      <c r="O13" s="13">
        <v>0.6333333333333333</v>
      </c>
      <c r="P13" s="11" t="s">
        <v>34</v>
      </c>
      <c r="Q13" s="10">
        <v>5</v>
      </c>
      <c r="R13" s="13">
        <v>0.26</v>
      </c>
      <c r="T13" s="11" t="s">
        <v>5</v>
      </c>
      <c r="U13" s="10">
        <f>18+139</f>
        <v>157</v>
      </c>
      <c r="V13" s="13">
        <f>(157-18)/157*62.5899280575539%+18/157*70.28%</f>
        <v>0.63471592356687856</v>
      </c>
      <c r="W13" s="11" t="s">
        <v>6</v>
      </c>
      <c r="X13" s="10">
        <f>8+50</f>
        <v>58</v>
      </c>
      <c r="Y13" s="13">
        <f>50/58*33.5%+8/58*24.38%</f>
        <v>0.3224206896551724</v>
      </c>
    </row>
    <row r="14" spans="1:25" x14ac:dyDescent="0.4">
      <c r="A14" s="11" t="s">
        <v>11</v>
      </c>
      <c r="B14" s="10">
        <v>3</v>
      </c>
      <c r="C14" s="13">
        <v>0.73333333333333339</v>
      </c>
      <c r="D14" s="11" t="s">
        <v>18</v>
      </c>
      <c r="E14" s="10">
        <v>11</v>
      </c>
      <c r="F14" s="13">
        <v>0.27727272727272728</v>
      </c>
      <c r="G14" s="11" t="s">
        <v>19</v>
      </c>
      <c r="H14" s="10">
        <v>4</v>
      </c>
      <c r="I14" s="13">
        <v>0.72499999999999998</v>
      </c>
      <c r="J14" s="11" t="s">
        <v>34</v>
      </c>
      <c r="K14" s="10">
        <v>9</v>
      </c>
      <c r="L14" s="13">
        <v>0.26111111111111113</v>
      </c>
      <c r="M14" s="11" t="s">
        <v>153</v>
      </c>
      <c r="N14" s="10">
        <v>2</v>
      </c>
      <c r="O14" s="13">
        <v>0</v>
      </c>
      <c r="P14" s="11" t="s">
        <v>16</v>
      </c>
      <c r="Q14" s="10">
        <v>4</v>
      </c>
      <c r="R14" s="13">
        <v>0.3</v>
      </c>
      <c r="T14" s="11" t="s">
        <v>7</v>
      </c>
      <c r="U14" s="10">
        <v>37</v>
      </c>
      <c r="V14" s="13">
        <v>0.68648648648648669</v>
      </c>
      <c r="W14" s="11" t="s">
        <v>10</v>
      </c>
      <c r="X14" s="10">
        <f>18+40</f>
        <v>58</v>
      </c>
      <c r="Y14" s="13">
        <f>40/58*32.75%+18/58*28.33%</f>
        <v>0.31378275862068972</v>
      </c>
    </row>
    <row r="15" spans="1:25" x14ac:dyDescent="0.4">
      <c r="A15" s="11" t="s">
        <v>119</v>
      </c>
      <c r="B15" s="10">
        <v>3</v>
      </c>
      <c r="C15" s="13">
        <v>0</v>
      </c>
      <c r="D15" s="11" t="s">
        <v>34</v>
      </c>
      <c r="E15" s="10">
        <v>10</v>
      </c>
      <c r="F15" s="13">
        <v>0.32</v>
      </c>
      <c r="G15" s="11" t="s">
        <v>30</v>
      </c>
      <c r="H15" s="10">
        <v>4</v>
      </c>
      <c r="I15" s="13">
        <v>0.6</v>
      </c>
      <c r="J15" s="11" t="s">
        <v>18</v>
      </c>
      <c r="K15" s="10">
        <v>8</v>
      </c>
      <c r="L15" s="13">
        <v>0.24374999999999999</v>
      </c>
      <c r="M15" s="11" t="s">
        <v>154</v>
      </c>
      <c r="N15" s="10">
        <v>2</v>
      </c>
      <c r="O15" s="13">
        <v>0</v>
      </c>
      <c r="P15" s="11" t="s">
        <v>162</v>
      </c>
      <c r="Q15" s="10">
        <v>3</v>
      </c>
      <c r="R15" s="13">
        <v>0.1</v>
      </c>
      <c r="T15" s="11" t="s">
        <v>13</v>
      </c>
      <c r="U15" s="10">
        <v>23</v>
      </c>
      <c r="V15" s="13">
        <v>0.62608695652173918</v>
      </c>
      <c r="W15" s="11" t="s">
        <v>12</v>
      </c>
      <c r="X15" s="10">
        <v>31</v>
      </c>
      <c r="Y15" s="13">
        <v>0.36451612903225822</v>
      </c>
    </row>
    <row r="16" spans="1:25" x14ac:dyDescent="0.4">
      <c r="D16" s="11" t="s">
        <v>20</v>
      </c>
      <c r="E16" s="10">
        <v>9</v>
      </c>
      <c r="F16" s="13">
        <v>0.22222222222222221</v>
      </c>
      <c r="G16" s="11" t="s">
        <v>139</v>
      </c>
      <c r="H16" s="10">
        <v>3</v>
      </c>
      <c r="I16" s="13">
        <v>0.6333333333333333</v>
      </c>
      <c r="J16" s="11" t="s">
        <v>33</v>
      </c>
      <c r="K16" s="10">
        <v>7</v>
      </c>
      <c r="L16" s="13">
        <v>0.27857142857142858</v>
      </c>
      <c r="M16" s="11" t="s">
        <v>155</v>
      </c>
      <c r="N16" s="10">
        <v>2</v>
      </c>
      <c r="O16" s="13">
        <v>0.8</v>
      </c>
      <c r="P16" s="11" t="s">
        <v>18</v>
      </c>
      <c r="Q16" s="10">
        <v>3</v>
      </c>
      <c r="R16" s="13">
        <v>0.25</v>
      </c>
      <c r="T16" s="11" t="s">
        <v>11</v>
      </c>
      <c r="U16" s="10">
        <v>10</v>
      </c>
      <c r="V16" s="13">
        <v>0.745</v>
      </c>
      <c r="W16" s="11" t="s">
        <v>24</v>
      </c>
      <c r="X16" s="10">
        <f>11+14</f>
        <v>25</v>
      </c>
      <c r="Y16" s="13">
        <f>14/25*39.2857142857143%+11/25*29.55%</f>
        <v>0.35002000000000011</v>
      </c>
    </row>
    <row r="17" spans="1:25" x14ac:dyDescent="0.4">
      <c r="A17" s="11" t="s">
        <v>10</v>
      </c>
      <c r="B17" s="10">
        <v>3</v>
      </c>
      <c r="C17" s="13">
        <v>0.6333333333333333</v>
      </c>
      <c r="D17" s="11" t="s">
        <v>36</v>
      </c>
      <c r="E17" s="10">
        <v>8</v>
      </c>
      <c r="F17" s="13">
        <v>0.30625000000000002</v>
      </c>
      <c r="G17" s="11" t="s">
        <v>140</v>
      </c>
      <c r="H17" s="10">
        <v>3</v>
      </c>
      <c r="I17" s="13">
        <v>0.6333333333333333</v>
      </c>
      <c r="J17" s="11" t="s">
        <v>129</v>
      </c>
      <c r="K17" s="10">
        <v>7</v>
      </c>
      <c r="L17" s="13">
        <v>0.05</v>
      </c>
      <c r="M17" s="11" t="s">
        <v>156</v>
      </c>
      <c r="N17" s="10">
        <v>2</v>
      </c>
      <c r="O17" s="13">
        <v>0.95</v>
      </c>
      <c r="P17" s="11" t="s">
        <v>163</v>
      </c>
      <c r="Q17" s="10">
        <v>2</v>
      </c>
      <c r="R17" s="13">
        <v>0.17499999999999999</v>
      </c>
      <c r="T17" s="11" t="s">
        <v>134</v>
      </c>
      <c r="U17" s="10">
        <v>10</v>
      </c>
      <c r="V17" s="13">
        <v>0.58000000000000007</v>
      </c>
      <c r="W17" s="11" t="s">
        <v>16</v>
      </c>
      <c r="X17" s="10">
        <v>23</v>
      </c>
      <c r="Y17" s="13">
        <v>0.29565217391304349</v>
      </c>
    </row>
    <row r="18" spans="1:25" x14ac:dyDescent="0.4">
      <c r="A18" s="11" t="s">
        <v>120</v>
      </c>
      <c r="B18" s="10">
        <v>3</v>
      </c>
      <c r="C18" s="13">
        <v>0.80000000000000016</v>
      </c>
      <c r="D18" s="11" t="s">
        <v>126</v>
      </c>
      <c r="E18" s="10">
        <v>7</v>
      </c>
      <c r="F18" s="13">
        <v>0.27857142857142853</v>
      </c>
      <c r="G18" s="11" t="s">
        <v>141</v>
      </c>
      <c r="H18" s="10">
        <v>3</v>
      </c>
      <c r="I18" s="13">
        <v>0.93333333333333324</v>
      </c>
      <c r="J18" s="11" t="s">
        <v>5</v>
      </c>
      <c r="K18" s="10">
        <v>5</v>
      </c>
      <c r="L18" s="13">
        <v>0.30999999999999989</v>
      </c>
      <c r="M18" s="11" t="s">
        <v>157</v>
      </c>
      <c r="N18" s="10">
        <v>2</v>
      </c>
      <c r="O18" s="13">
        <v>0.4</v>
      </c>
      <c r="P18" s="11" t="s">
        <v>164</v>
      </c>
      <c r="Q18" s="10">
        <v>2</v>
      </c>
      <c r="R18" s="13">
        <v>0.05</v>
      </c>
      <c r="T18" s="11" t="s">
        <v>27</v>
      </c>
      <c r="U18" s="10">
        <v>7</v>
      </c>
      <c r="V18" s="13">
        <v>0.61428571428571421</v>
      </c>
      <c r="W18" s="11" t="s">
        <v>28</v>
      </c>
      <c r="X18" s="10">
        <f>7+14</f>
        <v>21</v>
      </c>
      <c r="Y18" s="13">
        <f>14/21*6.42857142857143%+7/21*5%</f>
        <v>5.9523809523809521E-2</v>
      </c>
    </row>
    <row r="19" spans="1:25" x14ac:dyDescent="0.4">
      <c r="A19" s="11" t="s">
        <v>121</v>
      </c>
      <c r="B19" s="10">
        <v>3</v>
      </c>
      <c r="C19" s="13">
        <v>0.6333333333333333</v>
      </c>
      <c r="D19" s="11" t="s">
        <v>127</v>
      </c>
      <c r="E19" s="10">
        <v>7</v>
      </c>
      <c r="F19" s="13">
        <v>0.1214285714285714</v>
      </c>
      <c r="G19" s="11" t="s">
        <v>142</v>
      </c>
      <c r="H19" s="10">
        <v>3</v>
      </c>
      <c r="I19" s="13">
        <v>0.70000000000000007</v>
      </c>
      <c r="J19" s="11" t="s">
        <v>131</v>
      </c>
      <c r="K19" s="10">
        <v>5</v>
      </c>
      <c r="L19" s="13">
        <v>0.05</v>
      </c>
      <c r="M19" s="11" t="s">
        <v>27</v>
      </c>
      <c r="N19" s="10">
        <v>2</v>
      </c>
      <c r="O19" s="13">
        <v>0.8</v>
      </c>
      <c r="P19" s="11" t="s">
        <v>33</v>
      </c>
      <c r="Q19" s="10">
        <v>2</v>
      </c>
      <c r="R19" s="13">
        <v>0.2</v>
      </c>
      <c r="T19" s="11" t="s">
        <v>135</v>
      </c>
      <c r="U19" s="10">
        <v>5</v>
      </c>
      <c r="V19" s="13">
        <v>0.5</v>
      </c>
      <c r="W19" s="11" t="s">
        <v>8</v>
      </c>
      <c r="X19" s="10">
        <v>18</v>
      </c>
      <c r="Y19" s="13">
        <v>0.33333333333333331</v>
      </c>
    </row>
    <row r="20" spans="1:25" x14ac:dyDescent="0.4">
      <c r="A20" s="11" t="s">
        <v>122</v>
      </c>
      <c r="B20" s="10">
        <v>3</v>
      </c>
      <c r="C20" s="13">
        <v>0.6333333333333333</v>
      </c>
      <c r="D20" s="11" t="s">
        <v>128</v>
      </c>
      <c r="E20" s="10">
        <v>6</v>
      </c>
      <c r="F20" s="13">
        <v>0.05</v>
      </c>
      <c r="G20" s="11" t="s">
        <v>16</v>
      </c>
      <c r="H20" s="10">
        <v>3</v>
      </c>
      <c r="I20" s="13">
        <v>0.6166666666666667</v>
      </c>
      <c r="J20" s="11" t="s">
        <v>132</v>
      </c>
      <c r="K20" s="10">
        <v>5</v>
      </c>
      <c r="L20" s="13">
        <v>0.34</v>
      </c>
      <c r="M20" s="11" t="s">
        <v>9</v>
      </c>
      <c r="N20" s="10">
        <v>2</v>
      </c>
      <c r="O20" s="13">
        <v>0.72500000000000009</v>
      </c>
      <c r="P20" s="11" t="s">
        <v>128</v>
      </c>
      <c r="Q20" s="10">
        <v>2</v>
      </c>
      <c r="R20" s="13">
        <v>0.05</v>
      </c>
      <c r="T20" s="11" t="s">
        <v>136</v>
      </c>
      <c r="U20" s="10">
        <v>5</v>
      </c>
      <c r="V20" s="13">
        <v>0.75</v>
      </c>
      <c r="W20" s="11" t="s">
        <v>29</v>
      </c>
      <c r="X20" s="10">
        <v>10</v>
      </c>
      <c r="Y20" s="13">
        <v>0.33</v>
      </c>
    </row>
    <row r="21" spans="1:25" x14ac:dyDescent="0.4">
      <c r="A21" s="11" t="s">
        <v>123</v>
      </c>
      <c r="B21" s="10">
        <v>3</v>
      </c>
      <c r="C21" s="13">
        <v>0.71666666666666667</v>
      </c>
      <c r="D21" s="11" t="s">
        <v>129</v>
      </c>
      <c r="E21" s="10">
        <v>6</v>
      </c>
      <c r="F21" s="13">
        <v>0.05</v>
      </c>
      <c r="G21" s="11" t="s">
        <v>143</v>
      </c>
      <c r="H21" s="10">
        <v>3</v>
      </c>
      <c r="I21" s="13">
        <v>0.6333333333333333</v>
      </c>
      <c r="J21" s="11" t="s">
        <v>35</v>
      </c>
      <c r="K21" s="10">
        <v>4</v>
      </c>
      <c r="L21" s="13">
        <v>0.2</v>
      </c>
      <c r="M21" s="11" t="s">
        <v>158</v>
      </c>
      <c r="N21" s="10">
        <v>1</v>
      </c>
      <c r="O21" s="13">
        <v>0.65</v>
      </c>
      <c r="P21" s="11" t="s">
        <v>165</v>
      </c>
      <c r="Q21" s="10">
        <v>2</v>
      </c>
      <c r="R21" s="13">
        <v>0.2</v>
      </c>
      <c r="T21" s="11" t="s">
        <v>137</v>
      </c>
      <c r="U21" s="10">
        <v>4</v>
      </c>
      <c r="V21" s="13">
        <v>0.875</v>
      </c>
      <c r="W21" s="11" t="s">
        <v>26</v>
      </c>
      <c r="X21" s="10">
        <v>10</v>
      </c>
      <c r="Y21" s="13">
        <v>0.30999999999999989</v>
      </c>
    </row>
    <row r="22" spans="1:25" x14ac:dyDescent="0.4">
      <c r="A22" s="11" t="s">
        <v>124</v>
      </c>
      <c r="B22" s="10">
        <v>2</v>
      </c>
      <c r="C22" s="13">
        <v>0.47499999999999998</v>
      </c>
      <c r="D22" s="11" t="s">
        <v>25</v>
      </c>
      <c r="E22" s="10">
        <v>5</v>
      </c>
      <c r="F22" s="13">
        <v>0.3</v>
      </c>
      <c r="G22" s="11" t="s">
        <v>144</v>
      </c>
      <c r="H22" s="10">
        <v>3</v>
      </c>
      <c r="I22" s="13">
        <v>0.9</v>
      </c>
      <c r="J22" s="11" t="s">
        <v>127</v>
      </c>
      <c r="K22" s="10">
        <v>4</v>
      </c>
      <c r="L22" s="13">
        <v>8.7499999999999994E-2</v>
      </c>
      <c r="M22" s="11" t="s">
        <v>159</v>
      </c>
      <c r="N22" s="10">
        <v>1</v>
      </c>
      <c r="O22" s="13">
        <v>0.95</v>
      </c>
      <c r="P22" s="11" t="s">
        <v>166</v>
      </c>
      <c r="Q22" s="10">
        <v>2</v>
      </c>
      <c r="R22" s="13">
        <v>0.05</v>
      </c>
      <c r="T22" s="11" t="s">
        <v>138</v>
      </c>
      <c r="U22" s="10">
        <v>4</v>
      </c>
      <c r="V22" s="13">
        <v>0.75</v>
      </c>
      <c r="W22" s="11" t="s">
        <v>34</v>
      </c>
      <c r="X22" s="10">
        <v>9</v>
      </c>
      <c r="Y22" s="13">
        <v>0.26111111111111113</v>
      </c>
    </row>
    <row r="23" spans="1:25" ht="14.25" thickBot="1" x14ac:dyDescent="0.45">
      <c r="A23" s="9" t="s">
        <v>168</v>
      </c>
      <c r="B23" s="9" t="s">
        <v>1</v>
      </c>
      <c r="C23" s="12" t="s">
        <v>2</v>
      </c>
      <c r="D23" s="9" t="s">
        <v>169</v>
      </c>
      <c r="E23" s="9" t="s">
        <v>1</v>
      </c>
      <c r="F23" s="12" t="s">
        <v>4</v>
      </c>
      <c r="G23" s="9" t="s">
        <v>184</v>
      </c>
      <c r="H23" s="9" t="s">
        <v>1</v>
      </c>
      <c r="I23" s="12" t="s">
        <v>2</v>
      </c>
      <c r="J23" s="9" t="s">
        <v>185</v>
      </c>
      <c r="K23" s="9" t="s">
        <v>1</v>
      </c>
      <c r="L23" s="12" t="s">
        <v>4</v>
      </c>
      <c r="M23" s="9" t="s">
        <v>206</v>
      </c>
      <c r="N23" s="9" t="s">
        <v>1</v>
      </c>
      <c r="O23" s="12" t="s">
        <v>2</v>
      </c>
      <c r="P23" s="9" t="s">
        <v>207</v>
      </c>
      <c r="Q23" s="9" t="s">
        <v>1</v>
      </c>
      <c r="R23" s="12" t="s">
        <v>4</v>
      </c>
      <c r="T23" s="11" t="s">
        <v>19</v>
      </c>
      <c r="U23" s="10">
        <v>4</v>
      </c>
      <c r="V23" s="13">
        <v>0.72499999999999998</v>
      </c>
      <c r="W23" s="11" t="s">
        <v>33</v>
      </c>
      <c r="X23" s="10">
        <v>7</v>
      </c>
      <c r="Y23" s="13">
        <v>0.27857142857142858</v>
      </c>
    </row>
    <row r="24" spans="1:25" ht="14.25" thickBot="1" x14ac:dyDescent="0.45">
      <c r="A24" s="11" t="s">
        <v>5</v>
      </c>
      <c r="B24" s="10">
        <v>54</v>
      </c>
      <c r="C24" s="13">
        <v>0.62777777777777766</v>
      </c>
      <c r="D24" s="11" t="s">
        <v>10</v>
      </c>
      <c r="E24" s="10">
        <v>26</v>
      </c>
      <c r="F24" s="13">
        <v>0.3115384615384616</v>
      </c>
      <c r="G24" s="11" t="s">
        <v>15</v>
      </c>
      <c r="H24" s="10">
        <v>36</v>
      </c>
      <c r="I24" s="13">
        <v>0.6875</v>
      </c>
      <c r="J24" s="11" t="s">
        <v>6</v>
      </c>
      <c r="K24" s="10">
        <v>15</v>
      </c>
      <c r="L24" s="13">
        <v>0.38</v>
      </c>
      <c r="M24" s="11" t="s">
        <v>5</v>
      </c>
      <c r="N24" s="10">
        <v>29</v>
      </c>
      <c r="O24" s="13">
        <v>0.62068965517241392</v>
      </c>
      <c r="P24" s="11" t="s">
        <v>5</v>
      </c>
      <c r="Q24" s="10">
        <v>13</v>
      </c>
      <c r="R24" s="13">
        <v>0.19538461538461541</v>
      </c>
      <c r="T24" s="9" t="s">
        <v>160</v>
      </c>
      <c r="U24" s="9" t="s">
        <v>1</v>
      </c>
      <c r="V24" s="12" t="s">
        <v>2</v>
      </c>
      <c r="W24" s="9" t="s">
        <v>167</v>
      </c>
      <c r="X24" s="9" t="s">
        <v>1</v>
      </c>
      <c r="Y24" s="12" t="s">
        <v>4</v>
      </c>
    </row>
    <row r="25" spans="1:25" x14ac:dyDescent="0.4">
      <c r="A25" s="11" t="s">
        <v>9</v>
      </c>
      <c r="B25" s="10">
        <v>14</v>
      </c>
      <c r="C25" s="13">
        <v>0.69642857142857129</v>
      </c>
      <c r="D25" s="11" t="s">
        <v>6</v>
      </c>
      <c r="E25" s="10">
        <v>20</v>
      </c>
      <c r="F25" s="13">
        <v>0.30499999999999999</v>
      </c>
      <c r="G25" s="11" t="s">
        <v>5</v>
      </c>
      <c r="H25" s="10">
        <v>32</v>
      </c>
      <c r="I25" s="13">
        <v>0.66562500000000013</v>
      </c>
      <c r="J25" s="11" t="s">
        <v>8</v>
      </c>
      <c r="K25" s="10">
        <v>14</v>
      </c>
      <c r="L25" s="13">
        <v>3.1428571428571428</v>
      </c>
      <c r="M25" s="11" t="s">
        <v>208</v>
      </c>
      <c r="N25" s="10">
        <v>21</v>
      </c>
      <c r="O25" s="13">
        <v>0.72380952380952357</v>
      </c>
      <c r="P25" s="11" t="s">
        <v>6</v>
      </c>
      <c r="Q25" s="10">
        <v>11</v>
      </c>
      <c r="R25" s="13">
        <v>0.3227272727272727</v>
      </c>
      <c r="T25" s="11" t="s">
        <v>5</v>
      </c>
      <c r="U25" s="10">
        <v>63</v>
      </c>
      <c r="V25" s="13">
        <v>1.701587301587302</v>
      </c>
      <c r="W25" s="11" t="s">
        <v>6</v>
      </c>
      <c r="X25" s="10">
        <f>3+26</f>
        <v>29</v>
      </c>
      <c r="Y25" s="13">
        <f>26/29*25.7692307692308%+3/29*25%</f>
        <v>0.25689655172413822</v>
      </c>
    </row>
    <row r="26" spans="1:25" x14ac:dyDescent="0.4">
      <c r="A26" s="11" t="s">
        <v>7</v>
      </c>
      <c r="B26" s="10">
        <v>11</v>
      </c>
      <c r="C26" s="13">
        <v>0.69545454545454544</v>
      </c>
      <c r="D26" s="11" t="s">
        <v>12</v>
      </c>
      <c r="E26" s="10">
        <v>12</v>
      </c>
      <c r="F26" s="13">
        <v>0.37083333333333329</v>
      </c>
      <c r="G26" s="11" t="s">
        <v>186</v>
      </c>
      <c r="H26" s="10">
        <v>6</v>
      </c>
      <c r="I26" s="13">
        <v>0.9</v>
      </c>
      <c r="J26" s="11" t="s">
        <v>10</v>
      </c>
      <c r="K26" s="10">
        <v>12</v>
      </c>
      <c r="L26" s="13">
        <v>0.3</v>
      </c>
      <c r="M26" s="11" t="s">
        <v>9</v>
      </c>
      <c r="N26" s="10">
        <v>8</v>
      </c>
      <c r="O26" s="13">
        <v>0.69374999999999998</v>
      </c>
      <c r="P26" s="11" t="s">
        <v>8</v>
      </c>
      <c r="Q26" s="10">
        <v>10</v>
      </c>
      <c r="R26" s="13">
        <v>0.32500000000000012</v>
      </c>
      <c r="T26" s="11" t="s">
        <v>30</v>
      </c>
      <c r="U26" s="10">
        <v>40</v>
      </c>
      <c r="V26" s="13">
        <v>0.71249999999999969</v>
      </c>
      <c r="W26" s="11" t="s">
        <v>28</v>
      </c>
      <c r="X26" s="14">
        <f>3+21</f>
        <v>24</v>
      </c>
      <c r="Y26" s="15">
        <f>21/24*5.23809523809524%+3/24*10%</f>
        <v>5.8333333333333348E-2</v>
      </c>
    </row>
    <row r="27" spans="1:25" x14ac:dyDescent="0.4">
      <c r="A27" s="11" t="s">
        <v>13</v>
      </c>
      <c r="B27" s="10">
        <v>10</v>
      </c>
      <c r="C27" s="13">
        <v>0.64</v>
      </c>
      <c r="D27" s="11" t="s">
        <v>16</v>
      </c>
      <c r="E27" s="10">
        <v>9</v>
      </c>
      <c r="F27" s="13">
        <v>0.26666666666666672</v>
      </c>
      <c r="G27" s="11" t="s">
        <v>187</v>
      </c>
      <c r="H27" s="10">
        <v>6</v>
      </c>
      <c r="I27" s="13">
        <v>0.79999999999999993</v>
      </c>
      <c r="J27" s="11" t="s">
        <v>24</v>
      </c>
      <c r="K27" s="10">
        <v>8</v>
      </c>
      <c r="L27" s="13">
        <v>0.21249999999999999</v>
      </c>
      <c r="M27" s="11" t="s">
        <v>7</v>
      </c>
      <c r="N27" s="10">
        <v>8</v>
      </c>
      <c r="O27" s="13">
        <v>0.70625000000000004</v>
      </c>
      <c r="P27" s="11" t="s">
        <v>10</v>
      </c>
      <c r="Q27" s="10">
        <v>7</v>
      </c>
      <c r="R27" s="13">
        <v>0.26428571428571429</v>
      </c>
      <c r="T27" s="11" t="s">
        <v>146</v>
      </c>
      <c r="U27" s="10">
        <v>12</v>
      </c>
      <c r="V27" s="13">
        <v>0.66249999999999998</v>
      </c>
      <c r="W27" s="11" t="s">
        <v>10</v>
      </c>
      <c r="X27" s="10">
        <v>14</v>
      </c>
      <c r="Y27" s="13">
        <v>0.31428571428571428</v>
      </c>
    </row>
    <row r="28" spans="1:25" x14ac:dyDescent="0.4">
      <c r="A28" s="11" t="s">
        <v>27</v>
      </c>
      <c r="B28" s="10">
        <v>5</v>
      </c>
      <c r="C28" s="13">
        <v>0.67</v>
      </c>
      <c r="D28" s="11" t="s">
        <v>18</v>
      </c>
      <c r="E28" s="10">
        <v>7</v>
      </c>
      <c r="F28" s="13">
        <v>0.23571428571428571</v>
      </c>
      <c r="G28" s="11" t="s">
        <v>188</v>
      </c>
      <c r="H28" s="10">
        <v>4</v>
      </c>
      <c r="I28" s="13">
        <v>0.57499999999999996</v>
      </c>
      <c r="J28" s="11" t="s">
        <v>129</v>
      </c>
      <c r="K28" s="10">
        <v>7</v>
      </c>
      <c r="L28" s="13">
        <v>0.05</v>
      </c>
      <c r="M28" s="11" t="s">
        <v>14</v>
      </c>
      <c r="N28" s="10">
        <v>6</v>
      </c>
      <c r="O28" s="13">
        <v>0.83333333333333348</v>
      </c>
      <c r="P28" s="11" t="s">
        <v>129</v>
      </c>
      <c r="Q28" s="10">
        <v>6</v>
      </c>
      <c r="R28" s="13">
        <v>0.05</v>
      </c>
      <c r="T28" s="11" t="s">
        <v>7</v>
      </c>
      <c r="U28" s="10">
        <v>10</v>
      </c>
      <c r="V28" s="13">
        <v>0.77</v>
      </c>
      <c r="W28" s="11" t="s">
        <v>129</v>
      </c>
      <c r="X28" s="10">
        <f>6+11</f>
        <v>17</v>
      </c>
      <c r="Y28" s="13">
        <f>11/17*5%+6/17*6.67%</f>
        <v>5.589411764705883E-2</v>
      </c>
    </row>
    <row r="29" spans="1:25" x14ac:dyDescent="0.4">
      <c r="A29" s="11" t="s">
        <v>170</v>
      </c>
      <c r="B29" s="10">
        <v>5</v>
      </c>
      <c r="C29" s="13">
        <v>0.76</v>
      </c>
      <c r="D29" s="11" t="s">
        <v>131</v>
      </c>
      <c r="E29" s="10">
        <v>6</v>
      </c>
      <c r="F29" s="13">
        <v>6.6666666666666666E-2</v>
      </c>
      <c r="G29" s="11" t="s">
        <v>189</v>
      </c>
      <c r="H29" s="10">
        <v>3</v>
      </c>
      <c r="I29" s="13">
        <v>0.6333333333333333</v>
      </c>
      <c r="J29" s="11" t="s">
        <v>28</v>
      </c>
      <c r="K29" s="10">
        <v>7</v>
      </c>
      <c r="L29" s="13">
        <v>0.05</v>
      </c>
      <c r="M29" s="11" t="s">
        <v>20</v>
      </c>
      <c r="N29" s="10">
        <v>5</v>
      </c>
      <c r="O29" s="13">
        <v>0.74</v>
      </c>
      <c r="P29" s="11" t="s">
        <v>28</v>
      </c>
      <c r="Q29" s="10">
        <v>5</v>
      </c>
      <c r="R29" s="13">
        <v>0.05</v>
      </c>
      <c r="T29" s="11" t="s">
        <v>147</v>
      </c>
      <c r="U29" s="10">
        <v>6</v>
      </c>
      <c r="V29" s="13">
        <v>0.79166666666666663</v>
      </c>
      <c r="W29" s="11" t="s">
        <v>8</v>
      </c>
      <c r="X29" s="10">
        <v>10</v>
      </c>
      <c r="Y29" s="13">
        <v>0.34</v>
      </c>
    </row>
    <row r="30" spans="1:25" x14ac:dyDescent="0.4">
      <c r="A30" s="11" t="s">
        <v>171</v>
      </c>
      <c r="B30" s="10">
        <v>5</v>
      </c>
      <c r="C30" s="13">
        <v>0.38</v>
      </c>
      <c r="D30" s="11" t="s">
        <v>22</v>
      </c>
      <c r="E30" s="10">
        <v>6</v>
      </c>
      <c r="F30" s="13">
        <v>0.3666666666666667</v>
      </c>
      <c r="G30" s="11" t="s">
        <v>190</v>
      </c>
      <c r="H30" s="10">
        <v>3</v>
      </c>
      <c r="I30" s="13">
        <v>0.6333333333333333</v>
      </c>
      <c r="J30" s="11" t="s">
        <v>12</v>
      </c>
      <c r="K30" s="10">
        <v>5</v>
      </c>
      <c r="L30" s="13">
        <v>0.2</v>
      </c>
      <c r="M30" s="11" t="s">
        <v>21</v>
      </c>
      <c r="N30" s="10">
        <v>4</v>
      </c>
      <c r="O30" s="13">
        <v>0.75</v>
      </c>
      <c r="P30" s="11" t="s">
        <v>29</v>
      </c>
      <c r="Q30" s="10">
        <v>5</v>
      </c>
      <c r="R30" s="13">
        <v>0.32</v>
      </c>
      <c r="T30" s="11" t="s">
        <v>13</v>
      </c>
      <c r="U30" s="10">
        <v>5</v>
      </c>
      <c r="V30" s="13">
        <v>0.76</v>
      </c>
      <c r="W30" s="11" t="s">
        <v>12</v>
      </c>
      <c r="X30" s="10">
        <v>8</v>
      </c>
      <c r="Y30" s="13">
        <v>0.26250000000000001</v>
      </c>
    </row>
    <row r="31" spans="1:25" x14ac:dyDescent="0.4">
      <c r="A31" s="11" t="s">
        <v>150</v>
      </c>
      <c r="B31" s="10">
        <v>4</v>
      </c>
      <c r="C31" s="13">
        <v>0.6875</v>
      </c>
      <c r="D31" s="11" t="s">
        <v>28</v>
      </c>
      <c r="E31" s="10">
        <v>6</v>
      </c>
      <c r="F31" s="13">
        <v>0.05</v>
      </c>
      <c r="G31" s="11" t="s">
        <v>191</v>
      </c>
      <c r="H31" s="10">
        <v>3</v>
      </c>
      <c r="I31" s="13">
        <v>0.73333333333333339</v>
      </c>
      <c r="J31" s="11" t="s">
        <v>16</v>
      </c>
      <c r="K31" s="10">
        <v>4</v>
      </c>
      <c r="L31" s="13">
        <v>0.22500000000000001</v>
      </c>
      <c r="M31" s="11" t="s">
        <v>209</v>
      </c>
      <c r="N31" s="10">
        <v>3</v>
      </c>
      <c r="O31" s="13">
        <v>0.6333333333333333</v>
      </c>
      <c r="P31" s="11" t="s">
        <v>221</v>
      </c>
      <c r="Q31" s="10">
        <v>5</v>
      </c>
      <c r="R31" s="13">
        <v>0.13</v>
      </c>
      <c r="T31" s="11" t="s">
        <v>148</v>
      </c>
      <c r="U31" s="10">
        <v>5</v>
      </c>
      <c r="V31" s="13">
        <v>0.82000000000000006</v>
      </c>
      <c r="W31" s="11" t="s">
        <v>29</v>
      </c>
      <c r="X31" s="10">
        <v>8</v>
      </c>
      <c r="Y31" s="13">
        <v>0.28749999999999998</v>
      </c>
    </row>
    <row r="32" spans="1:25" x14ac:dyDescent="0.4">
      <c r="A32" s="11" t="s">
        <v>172</v>
      </c>
      <c r="B32" s="10">
        <v>4</v>
      </c>
      <c r="C32" s="13">
        <v>0.86250000000000004</v>
      </c>
      <c r="D32" s="11" t="s">
        <v>8</v>
      </c>
      <c r="E32" s="10">
        <v>5</v>
      </c>
      <c r="F32" s="13">
        <v>0.26</v>
      </c>
      <c r="G32" s="11" t="s">
        <v>192</v>
      </c>
      <c r="H32" s="10">
        <v>3</v>
      </c>
      <c r="I32" s="13">
        <v>0.79999999999999993</v>
      </c>
      <c r="J32" s="11" t="s">
        <v>34</v>
      </c>
      <c r="K32" s="10">
        <v>4</v>
      </c>
      <c r="L32" s="13">
        <v>0.2</v>
      </c>
      <c r="M32" s="11" t="s">
        <v>210</v>
      </c>
      <c r="N32" s="10">
        <v>3</v>
      </c>
      <c r="O32" s="13">
        <v>0.94999999999999984</v>
      </c>
      <c r="P32" s="11" t="s">
        <v>222</v>
      </c>
      <c r="Q32" s="10">
        <v>4</v>
      </c>
      <c r="R32" s="13">
        <v>0.05</v>
      </c>
      <c r="T32" s="11" t="s">
        <v>149</v>
      </c>
      <c r="U32" s="10">
        <v>5</v>
      </c>
      <c r="V32" s="13">
        <v>0.74</v>
      </c>
      <c r="W32" s="11" t="s">
        <v>161</v>
      </c>
      <c r="X32" s="10">
        <v>7</v>
      </c>
      <c r="Y32" s="13">
        <v>0.27142857142857141</v>
      </c>
    </row>
    <row r="33" spans="1:25" x14ac:dyDescent="0.4">
      <c r="A33" s="11" t="s">
        <v>173</v>
      </c>
      <c r="B33" s="10">
        <v>3</v>
      </c>
      <c r="C33" s="13">
        <v>0.6333333333333333</v>
      </c>
      <c r="D33" s="11" t="s">
        <v>20</v>
      </c>
      <c r="E33" s="10">
        <v>5</v>
      </c>
      <c r="F33" s="13">
        <v>0.41999999999999987</v>
      </c>
      <c r="G33" s="11" t="s">
        <v>193</v>
      </c>
      <c r="H33" s="10">
        <v>2</v>
      </c>
      <c r="I33" s="13">
        <v>0.95</v>
      </c>
      <c r="J33" s="11" t="s">
        <v>166</v>
      </c>
      <c r="K33" s="10">
        <v>4</v>
      </c>
      <c r="L33" s="13">
        <v>6.25E-2</v>
      </c>
      <c r="M33" s="11" t="s">
        <v>211</v>
      </c>
      <c r="N33" s="10">
        <v>3</v>
      </c>
      <c r="O33" s="13">
        <v>0.6333333333333333</v>
      </c>
      <c r="P33" s="11" t="s">
        <v>223</v>
      </c>
      <c r="Q33" s="10">
        <v>4</v>
      </c>
      <c r="R33" s="13">
        <v>0.45</v>
      </c>
      <c r="T33" s="11" t="s">
        <v>150</v>
      </c>
      <c r="U33" s="10">
        <v>4</v>
      </c>
      <c r="V33" s="13">
        <v>0.52500000000000002</v>
      </c>
      <c r="W33" s="11" t="s">
        <v>25</v>
      </c>
      <c r="X33" s="10">
        <v>5</v>
      </c>
      <c r="Y33" s="13">
        <v>0.2</v>
      </c>
    </row>
    <row r="34" spans="1:25" x14ac:dyDescent="0.4">
      <c r="A34" s="11" t="s">
        <v>174</v>
      </c>
      <c r="B34" s="10">
        <v>3</v>
      </c>
      <c r="C34" s="13">
        <v>0.68333333333333324</v>
      </c>
      <c r="D34" s="11" t="s">
        <v>36</v>
      </c>
      <c r="E34" s="10">
        <v>5</v>
      </c>
      <c r="F34" s="13">
        <v>0.32</v>
      </c>
      <c r="G34" s="11" t="s">
        <v>194</v>
      </c>
      <c r="H34" s="10">
        <v>2</v>
      </c>
      <c r="I34" s="13">
        <v>0.82499999999999996</v>
      </c>
      <c r="J34" s="11" t="s">
        <v>35</v>
      </c>
      <c r="K34" s="10">
        <v>4</v>
      </c>
      <c r="L34" s="13">
        <v>0.3</v>
      </c>
      <c r="M34" s="11" t="s">
        <v>212</v>
      </c>
      <c r="N34" s="10">
        <v>2</v>
      </c>
      <c r="O34" s="13">
        <v>0.47499999999999998</v>
      </c>
      <c r="P34" s="11" t="s">
        <v>127</v>
      </c>
      <c r="Q34" s="10">
        <v>4</v>
      </c>
      <c r="R34" s="13">
        <v>6.25E-2</v>
      </c>
      <c r="T34" s="11" t="s">
        <v>151</v>
      </c>
      <c r="U34" s="10">
        <v>3</v>
      </c>
      <c r="V34" s="13">
        <v>0.80000000000000016</v>
      </c>
      <c r="W34" s="11" t="s">
        <v>34</v>
      </c>
      <c r="X34" s="10">
        <v>5</v>
      </c>
      <c r="Y34" s="13">
        <v>0.26</v>
      </c>
    </row>
    <row r="35" spans="1:25" ht="14.25" thickBot="1" x14ac:dyDescent="0.45">
      <c r="A35" s="11" t="s">
        <v>175</v>
      </c>
      <c r="B35" s="10">
        <v>3</v>
      </c>
      <c r="C35" s="13">
        <v>0.6333333333333333</v>
      </c>
      <c r="D35" s="11" t="s">
        <v>34</v>
      </c>
      <c r="E35" s="10">
        <v>4</v>
      </c>
      <c r="F35" s="13">
        <v>0.25</v>
      </c>
      <c r="G35" s="11" t="s">
        <v>195</v>
      </c>
      <c r="H35" s="10">
        <v>2</v>
      </c>
      <c r="I35" s="13">
        <v>0.95</v>
      </c>
      <c r="J35" s="11" t="s">
        <v>128</v>
      </c>
      <c r="K35" s="10">
        <v>3</v>
      </c>
      <c r="L35" s="13">
        <v>5.000000000000001E-2</v>
      </c>
      <c r="M35" s="11" t="s">
        <v>213</v>
      </c>
      <c r="N35" s="10">
        <v>2</v>
      </c>
      <c r="O35" s="13">
        <v>0.95</v>
      </c>
      <c r="P35" s="11" t="s">
        <v>14</v>
      </c>
      <c r="Q35" s="10">
        <v>3</v>
      </c>
      <c r="R35" s="13">
        <v>0.26666666666666672</v>
      </c>
      <c r="T35" s="9" t="s">
        <v>168</v>
      </c>
      <c r="U35" s="9" t="s">
        <v>1</v>
      </c>
      <c r="V35" s="12" t="s">
        <v>2</v>
      </c>
      <c r="W35" s="9" t="s">
        <v>169</v>
      </c>
      <c r="X35" s="9" t="s">
        <v>1</v>
      </c>
      <c r="Y35" s="12" t="s">
        <v>4</v>
      </c>
    </row>
    <row r="36" spans="1:25" x14ac:dyDescent="0.4">
      <c r="A36" s="11" t="s">
        <v>155</v>
      </c>
      <c r="B36" s="10">
        <v>2</v>
      </c>
      <c r="C36" s="13">
        <v>0.9</v>
      </c>
      <c r="D36" s="11" t="s">
        <v>180</v>
      </c>
      <c r="E36" s="10">
        <v>4</v>
      </c>
      <c r="F36" s="13">
        <v>0.1</v>
      </c>
      <c r="G36" s="11" t="s">
        <v>9</v>
      </c>
      <c r="H36" s="10">
        <v>2</v>
      </c>
      <c r="I36" s="13">
        <v>0.72499999999999998</v>
      </c>
      <c r="J36" s="11" t="s">
        <v>201</v>
      </c>
      <c r="K36" s="10">
        <v>2</v>
      </c>
      <c r="L36" s="13">
        <v>0.2</v>
      </c>
      <c r="M36" s="11" t="s">
        <v>214</v>
      </c>
      <c r="N36" s="10">
        <v>2</v>
      </c>
      <c r="O36" s="13">
        <v>0.95</v>
      </c>
      <c r="P36" s="11" t="s">
        <v>12</v>
      </c>
      <c r="Q36" s="10">
        <v>3</v>
      </c>
      <c r="R36" s="13">
        <v>0.35</v>
      </c>
      <c r="T36" s="11" t="s">
        <v>5</v>
      </c>
      <c r="U36" s="10">
        <f>14+54</f>
        <v>68</v>
      </c>
      <c r="V36" s="13">
        <f>54/68*62.7777777777778%+14/68*69.64%</f>
        <v>0.64190588235294133</v>
      </c>
      <c r="W36" s="11" t="s">
        <v>10</v>
      </c>
      <c r="X36" s="10">
        <f>6+26</f>
        <v>32</v>
      </c>
      <c r="Y36" s="13">
        <f>26/32*31.1538461538462%+6/32*36.67%</f>
        <v>0.3218812500000004</v>
      </c>
    </row>
    <row r="37" spans="1:25" x14ac:dyDescent="0.4">
      <c r="A37" s="11" t="s">
        <v>23</v>
      </c>
      <c r="B37" s="10">
        <v>2</v>
      </c>
      <c r="C37" s="13">
        <v>0.7</v>
      </c>
      <c r="D37" s="11" t="s">
        <v>181</v>
      </c>
      <c r="E37" s="10">
        <v>3</v>
      </c>
      <c r="F37" s="13">
        <v>0.46666666666666662</v>
      </c>
      <c r="G37" s="11" t="s">
        <v>17</v>
      </c>
      <c r="H37" s="10">
        <v>2</v>
      </c>
      <c r="I37" s="13">
        <v>0.7</v>
      </c>
      <c r="J37" s="11" t="s">
        <v>33</v>
      </c>
      <c r="K37" s="10">
        <v>2</v>
      </c>
      <c r="L37" s="13">
        <v>0.2</v>
      </c>
      <c r="M37" s="11" t="s">
        <v>135</v>
      </c>
      <c r="N37" s="10">
        <v>2</v>
      </c>
      <c r="O37" s="13">
        <v>0.7</v>
      </c>
      <c r="P37" s="11" t="s">
        <v>25</v>
      </c>
      <c r="Q37" s="10">
        <v>2</v>
      </c>
      <c r="R37" s="13">
        <v>0.35</v>
      </c>
      <c r="T37" s="11" t="s">
        <v>7</v>
      </c>
      <c r="U37" s="10">
        <v>11</v>
      </c>
      <c r="V37" s="13">
        <v>0.69545454545454544</v>
      </c>
      <c r="W37" s="11" t="s">
        <v>6</v>
      </c>
      <c r="X37" s="10">
        <f>7+20</f>
        <v>27</v>
      </c>
      <c r="Y37" s="13">
        <f>20/27*30.5%+7/27*23.57%</f>
        <v>0.28703333333333331</v>
      </c>
    </row>
    <row r="38" spans="1:25" x14ac:dyDescent="0.4">
      <c r="A38" s="11" t="s">
        <v>176</v>
      </c>
      <c r="B38" s="10">
        <v>2</v>
      </c>
      <c r="C38" s="13">
        <v>0.9</v>
      </c>
      <c r="D38" s="11" t="s">
        <v>29</v>
      </c>
      <c r="E38" s="10">
        <v>3</v>
      </c>
      <c r="F38" s="13">
        <v>0.26666666666666672</v>
      </c>
      <c r="G38" s="11" t="s">
        <v>32</v>
      </c>
      <c r="H38" s="10">
        <v>2</v>
      </c>
      <c r="I38" s="13">
        <v>0.7</v>
      </c>
      <c r="J38" s="11" t="s">
        <v>202</v>
      </c>
      <c r="K38" s="10">
        <v>2</v>
      </c>
      <c r="L38" s="13">
        <v>0.25</v>
      </c>
      <c r="M38" s="11" t="s">
        <v>215</v>
      </c>
      <c r="N38" s="10">
        <v>2</v>
      </c>
      <c r="O38" s="13">
        <v>75</v>
      </c>
      <c r="P38" s="11" t="s">
        <v>128</v>
      </c>
      <c r="Q38" s="10">
        <v>2</v>
      </c>
      <c r="R38" s="13">
        <v>0.05</v>
      </c>
      <c r="T38" s="11" t="s">
        <v>13</v>
      </c>
      <c r="U38" s="10">
        <v>10</v>
      </c>
      <c r="V38" s="13">
        <v>0.64</v>
      </c>
      <c r="W38" s="11" t="s">
        <v>12</v>
      </c>
      <c r="X38" s="10">
        <f>9+12</f>
        <v>21</v>
      </c>
      <c r="Y38" s="13">
        <f>12/21*37.0833333333333%+9/12*26.67%</f>
        <v>0.41192976190476172</v>
      </c>
    </row>
    <row r="39" spans="1:25" x14ac:dyDescent="0.4">
      <c r="A39" s="11" t="s">
        <v>177</v>
      </c>
      <c r="B39" s="10">
        <v>2</v>
      </c>
      <c r="C39" s="13">
        <v>0.75</v>
      </c>
      <c r="D39" s="11" t="s">
        <v>182</v>
      </c>
      <c r="E39" s="10">
        <v>3</v>
      </c>
      <c r="F39" s="13">
        <v>0</v>
      </c>
      <c r="G39" s="11" t="s">
        <v>196</v>
      </c>
      <c r="H39" s="10">
        <v>1</v>
      </c>
      <c r="I39" s="13">
        <v>0</v>
      </c>
      <c r="J39" s="11" t="s">
        <v>14</v>
      </c>
      <c r="K39" s="10">
        <v>2</v>
      </c>
      <c r="L39" s="13">
        <v>0.35</v>
      </c>
      <c r="M39" s="11" t="s">
        <v>216</v>
      </c>
      <c r="N39" s="10">
        <v>2</v>
      </c>
      <c r="O39" s="13">
        <v>0.5</v>
      </c>
      <c r="P39" s="11" t="s">
        <v>224</v>
      </c>
      <c r="Q39" s="10">
        <v>2</v>
      </c>
      <c r="R39" s="13">
        <v>0.05</v>
      </c>
      <c r="T39" s="11" t="s">
        <v>27</v>
      </c>
      <c r="U39" s="10">
        <v>5</v>
      </c>
      <c r="V39" s="13">
        <v>0.67</v>
      </c>
      <c r="W39" s="11" t="s">
        <v>131</v>
      </c>
      <c r="X39" s="10">
        <v>12</v>
      </c>
      <c r="Y39" s="13">
        <f>0.5*6.66666666666667%+0.5*5%</f>
        <v>5.8333333333333348E-2</v>
      </c>
    </row>
    <row r="40" spans="1:25" x14ac:dyDescent="0.4">
      <c r="A40" s="11" t="s">
        <v>178</v>
      </c>
      <c r="B40" s="10">
        <v>2</v>
      </c>
      <c r="C40" s="13">
        <v>0</v>
      </c>
      <c r="D40" s="11" t="s">
        <v>126</v>
      </c>
      <c r="E40" s="10">
        <v>3</v>
      </c>
      <c r="F40" s="13">
        <v>0.35</v>
      </c>
      <c r="G40" s="11" t="s">
        <v>197</v>
      </c>
      <c r="H40" s="10">
        <v>1</v>
      </c>
      <c r="I40" s="13">
        <v>0.95</v>
      </c>
      <c r="J40" s="11" t="s">
        <v>203</v>
      </c>
      <c r="K40" s="10">
        <v>2</v>
      </c>
      <c r="L40" s="13">
        <v>0.1</v>
      </c>
      <c r="M40" s="11" t="s">
        <v>217</v>
      </c>
      <c r="N40" s="10">
        <v>1</v>
      </c>
      <c r="O40" s="13">
        <v>0</v>
      </c>
      <c r="P40" s="11" t="s">
        <v>225</v>
      </c>
      <c r="Q40" s="10">
        <v>2</v>
      </c>
      <c r="R40" s="13">
        <v>0.2</v>
      </c>
      <c r="T40" s="11" t="s">
        <v>170</v>
      </c>
      <c r="U40" s="10">
        <v>5</v>
      </c>
      <c r="V40" s="13">
        <v>0.76</v>
      </c>
      <c r="W40" s="11" t="s">
        <v>8</v>
      </c>
      <c r="X40" s="10">
        <v>5</v>
      </c>
      <c r="Y40" s="13">
        <v>0.26</v>
      </c>
    </row>
    <row r="41" spans="1:25" x14ac:dyDescent="0.4">
      <c r="A41" s="11" t="s">
        <v>142</v>
      </c>
      <c r="B41" s="10">
        <v>2</v>
      </c>
      <c r="C41" s="13">
        <v>0.7</v>
      </c>
      <c r="D41" s="11" t="s">
        <v>14</v>
      </c>
      <c r="E41" s="10">
        <v>3</v>
      </c>
      <c r="F41" s="13">
        <v>0.28333333333333338</v>
      </c>
      <c r="G41" s="11" t="s">
        <v>198</v>
      </c>
      <c r="H41" s="10">
        <v>1</v>
      </c>
      <c r="I41" s="13">
        <v>0.95</v>
      </c>
      <c r="J41" s="11" t="s">
        <v>29</v>
      </c>
      <c r="K41" s="10">
        <v>2</v>
      </c>
      <c r="L41" s="13">
        <v>0.4</v>
      </c>
      <c r="M41" s="11" t="s">
        <v>218</v>
      </c>
      <c r="N41" s="10">
        <v>1</v>
      </c>
      <c r="O41" s="13">
        <v>0.6</v>
      </c>
      <c r="P41" s="11" t="s">
        <v>226</v>
      </c>
      <c r="Q41" s="10">
        <v>2</v>
      </c>
      <c r="R41" s="13">
        <v>0.2</v>
      </c>
      <c r="T41" s="11" t="s">
        <v>171</v>
      </c>
      <c r="U41" s="10">
        <v>5</v>
      </c>
      <c r="V41" s="13">
        <v>0.38</v>
      </c>
      <c r="W41" s="11" t="s">
        <v>20</v>
      </c>
      <c r="X41" s="10">
        <v>5</v>
      </c>
      <c r="Y41" s="13">
        <v>0.41999999999999987</v>
      </c>
    </row>
    <row r="42" spans="1:25" x14ac:dyDescent="0.4">
      <c r="A42" s="11" t="s">
        <v>123</v>
      </c>
      <c r="B42" s="10">
        <v>2</v>
      </c>
      <c r="C42" s="13">
        <v>0</v>
      </c>
      <c r="D42" s="11" t="s">
        <v>183</v>
      </c>
      <c r="E42" s="10">
        <v>2</v>
      </c>
      <c r="F42" s="13">
        <v>0.15</v>
      </c>
      <c r="G42" s="11" t="s">
        <v>199</v>
      </c>
      <c r="H42" s="10">
        <v>1</v>
      </c>
      <c r="I42" s="13">
        <v>0.6</v>
      </c>
      <c r="J42" s="11" t="s">
        <v>26</v>
      </c>
      <c r="K42" s="10">
        <v>2</v>
      </c>
      <c r="L42" s="13">
        <v>0.2</v>
      </c>
      <c r="M42" s="11" t="s">
        <v>219</v>
      </c>
      <c r="N42" s="10">
        <v>1</v>
      </c>
      <c r="O42" s="13">
        <v>0</v>
      </c>
      <c r="P42" s="11" t="s">
        <v>227</v>
      </c>
      <c r="Q42" s="10">
        <v>2</v>
      </c>
      <c r="R42" s="13">
        <v>0.05</v>
      </c>
      <c r="T42" s="11" t="s">
        <v>150</v>
      </c>
      <c r="U42" s="10">
        <v>4</v>
      </c>
      <c r="V42" s="13">
        <v>0.6875</v>
      </c>
      <c r="W42" s="11" t="s">
        <v>36</v>
      </c>
      <c r="X42" s="10">
        <v>5</v>
      </c>
      <c r="Y42" s="13">
        <v>0.32</v>
      </c>
    </row>
    <row r="43" spans="1:25" x14ac:dyDescent="0.4">
      <c r="A43" s="11" t="s">
        <v>179</v>
      </c>
      <c r="B43" s="10">
        <v>2</v>
      </c>
      <c r="C43" s="13">
        <v>0</v>
      </c>
      <c r="D43" s="11" t="s">
        <v>172</v>
      </c>
      <c r="E43" s="10">
        <v>2</v>
      </c>
      <c r="F43" s="13">
        <v>0.2</v>
      </c>
      <c r="G43" s="11" t="s">
        <v>200</v>
      </c>
      <c r="H43" s="10">
        <v>1</v>
      </c>
      <c r="I43" s="13">
        <v>0.95</v>
      </c>
      <c r="J43" s="11" t="s">
        <v>204</v>
      </c>
      <c r="K43" s="10">
        <v>2</v>
      </c>
      <c r="L43" s="13">
        <v>0.5</v>
      </c>
      <c r="M43" s="11" t="s">
        <v>220</v>
      </c>
      <c r="N43" s="10">
        <v>1</v>
      </c>
      <c r="O43" s="13">
        <v>0</v>
      </c>
      <c r="P43" s="11" t="s">
        <v>228</v>
      </c>
      <c r="Q43" s="10">
        <v>2</v>
      </c>
      <c r="R43" s="13">
        <v>0.05</v>
      </c>
      <c r="T43" s="11" t="s">
        <v>172</v>
      </c>
      <c r="U43" s="10">
        <v>4</v>
      </c>
      <c r="V43" s="13">
        <v>0.86250000000000004</v>
      </c>
      <c r="W43" s="11" t="s">
        <v>34</v>
      </c>
      <c r="X43" s="10">
        <v>4</v>
      </c>
      <c r="Y43" s="13">
        <v>0.25</v>
      </c>
    </row>
    <row r="44" spans="1:25" x14ac:dyDescent="0.4">
      <c r="T44" s="11" t="s">
        <v>173</v>
      </c>
      <c r="U44" s="10">
        <v>3</v>
      </c>
      <c r="V44" s="13">
        <v>0.6333333333333333</v>
      </c>
      <c r="W44" s="11" t="s">
        <v>180</v>
      </c>
      <c r="X44" s="14">
        <v>4</v>
      </c>
      <c r="Y44" s="15">
        <v>0.1</v>
      </c>
    </row>
    <row r="45" spans="1:25" x14ac:dyDescent="0.4">
      <c r="T45" s="11" t="s">
        <v>174</v>
      </c>
      <c r="U45" s="10">
        <v>3</v>
      </c>
      <c r="V45" s="13">
        <v>0.68333333333333324</v>
      </c>
      <c r="W45" s="11" t="s">
        <v>181</v>
      </c>
      <c r="X45" s="10">
        <v>3</v>
      </c>
      <c r="Y45" s="13">
        <v>0.46666666666666662</v>
      </c>
    </row>
    <row r="46" spans="1:25" ht="14.25" thickBot="1" x14ac:dyDescent="0.45">
      <c r="T46" s="9" t="s">
        <v>184</v>
      </c>
      <c r="U46" s="9" t="s">
        <v>1</v>
      </c>
      <c r="V46" s="12" t="s">
        <v>2</v>
      </c>
      <c r="W46" s="9" t="s">
        <v>185</v>
      </c>
      <c r="X46" s="9" t="s">
        <v>1</v>
      </c>
      <c r="Y46" s="12" t="s">
        <v>4</v>
      </c>
    </row>
    <row r="47" spans="1:25" x14ac:dyDescent="0.4">
      <c r="T47" s="11" t="s">
        <v>15</v>
      </c>
      <c r="U47" s="10">
        <v>36</v>
      </c>
      <c r="V47" s="13">
        <v>0.6875</v>
      </c>
      <c r="W47" s="11" t="s">
        <v>6</v>
      </c>
      <c r="X47" s="10">
        <v>15</v>
      </c>
      <c r="Y47" s="13">
        <v>0.38</v>
      </c>
    </row>
    <row r="48" spans="1:25" x14ac:dyDescent="0.4">
      <c r="T48" s="11" t="s">
        <v>5</v>
      </c>
      <c r="U48" s="10">
        <v>34</v>
      </c>
      <c r="V48" s="13">
        <f>32/34*66.5625%+2/34*72.5%</f>
        <v>0.66911764705882348</v>
      </c>
      <c r="W48" s="11" t="s">
        <v>8</v>
      </c>
      <c r="X48" s="10">
        <v>14</v>
      </c>
      <c r="Y48" s="13">
        <v>3.1428571428571428</v>
      </c>
    </row>
    <row r="49" spans="20:25" x14ac:dyDescent="0.4">
      <c r="T49" s="11" t="s">
        <v>186</v>
      </c>
      <c r="U49" s="10">
        <v>10</v>
      </c>
      <c r="V49" s="13">
        <f>6/10*90%+4/10*57.5%</f>
        <v>0.77</v>
      </c>
      <c r="W49" s="11" t="s">
        <v>10</v>
      </c>
      <c r="X49" s="14">
        <v>12</v>
      </c>
      <c r="Y49" s="15">
        <v>0.3</v>
      </c>
    </row>
    <row r="50" spans="20:25" x14ac:dyDescent="0.4">
      <c r="T50" s="11" t="s">
        <v>187</v>
      </c>
      <c r="U50" s="10">
        <v>6</v>
      </c>
      <c r="V50" s="13">
        <v>0.79999999999999993</v>
      </c>
      <c r="W50" s="11" t="s">
        <v>24</v>
      </c>
      <c r="X50" s="14">
        <v>8</v>
      </c>
      <c r="Y50" s="15">
        <v>0.21249999999999999</v>
      </c>
    </row>
    <row r="51" spans="20:25" x14ac:dyDescent="0.4">
      <c r="T51" s="11" t="s">
        <v>189</v>
      </c>
      <c r="U51" s="10">
        <v>3</v>
      </c>
      <c r="V51" s="13">
        <v>0.6333333333333333</v>
      </c>
      <c r="W51" s="11" t="s">
        <v>129</v>
      </c>
      <c r="X51" s="10">
        <v>14</v>
      </c>
      <c r="Y51" s="13">
        <v>0.05</v>
      </c>
    </row>
    <row r="52" spans="20:25" x14ac:dyDescent="0.4">
      <c r="T52" s="11" t="s">
        <v>190</v>
      </c>
      <c r="U52" s="10">
        <v>3</v>
      </c>
      <c r="V52" s="13">
        <v>0.6333333333333333</v>
      </c>
      <c r="W52" s="11" t="s">
        <v>12</v>
      </c>
      <c r="X52" s="10">
        <v>9</v>
      </c>
      <c r="Y52" s="13">
        <f>5/9*20%+4/9*22.5%</f>
        <v>0.21111111111111111</v>
      </c>
    </row>
    <row r="53" spans="20:25" x14ac:dyDescent="0.4">
      <c r="T53" s="11" t="s">
        <v>191</v>
      </c>
      <c r="U53" s="10">
        <v>3</v>
      </c>
      <c r="V53" s="13">
        <v>0.73333333333333339</v>
      </c>
      <c r="W53" s="11" t="s">
        <v>34</v>
      </c>
      <c r="X53" s="10">
        <v>4</v>
      </c>
      <c r="Y53" s="13">
        <v>0.2</v>
      </c>
    </row>
    <row r="54" spans="20:25" x14ac:dyDescent="0.4">
      <c r="T54" s="11" t="s">
        <v>192</v>
      </c>
      <c r="U54" s="10">
        <v>3</v>
      </c>
      <c r="V54" s="13">
        <v>0.79999999999999993</v>
      </c>
      <c r="W54" s="11" t="s">
        <v>166</v>
      </c>
      <c r="X54" s="10">
        <v>4</v>
      </c>
      <c r="Y54" s="13">
        <v>6.25E-2</v>
      </c>
    </row>
    <row r="55" spans="20:25" x14ac:dyDescent="0.4">
      <c r="T55" s="11" t="s">
        <v>193</v>
      </c>
      <c r="U55" s="10">
        <v>2</v>
      </c>
      <c r="V55" s="13">
        <v>0.95</v>
      </c>
      <c r="W55" s="11" t="s">
        <v>35</v>
      </c>
      <c r="X55" s="10">
        <v>4</v>
      </c>
      <c r="Y55" s="13">
        <v>0.3</v>
      </c>
    </row>
    <row r="56" spans="20:25" x14ac:dyDescent="0.4">
      <c r="T56" s="11" t="s">
        <v>194</v>
      </c>
      <c r="U56" s="10">
        <v>2</v>
      </c>
      <c r="V56" s="13">
        <v>0.82499999999999996</v>
      </c>
      <c r="W56" s="11" t="s">
        <v>128</v>
      </c>
      <c r="X56" s="10">
        <v>3</v>
      </c>
      <c r="Y56" s="13">
        <v>5.000000000000001E-2</v>
      </c>
    </row>
    <row r="57" spans="20:25" x14ac:dyDescent="0.4">
      <c r="T57" s="11" t="s">
        <v>195</v>
      </c>
      <c r="U57" s="10">
        <v>2</v>
      </c>
      <c r="V57" s="13">
        <v>0.95</v>
      </c>
      <c r="W57" s="11" t="s">
        <v>201</v>
      </c>
      <c r="X57" s="10">
        <v>2</v>
      </c>
      <c r="Y57" s="13">
        <v>0.2</v>
      </c>
    </row>
    <row r="58" spans="20:25" ht="14.25" thickBot="1" x14ac:dyDescent="0.45">
      <c r="T58" s="9" t="s">
        <v>206</v>
      </c>
      <c r="U58" s="9" t="s">
        <v>1</v>
      </c>
      <c r="V58" s="12" t="s">
        <v>2</v>
      </c>
      <c r="W58" s="9" t="s">
        <v>207</v>
      </c>
      <c r="X58" s="9" t="s">
        <v>1</v>
      </c>
      <c r="Y58" s="12" t="s">
        <v>4</v>
      </c>
    </row>
    <row r="59" spans="20:25" x14ac:dyDescent="0.4">
      <c r="T59" s="11" t="s">
        <v>5</v>
      </c>
      <c r="U59" s="10">
        <f>8+29</f>
        <v>37</v>
      </c>
      <c r="V59" s="13">
        <f>29/37*62.0689655172414%+8/37*69.38%</f>
        <v>0.63649729729729754</v>
      </c>
      <c r="W59" s="11" t="s">
        <v>6</v>
      </c>
      <c r="X59" s="10">
        <v>11</v>
      </c>
      <c r="Y59" s="13">
        <v>0.3227272727272727</v>
      </c>
    </row>
    <row r="60" spans="20:25" x14ac:dyDescent="0.4">
      <c r="T60" s="11" t="s">
        <v>208</v>
      </c>
      <c r="U60" s="10">
        <v>21</v>
      </c>
      <c r="V60" s="13">
        <v>0.72380952380952357</v>
      </c>
      <c r="W60" s="11" t="s">
        <v>8</v>
      </c>
      <c r="X60" s="10">
        <v>10</v>
      </c>
      <c r="Y60" s="13">
        <v>0.32500000000000012</v>
      </c>
    </row>
    <row r="61" spans="20:25" x14ac:dyDescent="0.4">
      <c r="T61" s="11" t="s">
        <v>7</v>
      </c>
      <c r="U61" s="10">
        <v>8</v>
      </c>
      <c r="V61" s="13">
        <v>0.70625000000000004</v>
      </c>
      <c r="W61" s="11" t="s">
        <v>10</v>
      </c>
      <c r="X61" s="10">
        <v>7</v>
      </c>
      <c r="Y61" s="13">
        <v>0.26428571428571429</v>
      </c>
    </row>
    <row r="62" spans="20:25" x14ac:dyDescent="0.4">
      <c r="T62" s="11" t="s">
        <v>14</v>
      </c>
      <c r="U62" s="10">
        <v>6</v>
      </c>
      <c r="V62" s="13">
        <v>0.83333333333333348</v>
      </c>
      <c r="W62" s="11" t="s">
        <v>129</v>
      </c>
      <c r="X62" s="10">
        <v>11</v>
      </c>
      <c r="Y62" s="13">
        <v>0.05</v>
      </c>
    </row>
    <row r="63" spans="20:25" x14ac:dyDescent="0.4">
      <c r="T63" s="11" t="s">
        <v>20</v>
      </c>
      <c r="U63" s="10">
        <v>5</v>
      </c>
      <c r="V63" s="13">
        <v>0.74</v>
      </c>
      <c r="W63" s="11" t="s">
        <v>29</v>
      </c>
      <c r="X63" s="10">
        <v>5</v>
      </c>
      <c r="Y63" s="13">
        <v>0.32</v>
      </c>
    </row>
    <row r="64" spans="20:25" x14ac:dyDescent="0.4">
      <c r="T64" s="11" t="s">
        <v>21</v>
      </c>
      <c r="U64" s="10">
        <v>4</v>
      </c>
      <c r="V64" s="13">
        <v>0.75</v>
      </c>
      <c r="W64" s="11" t="s">
        <v>221</v>
      </c>
      <c r="X64" s="10">
        <v>5</v>
      </c>
      <c r="Y64" s="13">
        <v>0.13</v>
      </c>
    </row>
    <row r="65" spans="20:25" x14ac:dyDescent="0.4">
      <c r="T65" s="11" t="s">
        <v>209</v>
      </c>
      <c r="U65" s="10">
        <v>3</v>
      </c>
      <c r="V65" s="13">
        <v>0.6333333333333333</v>
      </c>
      <c r="W65" s="11" t="s">
        <v>222</v>
      </c>
      <c r="X65" s="10">
        <v>4</v>
      </c>
      <c r="Y65" s="13">
        <v>0.05</v>
      </c>
    </row>
    <row r="66" spans="20:25" x14ac:dyDescent="0.4">
      <c r="T66" s="11" t="s">
        <v>210</v>
      </c>
      <c r="U66" s="10">
        <v>3</v>
      </c>
      <c r="V66" s="13">
        <v>0.94999999999999984</v>
      </c>
      <c r="W66" s="11" t="s">
        <v>223</v>
      </c>
      <c r="X66" s="10">
        <v>4</v>
      </c>
      <c r="Y66" s="13">
        <v>0.45</v>
      </c>
    </row>
    <row r="67" spans="20:25" x14ac:dyDescent="0.4">
      <c r="T67" s="11" t="s">
        <v>211</v>
      </c>
      <c r="U67" s="10">
        <v>3</v>
      </c>
      <c r="V67" s="13">
        <v>0.6333333333333333</v>
      </c>
      <c r="W67" s="11" t="s">
        <v>127</v>
      </c>
      <c r="X67" s="10">
        <v>4</v>
      </c>
      <c r="Y67" s="13">
        <v>6.25E-2</v>
      </c>
    </row>
    <row r="68" spans="20:25" x14ac:dyDescent="0.4">
      <c r="T68" s="11" t="s">
        <v>212</v>
      </c>
      <c r="U68" s="10">
        <v>2</v>
      </c>
      <c r="V68" s="13">
        <v>0.47499999999999998</v>
      </c>
      <c r="W68" s="11" t="s">
        <v>14</v>
      </c>
      <c r="X68" s="10">
        <v>3</v>
      </c>
      <c r="Y68" s="13">
        <v>0.26666666666666672</v>
      </c>
    </row>
  </sheetData>
  <autoFilter ref="W12:Y23" xr:uid="{BEB0C825-77DA-4155-9821-F8F6D4BDC19B}"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EC6B-503D-4B56-9B2F-E61F46D46DB4}">
  <dimension ref="A1:F78"/>
  <sheetViews>
    <sheetView workbookViewId="0">
      <selection activeCell="F7" sqref="F7"/>
    </sheetView>
  </sheetViews>
  <sheetFormatPr defaultRowHeight="13.9" x14ac:dyDescent="0.4"/>
  <cols>
    <col min="1" max="1" width="22.1328125" bestFit="1" customWidth="1"/>
    <col min="4" max="4" width="23.6640625" bestFit="1" customWidth="1"/>
  </cols>
  <sheetData>
    <row r="1" spans="1:6" ht="14.25" thickBot="1" x14ac:dyDescent="0.45">
      <c r="A1" s="9" t="s">
        <v>125</v>
      </c>
      <c r="B1" s="9" t="s">
        <v>1</v>
      </c>
      <c r="C1" s="12" t="s">
        <v>2</v>
      </c>
      <c r="D1" s="9" t="s">
        <v>130</v>
      </c>
      <c r="E1" s="9" t="s">
        <v>1</v>
      </c>
      <c r="F1" s="12" t="s">
        <v>4</v>
      </c>
    </row>
    <row r="2" spans="1:6" x14ac:dyDescent="0.4">
      <c r="A2" s="11" t="s">
        <v>5</v>
      </c>
      <c r="B2" s="10">
        <f>214+26</f>
        <v>240</v>
      </c>
      <c r="C2" s="13">
        <f>213/240*62.0560747663551%+26/240*72.5%</f>
        <v>0.62928933021806821</v>
      </c>
      <c r="D2" s="11" t="s">
        <v>10</v>
      </c>
      <c r="E2" s="10">
        <f>17+45</f>
        <v>62</v>
      </c>
      <c r="F2" s="13">
        <f>45/62*32.8888888888889%+17/62*31.47%</f>
        <v>0.32499838709677425</v>
      </c>
    </row>
    <row r="3" spans="1:6" x14ac:dyDescent="0.4">
      <c r="A3" s="11" t="s">
        <v>7</v>
      </c>
      <c r="B3" s="10">
        <v>38</v>
      </c>
      <c r="C3" s="13">
        <v>0.64605263157894743</v>
      </c>
      <c r="D3" s="11" t="s">
        <v>8</v>
      </c>
      <c r="E3" s="10">
        <v>44</v>
      </c>
      <c r="F3" s="13">
        <v>0.3329545454545455</v>
      </c>
    </row>
    <row r="4" spans="1:6" x14ac:dyDescent="0.4">
      <c r="A4" s="11" t="s">
        <v>17</v>
      </c>
      <c r="B4" s="10">
        <v>26</v>
      </c>
      <c r="C4" s="13">
        <f>22/26*69.3181818181818%+4/26*68.75%</f>
        <v>0.69230769230769207</v>
      </c>
      <c r="D4" s="11" t="s">
        <v>6</v>
      </c>
      <c r="E4" s="10">
        <f>11+32</f>
        <v>43</v>
      </c>
      <c r="F4" s="13">
        <f>32/43*29.6875%+11/43*27.73%</f>
        <v>0.29186744186046509</v>
      </c>
    </row>
    <row r="5" spans="1:6" x14ac:dyDescent="0.4">
      <c r="A5" s="11" t="s">
        <v>113</v>
      </c>
      <c r="B5" s="10">
        <f>4+15</f>
        <v>19</v>
      </c>
      <c r="C5" s="13">
        <f>15/19*87.6666666666667%+4/19*57%</f>
        <v>0.812105263157895</v>
      </c>
      <c r="D5" s="11" t="s">
        <v>12</v>
      </c>
      <c r="E5" s="10">
        <v>31</v>
      </c>
      <c r="F5" s="13">
        <v>0.3032258064516129</v>
      </c>
    </row>
    <row r="6" spans="1:6" x14ac:dyDescent="0.4">
      <c r="A6" s="11" t="s">
        <v>114</v>
      </c>
      <c r="B6" s="10">
        <v>8</v>
      </c>
      <c r="C6" s="13">
        <v>0.6</v>
      </c>
      <c r="D6" s="11" t="s">
        <v>28</v>
      </c>
      <c r="E6" s="10">
        <v>21</v>
      </c>
      <c r="F6" s="13">
        <v>5.000000000000001E-2</v>
      </c>
    </row>
    <row r="7" spans="1:6" x14ac:dyDescent="0.4">
      <c r="A7" s="11" t="s">
        <v>115</v>
      </c>
      <c r="B7" s="10">
        <v>6</v>
      </c>
      <c r="C7" s="13">
        <v>0.66666666666666663</v>
      </c>
      <c r="D7" s="11" t="s">
        <v>14</v>
      </c>
      <c r="E7" s="10">
        <v>20</v>
      </c>
      <c r="F7" s="13">
        <v>0.375</v>
      </c>
    </row>
    <row r="8" spans="1:6" x14ac:dyDescent="0.4">
      <c r="A8" s="11" t="s">
        <v>21</v>
      </c>
      <c r="B8" s="10">
        <v>4</v>
      </c>
      <c r="C8" s="13">
        <v>0.72499999999999987</v>
      </c>
      <c r="D8" s="11" t="s">
        <v>29</v>
      </c>
      <c r="E8" s="10">
        <v>17</v>
      </c>
      <c r="F8" s="13">
        <v>0.33823529411764708</v>
      </c>
    </row>
    <row r="9" spans="1:6" x14ac:dyDescent="0.4">
      <c r="A9" s="11" t="s">
        <v>118</v>
      </c>
      <c r="B9" s="10">
        <v>4</v>
      </c>
      <c r="C9" s="13">
        <v>0.92499999999999993</v>
      </c>
      <c r="D9" s="11" t="s">
        <v>33</v>
      </c>
      <c r="E9" s="10">
        <v>16</v>
      </c>
      <c r="F9" s="13">
        <v>0.26874999999999999</v>
      </c>
    </row>
    <row r="10" spans="1:6" x14ac:dyDescent="0.4">
      <c r="A10" s="11" t="s">
        <v>11</v>
      </c>
      <c r="B10" s="10">
        <v>3</v>
      </c>
      <c r="C10" s="13">
        <v>0.73333333333333339</v>
      </c>
      <c r="D10" s="11" t="s">
        <v>16</v>
      </c>
      <c r="E10" s="10">
        <v>15</v>
      </c>
      <c r="F10" s="13">
        <v>0.32333333333333342</v>
      </c>
    </row>
    <row r="11" spans="1:6" x14ac:dyDescent="0.4">
      <c r="A11" s="11" t="s">
        <v>120</v>
      </c>
      <c r="B11" s="10">
        <v>3</v>
      </c>
      <c r="C11" s="13">
        <v>0.80000000000000016</v>
      </c>
      <c r="D11" s="11" t="s">
        <v>34</v>
      </c>
      <c r="E11" s="10">
        <v>10</v>
      </c>
      <c r="F11" s="13">
        <v>0.32</v>
      </c>
    </row>
    <row r="12" spans="1:6" ht="14.25" thickBot="1" x14ac:dyDescent="0.45">
      <c r="A12" s="9" t="s">
        <v>145</v>
      </c>
      <c r="B12" s="9" t="s">
        <v>1</v>
      </c>
      <c r="C12" s="12" t="s">
        <v>2</v>
      </c>
      <c r="D12" s="9" t="s">
        <v>133</v>
      </c>
      <c r="E12" s="9" t="s">
        <v>1</v>
      </c>
      <c r="F12" s="12" t="s">
        <v>4</v>
      </c>
    </row>
    <row r="13" spans="1:6" x14ac:dyDescent="0.4">
      <c r="A13" s="11" t="s">
        <v>5</v>
      </c>
      <c r="B13" s="10">
        <f>18+139</f>
        <v>157</v>
      </c>
      <c r="C13" s="13">
        <f>(157-18)/157*62.5899280575539%+18/157*70.28%</f>
        <v>0.63471592356687856</v>
      </c>
      <c r="D13" s="11" t="s">
        <v>6</v>
      </c>
      <c r="E13" s="10">
        <f>8+50</f>
        <v>58</v>
      </c>
      <c r="F13" s="13">
        <f>50/58*33.5%+8/58*24.38%</f>
        <v>0.3224206896551724</v>
      </c>
    </row>
    <row r="14" spans="1:6" x14ac:dyDescent="0.4">
      <c r="A14" s="11" t="s">
        <v>7</v>
      </c>
      <c r="B14" s="10">
        <v>37</v>
      </c>
      <c r="C14" s="13">
        <v>0.68648648648648669</v>
      </c>
      <c r="D14" s="11" t="s">
        <v>10</v>
      </c>
      <c r="E14" s="10">
        <f>18+40</f>
        <v>58</v>
      </c>
      <c r="F14" s="13">
        <f>40/58*32.75%+18/58*28.33%</f>
        <v>0.31378275862068972</v>
      </c>
    </row>
    <row r="15" spans="1:6" x14ac:dyDescent="0.4">
      <c r="A15" s="11" t="s">
        <v>13</v>
      </c>
      <c r="B15" s="10">
        <v>23</v>
      </c>
      <c r="C15" s="13">
        <v>0.62608695652173918</v>
      </c>
      <c r="D15" s="11" t="s">
        <v>12</v>
      </c>
      <c r="E15" s="10">
        <v>31</v>
      </c>
      <c r="F15" s="13">
        <v>0.36451612903225822</v>
      </c>
    </row>
    <row r="16" spans="1:6" x14ac:dyDescent="0.4">
      <c r="A16" s="11" t="s">
        <v>11</v>
      </c>
      <c r="B16" s="10">
        <v>10</v>
      </c>
      <c r="C16" s="13">
        <v>0.745</v>
      </c>
      <c r="D16" s="11" t="s">
        <v>16</v>
      </c>
      <c r="E16" s="10">
        <v>23</v>
      </c>
      <c r="F16" s="13">
        <v>0.29565217391304349</v>
      </c>
    </row>
    <row r="17" spans="1:6" x14ac:dyDescent="0.4">
      <c r="A17" s="11" t="s">
        <v>134</v>
      </c>
      <c r="B17" s="10">
        <v>10</v>
      </c>
      <c r="C17" s="13">
        <v>0.58000000000000007</v>
      </c>
      <c r="D17" s="11" t="s">
        <v>8</v>
      </c>
      <c r="E17" s="10">
        <v>18</v>
      </c>
      <c r="F17" s="13">
        <v>0.33333333333333331</v>
      </c>
    </row>
    <row r="18" spans="1:6" x14ac:dyDescent="0.4">
      <c r="A18" s="11" t="s">
        <v>27</v>
      </c>
      <c r="B18" s="10">
        <v>7</v>
      </c>
      <c r="C18" s="13">
        <v>0.61428571428571421</v>
      </c>
      <c r="D18" s="11" t="s">
        <v>24</v>
      </c>
      <c r="E18" s="10">
        <f>11+14</f>
        <v>25</v>
      </c>
      <c r="F18" s="13">
        <f>14/25*39.2857142857143%+11/25*29.55%</f>
        <v>0.35002000000000011</v>
      </c>
    </row>
    <row r="19" spans="1:6" x14ac:dyDescent="0.4">
      <c r="A19" s="11" t="s">
        <v>135</v>
      </c>
      <c r="B19" s="10">
        <v>5</v>
      </c>
      <c r="C19" s="13">
        <v>0.5</v>
      </c>
      <c r="D19" s="11" t="s">
        <v>28</v>
      </c>
      <c r="E19" s="10">
        <f>7+14</f>
        <v>21</v>
      </c>
      <c r="F19" s="13">
        <f>14/21*6.42857142857143%+7/21*5%</f>
        <v>5.9523809523809521E-2</v>
      </c>
    </row>
    <row r="20" spans="1:6" x14ac:dyDescent="0.4">
      <c r="A20" s="11" t="s">
        <v>136</v>
      </c>
      <c r="B20" s="10">
        <v>5</v>
      </c>
      <c r="C20" s="13">
        <v>0.75</v>
      </c>
      <c r="D20" s="11" t="s">
        <v>29</v>
      </c>
      <c r="E20" s="10">
        <v>10</v>
      </c>
      <c r="F20" s="13">
        <v>0.33</v>
      </c>
    </row>
    <row r="21" spans="1:6" x14ac:dyDescent="0.4">
      <c r="A21" s="11" t="s">
        <v>137</v>
      </c>
      <c r="B21" s="10">
        <v>4</v>
      </c>
      <c r="C21" s="13">
        <v>0.875</v>
      </c>
      <c r="D21" s="11" t="s">
        <v>26</v>
      </c>
      <c r="E21" s="10">
        <v>10</v>
      </c>
      <c r="F21" s="13">
        <v>0.30999999999999989</v>
      </c>
    </row>
    <row r="22" spans="1:6" x14ac:dyDescent="0.4">
      <c r="A22" s="11" t="s">
        <v>138</v>
      </c>
      <c r="B22" s="10">
        <v>4</v>
      </c>
      <c r="C22" s="13">
        <v>0.75</v>
      </c>
      <c r="D22" s="11" t="s">
        <v>34</v>
      </c>
      <c r="E22" s="10">
        <v>9</v>
      </c>
      <c r="F22" s="13">
        <v>0.26111111111111113</v>
      </c>
    </row>
    <row r="23" spans="1:6" x14ac:dyDescent="0.4">
      <c r="A23" s="11" t="s">
        <v>19</v>
      </c>
      <c r="B23" s="10">
        <v>4</v>
      </c>
      <c r="C23" s="13">
        <v>0.72499999999999998</v>
      </c>
      <c r="D23" s="11" t="s">
        <v>33</v>
      </c>
      <c r="E23" s="10">
        <v>7</v>
      </c>
      <c r="F23" s="13">
        <v>0.27857142857142858</v>
      </c>
    </row>
    <row r="24" spans="1:6" ht="14.25" thickBot="1" x14ac:dyDescent="0.45">
      <c r="A24" s="9" t="s">
        <v>160</v>
      </c>
      <c r="B24" s="9" t="s">
        <v>1</v>
      </c>
      <c r="C24" s="12" t="s">
        <v>2</v>
      </c>
      <c r="D24" s="9" t="s">
        <v>167</v>
      </c>
      <c r="E24" s="9" t="s">
        <v>1</v>
      </c>
      <c r="F24" s="12" t="s">
        <v>4</v>
      </c>
    </row>
    <row r="25" spans="1:6" x14ac:dyDescent="0.4">
      <c r="A25" s="11" t="s">
        <v>5</v>
      </c>
      <c r="B25" s="10">
        <v>63</v>
      </c>
      <c r="C25" s="13">
        <v>1.701587301587302</v>
      </c>
      <c r="D25" s="11" t="s">
        <v>6</v>
      </c>
      <c r="E25" s="10">
        <f>3+26</f>
        <v>29</v>
      </c>
      <c r="F25" s="13">
        <f>26/29*25.7692307692308%+3/29*25%</f>
        <v>0.25689655172413822</v>
      </c>
    </row>
    <row r="26" spans="1:6" x14ac:dyDescent="0.4">
      <c r="A26" s="11" t="s">
        <v>30</v>
      </c>
      <c r="B26" s="10">
        <v>40</v>
      </c>
      <c r="C26" s="13">
        <v>0.71249999999999969</v>
      </c>
      <c r="D26" s="11" t="s">
        <v>28</v>
      </c>
      <c r="E26" s="10">
        <f>3+21</f>
        <v>24</v>
      </c>
      <c r="F26" s="13">
        <f>21/24*5.23809523809524%+3/24*10%</f>
        <v>5.8333333333333348E-2</v>
      </c>
    </row>
    <row r="27" spans="1:6" x14ac:dyDescent="0.4">
      <c r="A27" s="11" t="s">
        <v>146</v>
      </c>
      <c r="B27" s="10">
        <v>12</v>
      </c>
      <c r="C27" s="13">
        <v>0.66249999999999998</v>
      </c>
      <c r="D27" s="11" t="s">
        <v>10</v>
      </c>
      <c r="E27" s="10">
        <v>14</v>
      </c>
      <c r="F27" s="13">
        <v>0.31428571428571428</v>
      </c>
    </row>
    <row r="28" spans="1:6" x14ac:dyDescent="0.4">
      <c r="A28" s="11" t="s">
        <v>7</v>
      </c>
      <c r="B28" s="10">
        <v>10</v>
      </c>
      <c r="C28" s="13">
        <v>0.77</v>
      </c>
      <c r="D28" s="11" t="s">
        <v>129</v>
      </c>
      <c r="E28" s="10">
        <f>6+11</f>
        <v>17</v>
      </c>
      <c r="F28" s="13">
        <f>11/17*5%+6/17*6.67%</f>
        <v>5.589411764705883E-2</v>
      </c>
    </row>
    <row r="29" spans="1:6" x14ac:dyDescent="0.4">
      <c r="A29" s="11" t="s">
        <v>147</v>
      </c>
      <c r="B29" s="10">
        <v>6</v>
      </c>
      <c r="C29" s="13">
        <v>0.79166666666666663</v>
      </c>
      <c r="D29" s="11" t="s">
        <v>8</v>
      </c>
      <c r="E29" s="10">
        <v>10</v>
      </c>
      <c r="F29" s="13">
        <v>0.34</v>
      </c>
    </row>
    <row r="30" spans="1:6" x14ac:dyDescent="0.4">
      <c r="A30" s="11" t="s">
        <v>13</v>
      </c>
      <c r="B30" s="10">
        <v>5</v>
      </c>
      <c r="C30" s="13">
        <v>0.76</v>
      </c>
      <c r="D30" s="11" t="s">
        <v>12</v>
      </c>
      <c r="E30" s="10">
        <v>8</v>
      </c>
      <c r="F30" s="13">
        <v>0.26250000000000001</v>
      </c>
    </row>
    <row r="31" spans="1:6" x14ac:dyDescent="0.4">
      <c r="A31" s="11" t="s">
        <v>148</v>
      </c>
      <c r="B31" s="10">
        <v>5</v>
      </c>
      <c r="C31" s="13">
        <v>0.82000000000000006</v>
      </c>
      <c r="D31" s="11" t="s">
        <v>29</v>
      </c>
      <c r="E31" s="10">
        <v>8</v>
      </c>
      <c r="F31" s="13">
        <v>0.28749999999999998</v>
      </c>
    </row>
    <row r="32" spans="1:6" x14ac:dyDescent="0.4">
      <c r="A32" s="11" t="s">
        <v>149</v>
      </c>
      <c r="B32" s="10">
        <v>5</v>
      </c>
      <c r="C32" s="13">
        <v>0.74</v>
      </c>
      <c r="D32" s="11" t="s">
        <v>161</v>
      </c>
      <c r="E32" s="10">
        <v>7</v>
      </c>
      <c r="F32" s="13">
        <v>0.27142857142857141</v>
      </c>
    </row>
    <row r="33" spans="1:6" x14ac:dyDescent="0.4">
      <c r="A33" s="11" t="s">
        <v>150</v>
      </c>
      <c r="B33" s="10">
        <v>4</v>
      </c>
      <c r="C33" s="13">
        <v>0.52500000000000002</v>
      </c>
      <c r="D33" s="11" t="s">
        <v>25</v>
      </c>
      <c r="E33" s="10">
        <v>5</v>
      </c>
      <c r="F33" s="13">
        <v>0.2</v>
      </c>
    </row>
    <row r="34" spans="1:6" x14ac:dyDescent="0.4">
      <c r="A34" s="11" t="s">
        <v>151</v>
      </c>
      <c r="B34" s="10">
        <v>3</v>
      </c>
      <c r="C34" s="13">
        <v>0.80000000000000016</v>
      </c>
      <c r="D34" s="11" t="s">
        <v>34</v>
      </c>
      <c r="E34" s="10">
        <v>5</v>
      </c>
      <c r="F34" s="13">
        <v>0.26</v>
      </c>
    </row>
    <row r="35" spans="1:6" ht="14.25" thickBot="1" x14ac:dyDescent="0.45">
      <c r="A35" s="9" t="s">
        <v>168</v>
      </c>
      <c r="B35" s="9" t="s">
        <v>1</v>
      </c>
      <c r="C35" s="12" t="s">
        <v>2</v>
      </c>
      <c r="D35" s="9" t="s">
        <v>169</v>
      </c>
      <c r="E35" s="9" t="s">
        <v>1</v>
      </c>
      <c r="F35" s="12" t="s">
        <v>4</v>
      </c>
    </row>
    <row r="36" spans="1:6" x14ac:dyDescent="0.4">
      <c r="A36" s="11" t="s">
        <v>5</v>
      </c>
      <c r="B36" s="10">
        <f>14+54</f>
        <v>68</v>
      </c>
      <c r="C36" s="13">
        <f>54/68*62.7777777777778%+14/68*69.64%</f>
        <v>0.64190588235294133</v>
      </c>
      <c r="D36" s="11" t="s">
        <v>10</v>
      </c>
      <c r="E36" s="10">
        <f>6+26</f>
        <v>32</v>
      </c>
      <c r="F36" s="13">
        <f>26/32*31.1538461538462%+6/32*36.67%</f>
        <v>0.3218812500000004</v>
      </c>
    </row>
    <row r="37" spans="1:6" x14ac:dyDescent="0.4">
      <c r="A37" s="11" t="s">
        <v>7</v>
      </c>
      <c r="B37" s="10">
        <v>11</v>
      </c>
      <c r="C37" s="13">
        <v>0.69545454545454544</v>
      </c>
      <c r="D37" s="11" t="s">
        <v>6</v>
      </c>
      <c r="E37" s="10">
        <f>7+20</f>
        <v>27</v>
      </c>
      <c r="F37" s="13">
        <f>20/27*30.5%+7/27*23.57%</f>
        <v>0.28703333333333331</v>
      </c>
    </row>
    <row r="38" spans="1:6" x14ac:dyDescent="0.4">
      <c r="A38" s="11" t="s">
        <v>13</v>
      </c>
      <c r="B38" s="10">
        <v>10</v>
      </c>
      <c r="C38" s="13">
        <v>0.64</v>
      </c>
      <c r="D38" s="11" t="s">
        <v>12</v>
      </c>
      <c r="E38" s="10">
        <f>9+12</f>
        <v>21</v>
      </c>
      <c r="F38" s="13">
        <f>12/21*37.0833333333333%+9/12*26.67%</f>
        <v>0.41192976190476172</v>
      </c>
    </row>
    <row r="39" spans="1:6" x14ac:dyDescent="0.4">
      <c r="A39" s="11" t="s">
        <v>27</v>
      </c>
      <c r="B39" s="10">
        <v>5</v>
      </c>
      <c r="C39" s="13">
        <v>0.67</v>
      </c>
      <c r="D39" s="11" t="s">
        <v>131</v>
      </c>
      <c r="E39" s="10">
        <v>12</v>
      </c>
      <c r="F39" s="13">
        <f>0.5*6.66666666666667%+0.5*5%</f>
        <v>5.8333333333333348E-2</v>
      </c>
    </row>
    <row r="40" spans="1:6" x14ac:dyDescent="0.4">
      <c r="A40" s="11" t="s">
        <v>170</v>
      </c>
      <c r="B40" s="10">
        <v>5</v>
      </c>
      <c r="C40" s="13">
        <v>0.76</v>
      </c>
      <c r="D40" s="11" t="s">
        <v>8</v>
      </c>
      <c r="E40" s="10">
        <v>5</v>
      </c>
      <c r="F40" s="13">
        <v>0.26</v>
      </c>
    </row>
    <row r="41" spans="1:6" x14ac:dyDescent="0.4">
      <c r="A41" s="11" t="s">
        <v>171</v>
      </c>
      <c r="B41" s="10">
        <v>5</v>
      </c>
      <c r="C41" s="13">
        <v>0.38</v>
      </c>
      <c r="D41" s="11" t="s">
        <v>20</v>
      </c>
      <c r="E41" s="10">
        <v>5</v>
      </c>
      <c r="F41" s="13">
        <v>0.41999999999999987</v>
      </c>
    </row>
    <row r="42" spans="1:6" x14ac:dyDescent="0.4">
      <c r="A42" s="11" t="s">
        <v>150</v>
      </c>
      <c r="B42" s="10">
        <v>4</v>
      </c>
      <c r="C42" s="13">
        <v>0.6875</v>
      </c>
      <c r="D42" s="11" t="s">
        <v>36</v>
      </c>
      <c r="E42" s="10">
        <v>5</v>
      </c>
      <c r="F42" s="13">
        <v>0.32</v>
      </c>
    </row>
    <row r="43" spans="1:6" x14ac:dyDescent="0.4">
      <c r="A43" s="11" t="s">
        <v>172</v>
      </c>
      <c r="B43" s="10">
        <v>4</v>
      </c>
      <c r="C43" s="13">
        <v>0.86250000000000004</v>
      </c>
      <c r="D43" s="11" t="s">
        <v>34</v>
      </c>
      <c r="E43" s="10">
        <v>4</v>
      </c>
      <c r="F43" s="13">
        <v>0.25</v>
      </c>
    </row>
    <row r="44" spans="1:6" x14ac:dyDescent="0.4">
      <c r="A44" s="11" t="s">
        <v>173</v>
      </c>
      <c r="B44" s="10">
        <v>3</v>
      </c>
      <c r="C44" s="13">
        <v>0.6333333333333333</v>
      </c>
      <c r="D44" s="11" t="s">
        <v>180</v>
      </c>
      <c r="E44" s="10">
        <v>4</v>
      </c>
      <c r="F44" s="13">
        <v>0.1</v>
      </c>
    </row>
    <row r="45" spans="1:6" x14ac:dyDescent="0.4">
      <c r="A45" s="11" t="s">
        <v>174</v>
      </c>
      <c r="B45" s="10">
        <v>3</v>
      </c>
      <c r="C45" s="13">
        <v>0.68333333333333324</v>
      </c>
      <c r="D45" s="11" t="s">
        <v>181</v>
      </c>
      <c r="E45" s="10">
        <v>3</v>
      </c>
      <c r="F45" s="13">
        <v>0.46666666666666662</v>
      </c>
    </row>
    <row r="46" spans="1:6" ht="14.25" thickBot="1" x14ac:dyDescent="0.45">
      <c r="A46" s="9" t="s">
        <v>184</v>
      </c>
      <c r="B46" s="9" t="s">
        <v>1</v>
      </c>
      <c r="C46" s="12" t="s">
        <v>2</v>
      </c>
      <c r="D46" s="9" t="s">
        <v>185</v>
      </c>
      <c r="E46" s="9" t="s">
        <v>1</v>
      </c>
      <c r="F46" s="12" t="s">
        <v>4</v>
      </c>
    </row>
    <row r="47" spans="1:6" x14ac:dyDescent="0.4">
      <c r="A47" s="11" t="s">
        <v>15</v>
      </c>
      <c r="B47" s="10">
        <v>36</v>
      </c>
      <c r="C47" s="13">
        <v>0.6875</v>
      </c>
      <c r="D47" s="11" t="s">
        <v>6</v>
      </c>
      <c r="E47" s="10">
        <v>15</v>
      </c>
      <c r="F47" s="13">
        <v>0.38</v>
      </c>
    </row>
    <row r="48" spans="1:6" x14ac:dyDescent="0.4">
      <c r="A48" s="11" t="s">
        <v>5</v>
      </c>
      <c r="B48" s="10">
        <v>34</v>
      </c>
      <c r="C48" s="13">
        <f>32/34*66.5625%+2/34*72.5%</f>
        <v>0.66911764705882348</v>
      </c>
      <c r="D48" s="11" t="s">
        <v>8</v>
      </c>
      <c r="E48" s="10">
        <v>14</v>
      </c>
      <c r="F48" s="13">
        <v>3.1428571428571428</v>
      </c>
    </row>
    <row r="49" spans="1:6" x14ac:dyDescent="0.4">
      <c r="A49" s="11" t="s">
        <v>186</v>
      </c>
      <c r="B49" s="10">
        <v>10</v>
      </c>
      <c r="C49" s="13">
        <f>6/10*90%+4/10*57.5%</f>
        <v>0.77</v>
      </c>
      <c r="D49" s="11" t="s">
        <v>10</v>
      </c>
      <c r="E49" s="10">
        <v>12</v>
      </c>
      <c r="F49" s="13">
        <v>0.3</v>
      </c>
    </row>
    <row r="50" spans="1:6" x14ac:dyDescent="0.4">
      <c r="A50" s="11" t="s">
        <v>187</v>
      </c>
      <c r="B50" s="10">
        <v>6</v>
      </c>
      <c r="C50" s="13">
        <v>0.79999999999999993</v>
      </c>
      <c r="D50" s="11" t="s">
        <v>24</v>
      </c>
      <c r="E50" s="10">
        <v>8</v>
      </c>
      <c r="F50" s="13">
        <v>0.21249999999999999</v>
      </c>
    </row>
    <row r="51" spans="1:6" x14ac:dyDescent="0.4">
      <c r="A51" s="11" t="s">
        <v>189</v>
      </c>
      <c r="B51" s="10">
        <v>3</v>
      </c>
      <c r="C51" s="13">
        <v>0.6333333333333333</v>
      </c>
      <c r="D51" s="11" t="s">
        <v>129</v>
      </c>
      <c r="E51" s="10">
        <v>14</v>
      </c>
      <c r="F51" s="13">
        <v>0.05</v>
      </c>
    </row>
    <row r="52" spans="1:6" x14ac:dyDescent="0.4">
      <c r="A52" s="11" t="s">
        <v>190</v>
      </c>
      <c r="B52" s="10">
        <v>3</v>
      </c>
      <c r="C52" s="13">
        <v>0.6333333333333333</v>
      </c>
      <c r="D52" s="11" t="s">
        <v>12</v>
      </c>
      <c r="E52" s="10">
        <v>9</v>
      </c>
      <c r="F52" s="13">
        <f>5/9*20%+4/9*22.5%</f>
        <v>0.21111111111111111</v>
      </c>
    </row>
    <row r="53" spans="1:6" x14ac:dyDescent="0.4">
      <c r="A53" s="11" t="s">
        <v>191</v>
      </c>
      <c r="B53" s="10">
        <v>3</v>
      </c>
      <c r="C53" s="13">
        <v>0.73333333333333339</v>
      </c>
      <c r="D53" s="11" t="s">
        <v>34</v>
      </c>
      <c r="E53" s="10">
        <v>4</v>
      </c>
      <c r="F53" s="13">
        <v>0.2</v>
      </c>
    </row>
    <row r="54" spans="1:6" x14ac:dyDescent="0.4">
      <c r="A54" s="11" t="s">
        <v>192</v>
      </c>
      <c r="B54" s="10">
        <v>3</v>
      </c>
      <c r="C54" s="13">
        <v>0.79999999999999993</v>
      </c>
      <c r="D54" s="11" t="s">
        <v>166</v>
      </c>
      <c r="E54" s="10">
        <v>4</v>
      </c>
      <c r="F54" s="13">
        <v>6.25E-2</v>
      </c>
    </row>
    <row r="55" spans="1:6" x14ac:dyDescent="0.4">
      <c r="A55" s="11" t="s">
        <v>193</v>
      </c>
      <c r="B55" s="10">
        <v>2</v>
      </c>
      <c r="C55" s="13">
        <v>0.95</v>
      </c>
      <c r="D55" s="11" t="s">
        <v>35</v>
      </c>
      <c r="E55" s="10">
        <v>4</v>
      </c>
      <c r="F55" s="13">
        <v>0.3</v>
      </c>
    </row>
    <row r="56" spans="1:6" x14ac:dyDescent="0.4">
      <c r="A56" s="11" t="s">
        <v>194</v>
      </c>
      <c r="B56" s="10">
        <v>2</v>
      </c>
      <c r="C56" s="13">
        <v>0.82499999999999996</v>
      </c>
      <c r="D56" s="11" t="s">
        <v>128</v>
      </c>
      <c r="E56" s="10">
        <v>3</v>
      </c>
      <c r="F56" s="13">
        <v>5.000000000000001E-2</v>
      </c>
    </row>
    <row r="57" spans="1:6" x14ac:dyDescent="0.4">
      <c r="A57" s="11" t="s">
        <v>195</v>
      </c>
      <c r="B57" s="10">
        <v>2</v>
      </c>
      <c r="C57" s="13">
        <v>0.95</v>
      </c>
      <c r="D57" s="11" t="s">
        <v>201</v>
      </c>
      <c r="E57" s="10">
        <v>2</v>
      </c>
      <c r="F57" s="13">
        <v>0.2</v>
      </c>
    </row>
    <row r="58" spans="1:6" ht="14.25" thickBot="1" x14ac:dyDescent="0.45">
      <c r="A58" s="9" t="s">
        <v>206</v>
      </c>
      <c r="B58" s="9" t="s">
        <v>1</v>
      </c>
      <c r="C58" s="12" t="s">
        <v>2</v>
      </c>
      <c r="D58" s="9" t="s">
        <v>207</v>
      </c>
      <c r="E58" s="9" t="s">
        <v>1</v>
      </c>
      <c r="F58" s="12" t="s">
        <v>4</v>
      </c>
    </row>
    <row r="59" spans="1:6" x14ac:dyDescent="0.4">
      <c r="A59" s="11" t="s">
        <v>5</v>
      </c>
      <c r="B59" s="10">
        <f>8+29</f>
        <v>37</v>
      </c>
      <c r="C59" s="13">
        <f>29/37*62.0689655172414%+8/37*69.38%</f>
        <v>0.63649729729729754</v>
      </c>
      <c r="D59" s="11" t="s">
        <v>6</v>
      </c>
      <c r="E59" s="10">
        <v>11</v>
      </c>
      <c r="F59" s="13">
        <v>0.3227272727272727</v>
      </c>
    </row>
    <row r="60" spans="1:6" x14ac:dyDescent="0.4">
      <c r="A60" s="11" t="s">
        <v>208</v>
      </c>
      <c r="B60" s="10">
        <v>21</v>
      </c>
      <c r="C60" s="13">
        <v>0.72380952380952357</v>
      </c>
      <c r="D60" s="11" t="s">
        <v>8</v>
      </c>
      <c r="E60" s="10">
        <v>10</v>
      </c>
      <c r="F60" s="13">
        <v>0.32500000000000012</v>
      </c>
    </row>
    <row r="61" spans="1:6" x14ac:dyDescent="0.4">
      <c r="A61" s="11" t="s">
        <v>7</v>
      </c>
      <c r="B61" s="10">
        <v>8</v>
      </c>
      <c r="C61" s="13">
        <v>0.70625000000000004</v>
      </c>
      <c r="D61" s="11" t="s">
        <v>10</v>
      </c>
      <c r="E61" s="10">
        <v>7</v>
      </c>
      <c r="F61" s="13">
        <v>0.26428571428571429</v>
      </c>
    </row>
    <row r="62" spans="1:6" x14ac:dyDescent="0.4">
      <c r="A62" s="11" t="s">
        <v>14</v>
      </c>
      <c r="B62" s="10">
        <v>6</v>
      </c>
      <c r="C62" s="13">
        <v>0.83333333333333348</v>
      </c>
      <c r="D62" s="11" t="s">
        <v>129</v>
      </c>
      <c r="E62" s="10">
        <v>11</v>
      </c>
      <c r="F62" s="13">
        <v>0.05</v>
      </c>
    </row>
    <row r="63" spans="1:6" x14ac:dyDescent="0.4">
      <c r="A63" s="11" t="s">
        <v>20</v>
      </c>
      <c r="B63" s="10">
        <v>5</v>
      </c>
      <c r="C63" s="13">
        <v>0.74</v>
      </c>
      <c r="D63" s="11" t="s">
        <v>29</v>
      </c>
      <c r="E63" s="10">
        <v>5</v>
      </c>
      <c r="F63" s="13">
        <v>0.32</v>
      </c>
    </row>
    <row r="64" spans="1:6" x14ac:dyDescent="0.4">
      <c r="A64" s="11" t="s">
        <v>21</v>
      </c>
      <c r="B64" s="10">
        <v>4</v>
      </c>
      <c r="C64" s="13">
        <v>0.75</v>
      </c>
      <c r="D64" s="11" t="s">
        <v>221</v>
      </c>
      <c r="E64" s="10">
        <v>5</v>
      </c>
      <c r="F64" s="13">
        <v>0.13</v>
      </c>
    </row>
    <row r="65" spans="1:6" x14ac:dyDescent="0.4">
      <c r="A65" s="11" t="s">
        <v>209</v>
      </c>
      <c r="B65" s="10">
        <v>3</v>
      </c>
      <c r="C65" s="13">
        <v>0.6333333333333333</v>
      </c>
      <c r="D65" s="11" t="s">
        <v>222</v>
      </c>
      <c r="E65" s="10">
        <v>4</v>
      </c>
      <c r="F65" s="13">
        <v>0.05</v>
      </c>
    </row>
    <row r="66" spans="1:6" x14ac:dyDescent="0.4">
      <c r="A66" s="11" t="s">
        <v>210</v>
      </c>
      <c r="B66" s="10">
        <v>3</v>
      </c>
      <c r="C66" s="13">
        <v>0.94999999999999984</v>
      </c>
      <c r="D66" s="11" t="s">
        <v>223</v>
      </c>
      <c r="E66" s="10">
        <v>4</v>
      </c>
      <c r="F66" s="13">
        <v>0.45</v>
      </c>
    </row>
    <row r="67" spans="1:6" x14ac:dyDescent="0.4">
      <c r="A67" s="11" t="s">
        <v>211</v>
      </c>
      <c r="B67" s="10">
        <v>3</v>
      </c>
      <c r="C67" s="13">
        <v>0.6333333333333333</v>
      </c>
      <c r="D67" s="11" t="s">
        <v>127</v>
      </c>
      <c r="E67" s="10">
        <v>4</v>
      </c>
      <c r="F67" s="13">
        <v>6.25E-2</v>
      </c>
    </row>
    <row r="68" spans="1:6" x14ac:dyDescent="0.4">
      <c r="A68" s="11" t="s">
        <v>212</v>
      </c>
      <c r="B68" s="10">
        <v>2</v>
      </c>
      <c r="C68" s="13">
        <v>0.47499999999999998</v>
      </c>
      <c r="D68" s="11" t="s">
        <v>14</v>
      </c>
      <c r="E68" s="10">
        <v>3</v>
      </c>
      <c r="F68" s="13">
        <v>0.26666666666666672</v>
      </c>
    </row>
    <row r="70" spans="1:6" x14ac:dyDescent="0.4">
      <c r="A70" s="11"/>
      <c r="B70" s="10"/>
      <c r="C70" s="13"/>
    </row>
    <row r="71" spans="1:6" x14ac:dyDescent="0.4">
      <c r="A71" s="11"/>
      <c r="B71" s="10"/>
      <c r="C71" s="13"/>
      <c r="D71" s="11"/>
      <c r="E71" s="10"/>
      <c r="F71" s="13"/>
    </row>
    <row r="72" spans="1:6" x14ac:dyDescent="0.4">
      <c r="A72" s="11"/>
      <c r="B72" s="10"/>
      <c r="C72" s="13"/>
      <c r="D72" s="11"/>
      <c r="E72" s="10"/>
      <c r="F72" s="13"/>
    </row>
    <row r="73" spans="1:6" x14ac:dyDescent="0.4">
      <c r="A73" s="11"/>
      <c r="B73" s="10"/>
      <c r="C73" s="13"/>
      <c r="D73" s="11"/>
      <c r="E73" s="10"/>
      <c r="F73" s="13"/>
    </row>
    <row r="74" spans="1:6" x14ac:dyDescent="0.4">
      <c r="A74" s="11"/>
      <c r="B74" s="10"/>
      <c r="C74" s="13"/>
      <c r="D74" s="11"/>
      <c r="E74" s="10"/>
      <c r="F74" s="13"/>
    </row>
    <row r="75" spans="1:6" x14ac:dyDescent="0.4">
      <c r="A75" s="11"/>
      <c r="B75" s="10"/>
      <c r="C75" s="13"/>
      <c r="D75" s="11"/>
      <c r="E75" s="10"/>
      <c r="F75" s="13"/>
    </row>
    <row r="76" spans="1:6" x14ac:dyDescent="0.4">
      <c r="A76" s="11"/>
      <c r="B76" s="10"/>
      <c r="C76" s="13"/>
      <c r="D76" s="11"/>
      <c r="E76" s="10"/>
      <c r="F76" s="13"/>
    </row>
    <row r="77" spans="1:6" x14ac:dyDescent="0.4">
      <c r="A77" s="11"/>
      <c r="B77" s="10"/>
      <c r="C77" s="13"/>
      <c r="D77" s="11"/>
      <c r="E77" s="10"/>
      <c r="F77" s="13"/>
    </row>
    <row r="78" spans="1:6" x14ac:dyDescent="0.4">
      <c r="A78" s="11"/>
      <c r="B78" s="10"/>
      <c r="C78" s="13"/>
      <c r="D78" s="11"/>
      <c r="E78" s="10"/>
      <c r="F78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中国基金分类情况统计</vt:lpstr>
      <vt:lpstr>基金二级分类业绩评价基准-股指基准和债指基准统计</vt:lpstr>
      <vt:lpstr>基金二级分类业绩评价基准-统计</vt:lpstr>
      <vt:lpstr>基金一级分类业绩评价基准-股指基准和债指基准统计</vt:lpstr>
      <vt:lpstr>基金一级分类业绩评价基准-组成部分分组</vt:lpstr>
      <vt:lpstr>基金行业主题分类业绩评价基准-股指基准和债指基准统计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2021-03-01T09:37:45Z</dcterms:created>
  <dcterms:modified xsi:type="dcterms:W3CDTF">2021-03-04T14:45:58Z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780e9214-2c5e-49d3-b92f-95da739a7f8a</vt:lpwstr>
  </property>
</Properties>
</file>