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0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财务金融建模\"/>
    </mc:Choice>
  </mc:AlternateContent>
  <xr:revisionPtr revIDLastSave="0" documentId="13_ncr:1_{B159F6BC-1130-4400-A1FA-2B95BEA752DE}" xr6:coauthVersionLast="47" xr6:coauthVersionMax="47" xr10:uidLastSave="{00000000-0000-0000-0000-000000000000}"/>
  <bookViews>
    <workbookView xWindow="-98" yWindow="-98" windowWidth="24196" windowHeight="14476" tabRatio="718" xr2:uid="{6F1C5E90-5A71-4BBD-8DC6-829359C28266}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" sheetId="21" r:id="rId20"/>
    <sheet name="Sheet21" sheetId="22" r:id="rId21"/>
    <sheet name="Sheet22" sheetId="23" r:id="rId22"/>
  </sheets>
  <definedNames>
    <definedName name="solver_adj" localSheetId="14" hidden="1">Sheet15!$B$3</definedName>
    <definedName name="solver_cvg" localSheetId="14" hidden="1">0.0001</definedName>
    <definedName name="solver_drv" localSheetId="14" hidden="1">1</definedName>
    <definedName name="solver_eng" localSheetId="14" hidden="1">1</definedName>
    <definedName name="solver_est" localSheetId="14" hidden="1">1</definedName>
    <definedName name="solver_itr" localSheetId="14" hidden="1">2147483647</definedName>
    <definedName name="solver_mip" localSheetId="14" hidden="1">2147483647</definedName>
    <definedName name="solver_mni" localSheetId="14" hidden="1">30</definedName>
    <definedName name="solver_mrt" localSheetId="14" hidden="1">0.075</definedName>
    <definedName name="solver_msl" localSheetId="14" hidden="1">2</definedName>
    <definedName name="solver_neg" localSheetId="14" hidden="1">1</definedName>
    <definedName name="solver_nod" localSheetId="14" hidden="1">2147483647</definedName>
    <definedName name="solver_num" localSheetId="14" hidden="1">0</definedName>
    <definedName name="solver_nwt" localSheetId="14" hidden="1">1</definedName>
    <definedName name="solver_opt" localSheetId="14" hidden="1">Sheet15!$E$19</definedName>
    <definedName name="solver_pre" localSheetId="14" hidden="1">0.000001</definedName>
    <definedName name="solver_rbv" localSheetId="14" hidden="1">1</definedName>
    <definedName name="solver_rlx" localSheetId="14" hidden="1">2</definedName>
    <definedName name="solver_rsd" localSheetId="14" hidden="1">0</definedName>
    <definedName name="solver_scl" localSheetId="14" hidden="1">1</definedName>
    <definedName name="solver_sho" localSheetId="14" hidden="1">2</definedName>
    <definedName name="solver_ssz" localSheetId="14" hidden="1">100</definedName>
    <definedName name="solver_tim" localSheetId="14" hidden="1">2147483647</definedName>
    <definedName name="solver_tol" localSheetId="14" hidden="1">0.01</definedName>
    <definedName name="solver_typ" localSheetId="14" hidden="1">3</definedName>
    <definedName name="solver_val" localSheetId="14" hidden="1">0</definedName>
    <definedName name="solver_ver" localSheetId="1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3" l="1"/>
  <c r="G5" i="23" s="1"/>
  <c r="B6" i="23"/>
  <c r="B5" i="23"/>
  <c r="B4" i="23"/>
  <c r="B3" i="22"/>
  <c r="B11" i="21"/>
  <c r="B9" i="20"/>
  <c r="B7" i="19"/>
  <c r="B5" i="19"/>
  <c r="B13" i="19" s="1"/>
  <c r="C11" i="18"/>
  <c r="C6" i="18"/>
  <c r="C7" i="18"/>
  <c r="C8" i="18"/>
  <c r="C9" i="18"/>
  <c r="C5" i="18"/>
  <c r="B7" i="17"/>
  <c r="B6" i="17"/>
  <c r="B12" i="17" s="1"/>
  <c r="B5" i="17"/>
  <c r="B29" i="16"/>
  <c r="B28" i="16"/>
  <c r="C13" i="16"/>
  <c r="C14" i="16"/>
  <c r="C15" i="16"/>
  <c r="C16" i="16"/>
  <c r="C17" i="16"/>
  <c r="C18" i="16"/>
  <c r="C19" i="16"/>
  <c r="C12" i="16"/>
  <c r="C8" i="16"/>
  <c r="C9" i="16"/>
  <c r="C10" i="16"/>
  <c r="C11" i="16"/>
  <c r="C7" i="16"/>
  <c r="D7" i="16" s="1"/>
  <c r="E7" i="16" s="1"/>
  <c r="B8" i="16" s="1"/>
  <c r="B18" i="15"/>
  <c r="B9" i="15"/>
  <c r="E8" i="15"/>
  <c r="E9" i="15"/>
  <c r="B10" i="15" s="1"/>
  <c r="D8" i="15"/>
  <c r="D9" i="15"/>
  <c r="B8" i="15"/>
  <c r="E7" i="15"/>
  <c r="D7" i="15"/>
  <c r="B19" i="14"/>
  <c r="B7" i="14"/>
  <c r="D6" i="14"/>
  <c r="D7" i="14"/>
  <c r="B8" i="14" s="1"/>
  <c r="C6" i="14"/>
  <c r="C7" i="14"/>
  <c r="B6" i="14"/>
  <c r="D5" i="14"/>
  <c r="C5" i="14"/>
  <c r="C11" i="13"/>
  <c r="F10" i="13"/>
  <c r="E10" i="13"/>
  <c r="E11" i="13"/>
  <c r="F11" i="13" s="1"/>
  <c r="C12" i="13" s="1"/>
  <c r="D10" i="13"/>
  <c r="D11" i="13"/>
  <c r="D12" i="13"/>
  <c r="D13" i="13"/>
  <c r="D14" i="13"/>
  <c r="D9" i="13"/>
  <c r="F9" i="13"/>
  <c r="C10" i="13" s="1"/>
  <c r="E9" i="13"/>
  <c r="C9" i="13"/>
  <c r="B5" i="13"/>
  <c r="D7" i="18"/>
  <c r="D3" i="14"/>
  <c r="H5" i="23"/>
  <c r="D5" i="18"/>
  <c r="C3" i="14"/>
  <c r="C6" i="17"/>
  <c r="C12" i="17"/>
  <c r="C3" i="23"/>
  <c r="C7" i="13"/>
  <c r="C5" i="13"/>
  <c r="D5" i="16"/>
  <c r="E5" i="16"/>
  <c r="C13" i="19"/>
  <c r="C18" i="15"/>
  <c r="C5" i="19"/>
  <c r="D11" i="18"/>
  <c r="D6" i="18"/>
  <c r="D8" i="18"/>
  <c r="C17" i="14"/>
  <c r="C4" i="23"/>
  <c r="C7" i="17"/>
  <c r="G9" i="13"/>
  <c r="C6" i="23"/>
  <c r="G5" i="13"/>
  <c r="C5" i="23"/>
  <c r="D7" i="13"/>
  <c r="A21" i="16"/>
  <c r="C3" i="22"/>
  <c r="B21" i="16"/>
  <c r="C11" i="21"/>
  <c r="C9" i="20"/>
  <c r="C5" i="16"/>
  <c r="C7" i="19"/>
  <c r="B5" i="15"/>
  <c r="E5" i="15"/>
  <c r="D5" i="15"/>
  <c r="C19" i="14"/>
  <c r="D9" i="18"/>
  <c r="D8" i="16" l="1"/>
  <c r="E8" i="16" s="1"/>
  <c r="B9" i="16" s="1"/>
  <c r="D9" i="16" s="1"/>
  <c r="D10" i="15"/>
  <c r="E10" i="15"/>
  <c r="B11" i="15" s="1"/>
  <c r="C8" i="14"/>
  <c r="D8" i="14"/>
  <c r="B9" i="14" s="1"/>
  <c r="E12" i="13"/>
  <c r="F12" i="13" s="1"/>
  <c r="C13" i="13" s="1"/>
  <c r="E9" i="16" l="1"/>
  <c r="B10" i="16" s="1"/>
  <c r="D10" i="16" s="1"/>
  <c r="D11" i="15"/>
  <c r="E11" i="15"/>
  <c r="B12" i="15" s="1"/>
  <c r="C9" i="14"/>
  <c r="D9" i="14"/>
  <c r="B10" i="14" s="1"/>
  <c r="E13" i="13"/>
  <c r="F13" i="13" s="1"/>
  <c r="C14" i="13" s="1"/>
  <c r="E10" i="16" l="1"/>
  <c r="B11" i="16" s="1"/>
  <c r="D11" i="16" s="1"/>
  <c r="E11" i="16" s="1"/>
  <c r="B12" i="16" s="1"/>
  <c r="D12" i="15"/>
  <c r="E12" i="15"/>
  <c r="B13" i="15" s="1"/>
  <c r="C10" i="14"/>
  <c r="D10" i="14"/>
  <c r="B11" i="14" s="1"/>
  <c r="E14" i="13"/>
  <c r="F14" i="13" s="1"/>
  <c r="C15" i="13" s="1"/>
  <c r="D12" i="16" l="1"/>
  <c r="E12" i="16" s="1"/>
  <c r="B13" i="16" s="1"/>
  <c r="E13" i="15"/>
  <c r="B14" i="15" s="1"/>
  <c r="D13" i="15"/>
  <c r="C11" i="14"/>
  <c r="D11" i="14"/>
  <c r="B12" i="14" s="1"/>
  <c r="D13" i="16" l="1"/>
  <c r="E13" i="16"/>
  <c r="B14" i="16" s="1"/>
  <c r="D14" i="15"/>
  <c r="E14" i="15" s="1"/>
  <c r="B15" i="15" s="1"/>
  <c r="C12" i="14"/>
  <c r="D12" i="14" s="1"/>
  <c r="B13" i="14" s="1"/>
  <c r="D14" i="16" l="1"/>
  <c r="E14" i="16" s="1"/>
  <c r="B15" i="16" s="1"/>
  <c r="D15" i="15"/>
  <c r="E15" i="15" s="1"/>
  <c r="B16" i="15" s="1"/>
  <c r="D13" i="14"/>
  <c r="B14" i="14" s="1"/>
  <c r="C13" i="14"/>
  <c r="D15" i="16" l="1"/>
  <c r="E15" i="16" s="1"/>
  <c r="B16" i="16" s="1"/>
  <c r="D16" i="15"/>
  <c r="E16" i="15" s="1"/>
  <c r="C14" i="14"/>
  <c r="D14" i="14" s="1"/>
  <c r="B15" i="14" s="1"/>
  <c r="D16" i="16" l="1"/>
  <c r="E16" i="16" s="1"/>
  <c r="B17" i="16" s="1"/>
  <c r="D17" i="16" l="1"/>
  <c r="E17" i="16" s="1"/>
  <c r="B18" i="16" s="1"/>
  <c r="D18" i="16" l="1"/>
  <c r="E18" i="16" s="1"/>
  <c r="B19" i="16" s="1"/>
  <c r="D19" i="16" l="1"/>
  <c r="E19" i="16" s="1"/>
  <c r="G5" i="12" l="1"/>
  <c r="B13" i="12"/>
  <c r="B16" i="11"/>
  <c r="B15" i="11"/>
  <c r="B3" i="11"/>
  <c r="I5" i="11" s="1"/>
  <c r="B17" i="10"/>
  <c r="B10" i="10"/>
  <c r="D6" i="9"/>
  <c r="E6" i="9" s="1"/>
  <c r="B7" i="9" s="1"/>
  <c r="E17" i="8"/>
  <c r="B17" i="8"/>
  <c r="B18" i="8"/>
  <c r="E16" i="8"/>
  <c r="D16" i="8"/>
  <c r="D17" i="8"/>
  <c r="D18" i="8"/>
  <c r="E18" i="8" s="1"/>
  <c r="B19" i="8" s="1"/>
  <c r="D15" i="8"/>
  <c r="C16" i="8"/>
  <c r="C17" i="8"/>
  <c r="C18" i="8"/>
  <c r="C19" i="8"/>
  <c r="B15" i="8"/>
  <c r="C15" i="8"/>
  <c r="B10" i="8"/>
  <c r="G13" i="7"/>
  <c r="B10" i="7"/>
  <c r="B23" i="6"/>
  <c r="B21" i="6"/>
  <c r="B22" i="6"/>
  <c r="B20" i="6"/>
  <c r="B7" i="6"/>
  <c r="B10" i="6"/>
  <c r="B14" i="6" s="1"/>
  <c r="B22" i="5"/>
  <c r="B16" i="5"/>
  <c r="B7" i="5"/>
  <c r="B6" i="5"/>
  <c r="B11" i="5"/>
  <c r="B12" i="5"/>
  <c r="B13" i="5"/>
  <c r="B14" i="5"/>
  <c r="B10" i="5"/>
  <c r="C3" i="11"/>
  <c r="C10" i="8"/>
  <c r="C11" i="6"/>
  <c r="H13" i="7"/>
  <c r="C13" i="6"/>
  <c r="C16" i="11"/>
  <c r="C12" i="6"/>
  <c r="C10" i="7"/>
  <c r="C15" i="11"/>
  <c r="C10" i="6"/>
  <c r="C23" i="6"/>
  <c r="B23" i="8"/>
  <c r="C16" i="6"/>
  <c r="C7" i="6"/>
  <c r="C17" i="10"/>
  <c r="A13" i="9"/>
  <c r="A22" i="8"/>
  <c r="C10" i="10"/>
  <c r="C14" i="6"/>
  <c r="C22" i="5"/>
  <c r="F4" i="9"/>
  <c r="E13" i="8"/>
  <c r="D13" i="8"/>
  <c r="C13" i="8"/>
  <c r="C7" i="5"/>
  <c r="C6" i="5"/>
  <c r="H5" i="12"/>
  <c r="F6" i="9"/>
  <c r="C16" i="5"/>
  <c r="B13" i="8"/>
  <c r="C10" i="5"/>
  <c r="J5" i="11"/>
  <c r="C13" i="12"/>
  <c r="D7" i="9" l="1"/>
  <c r="E7" i="9" s="1"/>
  <c r="B8" i="9" s="1"/>
  <c r="D19" i="8"/>
  <c r="E19" i="8" s="1"/>
  <c r="B20" i="8" s="1"/>
  <c r="B13" i="6"/>
  <c r="B11" i="6"/>
  <c r="B12" i="6"/>
  <c r="D8" i="9" l="1"/>
  <c r="E8" i="9" s="1"/>
  <c r="B9" i="9" s="1"/>
  <c r="D9" i="9" s="1"/>
  <c r="E9" i="9" s="1"/>
  <c r="B10" i="9" s="1"/>
  <c r="B16" i="6"/>
  <c r="D10" i="9" l="1"/>
  <c r="E10" i="9" s="1"/>
  <c r="B11" i="9" s="1"/>
  <c r="B14" i="4" l="1"/>
  <c r="C5" i="4"/>
  <c r="C10" i="4"/>
  <c r="C9" i="4"/>
  <c r="C8" i="4"/>
  <c r="B13" i="4" s="1"/>
  <c r="C7" i="4"/>
  <c r="C6" i="4"/>
  <c r="B14" i="3"/>
  <c r="B13" i="3"/>
  <c r="C9" i="3"/>
  <c r="C8" i="3"/>
  <c r="C7" i="3"/>
  <c r="C6" i="3"/>
  <c r="C5" i="3"/>
  <c r="B14" i="1"/>
  <c r="B13" i="1"/>
  <c r="B12" i="1"/>
  <c r="C6" i="1"/>
  <c r="C7" i="1"/>
  <c r="C8" i="1"/>
  <c r="C9" i="1"/>
  <c r="C5" i="1"/>
  <c r="C14" i="3"/>
  <c r="D6" i="3"/>
  <c r="D9" i="4"/>
  <c r="C13" i="4"/>
  <c r="C14" i="4"/>
  <c r="C13" i="3"/>
  <c r="D7" i="3"/>
  <c r="D8" i="3"/>
  <c r="C13" i="1"/>
  <c r="C12" i="1"/>
  <c r="D9" i="1"/>
  <c r="D6" i="4"/>
  <c r="C12" i="3"/>
  <c r="D8" i="1"/>
  <c r="D5" i="1"/>
  <c r="C14" i="1"/>
  <c r="D10" i="4"/>
  <c r="D7" i="1"/>
  <c r="D8" i="4"/>
  <c r="D7" i="4"/>
  <c r="D9" i="3"/>
  <c r="D5" i="4"/>
  <c r="D5" i="3"/>
  <c r="D6" i="1"/>
  <c r="B12" i="3" l="1"/>
  <c r="E15" i="8" l="1"/>
  <c r="B16" i="8" s="1"/>
</calcChain>
</file>

<file path=xl/sharedStrings.xml><?xml version="1.0" encoding="utf-8"?>
<sst xmlns="http://schemas.openxmlformats.org/spreadsheetml/2006/main" count="202" uniqueCount="121">
  <si>
    <r>
      <rPr>
        <b/>
        <sz val="14"/>
        <color theme="1"/>
        <rFont val="等线"/>
        <family val="2"/>
        <charset val="134"/>
      </rPr>
      <t>现值计算</t>
    </r>
    <phoneticPr fontId="18" type="noConversion"/>
  </si>
  <si>
    <t>折现率</t>
    <phoneticPr fontId="18" type="noConversion"/>
  </si>
  <si>
    <t>年</t>
    <phoneticPr fontId="18" type="noConversion"/>
  </si>
  <si>
    <t>现金流</t>
    <phoneticPr fontId="18" type="noConversion"/>
  </si>
  <si>
    <t>现值</t>
    <phoneticPr fontId="18" type="noConversion"/>
  </si>
  <si>
    <t>净现值</t>
    <phoneticPr fontId="18" type="noConversion"/>
  </si>
  <si>
    <t>求和C5:C9</t>
    <phoneticPr fontId="18" type="noConversion"/>
  </si>
  <si>
    <t>运用EXCEL中的NPV函数</t>
    <phoneticPr fontId="18" type="noConversion"/>
  </si>
  <si>
    <t>运用EXCEL中的PV函数</t>
    <phoneticPr fontId="18" type="noConversion"/>
  </si>
  <si>
    <r>
      <t xml:space="preserve">计算现值
</t>
    </r>
    <r>
      <rPr>
        <b/>
        <sz val="12"/>
        <color theme="1"/>
        <rFont val="等线"/>
        <family val="3"/>
        <charset val="134"/>
      </rPr>
      <t>该例子中现金流不是等额的
单独折现每笔现金流或应用NPV函数
PV函数对该例不适用</t>
    </r>
    <phoneticPr fontId="18" type="noConversion"/>
  </si>
  <si>
    <t xml:space="preserve">计算净现值
</t>
    <phoneticPr fontId="18" type="noConversion"/>
  </si>
  <si>
    <t>计算有限期年金的值</t>
    <phoneticPr fontId="18" type="noConversion"/>
  </si>
  <si>
    <t>未来偿付期数，n</t>
    <phoneticPr fontId="18" type="noConversion"/>
  </si>
  <si>
    <t>每期偿付额，C</t>
    <phoneticPr fontId="18" type="noConversion"/>
  </si>
  <si>
    <t>折现率，r</t>
    <phoneticPr fontId="18" type="noConversion"/>
  </si>
  <si>
    <t>年金现值</t>
    <phoneticPr fontId="18" type="noConversion"/>
  </si>
  <si>
    <t>运用公式</t>
    <phoneticPr fontId="18" type="noConversion"/>
  </si>
  <si>
    <t>运用PV函数</t>
    <phoneticPr fontId="18" type="noConversion"/>
  </si>
  <si>
    <t>期数</t>
    <phoneticPr fontId="18" type="noConversion"/>
  </si>
  <si>
    <t>运用NPV函数计算现值</t>
    <phoneticPr fontId="18" type="noConversion"/>
  </si>
  <si>
    <t>计算无限期年金的值</t>
    <phoneticPr fontId="18" type="noConversion"/>
  </si>
  <si>
    <t>计算有限期增长年金的值</t>
    <phoneticPr fontId="18" type="noConversion"/>
  </si>
  <si>
    <t>增长率，g</t>
    <phoneticPr fontId="18" type="noConversion"/>
  </si>
  <si>
    <t>年金</t>
    <phoneticPr fontId="18" type="noConversion"/>
  </si>
  <si>
    <t>计算无限期增长年金的值</t>
    <phoneticPr fontId="18" type="noConversion"/>
  </si>
  <si>
    <t>内部收益率</t>
    <phoneticPr fontId="18" type="noConversion"/>
  </si>
  <si>
    <t>现金流量</t>
    <phoneticPr fontId="18" type="noConversion"/>
  </si>
  <si>
    <r>
      <rPr>
        <b/>
        <sz val="14"/>
        <color theme="1"/>
        <rFont val="等线"/>
        <family val="2"/>
        <charset val="134"/>
      </rPr>
      <t>内部收益率</t>
    </r>
    <phoneticPr fontId="18" type="noConversion"/>
  </si>
  <si>
    <t>通过试错法确定内部收益率</t>
    <phoneticPr fontId="18" type="noConversion"/>
  </si>
  <si>
    <t>净现值(NPV)</t>
    <phoneticPr fontId="18" type="noConversion"/>
  </si>
  <si>
    <t>在贷款表中应用内部收益率</t>
    <phoneticPr fontId="18" type="noConversion"/>
  </si>
  <si>
    <t>年初投资</t>
    <phoneticPr fontId="18" type="noConversion"/>
  </si>
  <si>
    <t>年末现金流</t>
    <phoneticPr fontId="18" type="noConversion"/>
  </si>
  <si>
    <t>收益</t>
    <phoneticPr fontId="18" type="noConversion"/>
  </si>
  <si>
    <t>本金偿还</t>
    <phoneticPr fontId="18" type="noConversion"/>
  </si>
  <si>
    <t>偿还了最后一期贷款后的现金流是0，说明所有的本金已经被偿还</t>
    <phoneticPr fontId="18" type="noConversion"/>
  </si>
  <si>
    <r>
      <rPr>
        <b/>
        <sz val="14"/>
        <color theme="1"/>
        <rFont val="等线"/>
        <family val="2"/>
        <charset val="134"/>
      </rPr>
      <t>通过贷款表计算内部收益率</t>
    </r>
    <phoneticPr fontId="18" type="noConversion"/>
  </si>
  <si>
    <t>内部收益率？</t>
    <phoneticPr fontId="18" type="noConversion"/>
  </si>
  <si>
    <t>偿还分割为收益和本金</t>
    <phoneticPr fontId="18" type="noConversion"/>
  </si>
  <si>
    <t>年初本金</t>
    <phoneticPr fontId="18" type="noConversion"/>
  </si>
  <si>
    <t>本金</t>
    <phoneticPr fontId="18" type="noConversion"/>
  </si>
  <si>
    <t>IRR</t>
    <phoneticPr fontId="18" type="noConversion"/>
  </si>
  <si>
    <t>运用实际利率函数计算内部收益率</t>
    <phoneticPr fontId="18" type="noConversion"/>
  </si>
  <si>
    <t>期初投资</t>
    <phoneticPr fontId="18" type="noConversion"/>
  </si>
  <si>
    <t>每期现金流</t>
    <phoneticPr fontId="18" type="noConversion"/>
  </si>
  <si>
    <t>偿付期数</t>
    <phoneticPr fontId="18" type="noConversion"/>
  </si>
  <si>
    <r>
      <t>IRR</t>
    </r>
    <r>
      <rPr>
        <b/>
        <sz val="14"/>
        <color theme="1"/>
        <rFont val="等线"/>
        <family val="2"/>
        <charset val="134"/>
      </rPr>
      <t>的直接计算</t>
    </r>
    <phoneticPr fontId="18" type="noConversion"/>
  </si>
  <si>
    <r>
      <rPr>
        <b/>
        <sz val="14"/>
        <color theme="1"/>
        <rFont val="等线"/>
        <family val="2"/>
        <charset val="134"/>
      </rPr>
      <t>多个内部收益率</t>
    </r>
    <phoneticPr fontId="18" type="noConversion"/>
  </si>
  <si>
    <t>两个IRR的确定</t>
    <phoneticPr fontId="18" type="noConversion"/>
  </si>
  <si>
    <t>第一个IRR</t>
    <phoneticPr fontId="18" type="noConversion"/>
  </si>
  <si>
    <t>第二个IRR</t>
    <phoneticPr fontId="18" type="noConversion"/>
  </si>
  <si>
    <t>数据表</t>
    <phoneticPr fontId="18" type="noConversion"/>
  </si>
  <si>
    <t>数据表：</t>
    <phoneticPr fontId="18" type="noConversion"/>
  </si>
  <si>
    <t>折现率对NPV的影响</t>
    <phoneticPr fontId="18" type="noConversion"/>
  </si>
  <si>
    <r>
      <rPr>
        <b/>
        <sz val="14"/>
        <color theme="1"/>
        <rFont val="等线"/>
        <family val="3"/>
        <charset val="134"/>
      </rPr>
      <t>债券的现金流量：</t>
    </r>
    <r>
      <rPr>
        <b/>
        <sz val="14"/>
        <color theme="1"/>
        <rFont val="Arial"/>
        <family val="2"/>
      </rPr>
      <t>NPV</t>
    </r>
    <r>
      <rPr>
        <b/>
        <sz val="14"/>
        <color theme="1"/>
        <rFont val="等线"/>
        <family val="3"/>
        <charset val="134"/>
      </rPr>
      <t>曲线与</t>
    </r>
    <r>
      <rPr>
        <b/>
        <sz val="14"/>
        <color theme="1"/>
        <rFont val="Arial"/>
        <family val="2"/>
      </rPr>
      <t>X</t>
    </r>
    <r>
      <rPr>
        <b/>
        <sz val="14"/>
        <color theme="1"/>
        <rFont val="等线"/>
        <family val="3"/>
        <charset val="134"/>
      </rPr>
      <t>轴相交一次，因此只有一个</t>
    </r>
    <r>
      <rPr>
        <b/>
        <sz val="14"/>
        <color theme="1"/>
        <rFont val="Arial"/>
        <family val="2"/>
      </rPr>
      <t>IRR</t>
    </r>
    <phoneticPr fontId="18" type="noConversion"/>
  </si>
  <si>
    <r>
      <rPr>
        <b/>
        <sz val="14"/>
        <color theme="1"/>
        <rFont val="等线"/>
        <family val="2"/>
        <charset val="134"/>
      </rPr>
      <t>等额偿还计划</t>
    </r>
    <phoneticPr fontId="18" type="noConversion"/>
  </si>
  <si>
    <t>利率</t>
    <phoneticPr fontId="18" type="noConversion"/>
  </si>
  <si>
    <t>贷款本金</t>
    <phoneticPr fontId="18" type="noConversion"/>
  </si>
  <si>
    <t>贷款期限</t>
    <phoneticPr fontId="18" type="noConversion"/>
  </si>
  <si>
    <t>年还款额</t>
    <phoneticPr fontId="18" type="noConversion"/>
  </si>
  <si>
    <t>贷款被偿还的结束年度</t>
    <phoneticPr fontId="18" type="noConversion"/>
  </si>
  <si>
    <t>年初的本金</t>
    <phoneticPr fontId="18" type="noConversion"/>
  </si>
  <si>
    <t>年末偿还额</t>
    <phoneticPr fontId="18" type="noConversion"/>
  </si>
  <si>
    <t>利息</t>
    <phoneticPr fontId="18" type="noConversion"/>
  </si>
  <si>
    <t>本金返还</t>
    <phoneticPr fontId="18" type="noConversion"/>
  </si>
  <si>
    <t>偿还额的分解：</t>
    <phoneticPr fontId="18" type="noConversion"/>
  </si>
  <si>
    <r>
      <rPr>
        <b/>
        <sz val="14"/>
        <color theme="1"/>
        <rFont val="等线"/>
        <family val="2"/>
        <charset val="134"/>
      </rPr>
      <t>简单终值</t>
    </r>
    <phoneticPr fontId="18" type="noConversion"/>
  </si>
  <si>
    <t>年初账户余额</t>
    <phoneticPr fontId="18" type="noConversion"/>
  </si>
  <si>
    <t>年内获得利息</t>
    <phoneticPr fontId="18" type="noConversion"/>
  </si>
  <si>
    <t>年末账户合计</t>
    <phoneticPr fontId="18" type="noConversion"/>
  </si>
  <si>
    <t>简便方法</t>
    <phoneticPr fontId="18" type="noConversion"/>
  </si>
  <si>
    <r>
      <rPr>
        <b/>
        <sz val="14"/>
        <color theme="1"/>
        <rFont val="等线"/>
        <family val="2"/>
        <charset val="134"/>
      </rPr>
      <t>每年存款的终值</t>
    </r>
    <phoneticPr fontId="18" type="noConversion"/>
  </si>
  <si>
    <t>年金存款</t>
    <phoneticPr fontId="18" type="noConversion"/>
  </si>
  <si>
    <t>存款期限</t>
    <phoneticPr fontId="18" type="noConversion"/>
  </si>
  <si>
    <t>从今年以及接下来9年年初</t>
    <phoneticPr fontId="18" type="noConversion"/>
  </si>
  <si>
    <t>账户年初余额</t>
    <phoneticPr fontId="18" type="noConversion"/>
  </si>
  <si>
    <t>每年初的存款</t>
    <phoneticPr fontId="18" type="noConversion"/>
  </si>
  <si>
    <t>获得的利息</t>
    <phoneticPr fontId="18" type="noConversion"/>
  </si>
  <si>
    <t>年末总的账户余额</t>
    <phoneticPr fontId="18" type="noConversion"/>
  </si>
  <si>
    <t>终值</t>
    <phoneticPr fontId="18" type="noConversion"/>
  </si>
  <si>
    <r>
      <rPr>
        <b/>
        <sz val="14"/>
        <color theme="1"/>
        <rFont val="等线"/>
        <family val="3"/>
        <charset val="134"/>
      </rPr>
      <t>一个退休金问题</t>
    </r>
    <phoneticPr fontId="18" type="noConversion"/>
  </si>
  <si>
    <t>每年存款</t>
    <phoneticPr fontId="18" type="noConversion"/>
  </si>
  <si>
    <t>每年提取退休金</t>
    <phoneticPr fontId="18" type="noConversion"/>
  </si>
  <si>
    <t>开始年度账面余额</t>
    <phoneticPr fontId="18" type="noConversion"/>
  </si>
  <si>
    <t>在每年初的存款</t>
    <phoneticPr fontId="18" type="noConversion"/>
  </si>
  <si>
    <t>年末总的账目余额</t>
    <phoneticPr fontId="18" type="noConversion"/>
  </si>
  <si>
    <t>用财务公示解决退休金问题</t>
    <phoneticPr fontId="18" type="noConversion"/>
  </si>
  <si>
    <t>每年取款</t>
    <phoneticPr fontId="18" type="noConversion"/>
  </si>
  <si>
    <t>取款年数</t>
    <phoneticPr fontId="18" type="noConversion"/>
  </si>
  <si>
    <t>存款年数</t>
    <phoneticPr fontId="18" type="noConversion"/>
  </si>
  <si>
    <t>取款现值汇总</t>
    <phoneticPr fontId="18" type="noConversion"/>
  </si>
  <si>
    <t>多个复利期</t>
    <phoneticPr fontId="18" type="noConversion"/>
  </si>
  <si>
    <t>初始存款</t>
    <phoneticPr fontId="18" type="noConversion"/>
  </si>
  <si>
    <t>每年付息次数</t>
    <phoneticPr fontId="18" type="noConversion"/>
  </si>
  <si>
    <t>每年支付的利息</t>
    <phoneticPr fontId="18" type="noConversion"/>
  </si>
  <si>
    <t>一年后的账户余额</t>
    <phoneticPr fontId="18" type="noConversion"/>
  </si>
  <si>
    <t>用Exp计算的连续复利账户余额</t>
    <phoneticPr fontId="18" type="noConversion"/>
  </si>
  <si>
    <t>每年复利次数</t>
    <phoneticPr fontId="18" type="noConversion"/>
  </si>
  <si>
    <t>每年底的本息</t>
    <phoneticPr fontId="18" type="noConversion"/>
  </si>
  <si>
    <r>
      <rPr>
        <b/>
        <sz val="14"/>
        <color theme="1"/>
        <rFont val="等线"/>
        <family val="2"/>
        <charset val="134"/>
      </rPr>
      <t>连续折现</t>
    </r>
    <phoneticPr fontId="18" type="noConversion"/>
  </si>
  <si>
    <t>连续折现的PV</t>
    <phoneticPr fontId="18" type="noConversion"/>
  </si>
  <si>
    <t>由价格计算收益</t>
    <phoneticPr fontId="18" type="noConversion"/>
  </si>
  <si>
    <t>年末余额</t>
    <phoneticPr fontId="18" type="noConversion"/>
  </si>
  <si>
    <t>连续复利的期数</t>
    <phoneticPr fontId="18" type="noConversion"/>
  </si>
  <si>
    <t>隐含的年利率</t>
    <phoneticPr fontId="18" type="noConversion"/>
  </si>
  <si>
    <t>连续收益率</t>
    <phoneticPr fontId="18" type="noConversion"/>
  </si>
  <si>
    <t>n个复利期时的年利率</t>
    <phoneticPr fontId="18" type="noConversion"/>
  </si>
  <si>
    <t>年利率</t>
    <phoneticPr fontId="18" type="noConversion"/>
  </si>
  <si>
    <r>
      <t>利用</t>
    </r>
    <r>
      <rPr>
        <b/>
        <sz val="14"/>
        <rFont val="Arial"/>
        <family val="2"/>
      </rPr>
      <t>XNPV</t>
    </r>
    <r>
      <rPr>
        <b/>
        <sz val="14"/>
        <rFont val="宋体"/>
        <family val="3"/>
        <charset val="134"/>
      </rPr>
      <t>计算净现值</t>
    </r>
    <phoneticPr fontId="30" type="noConversion"/>
  </si>
  <si>
    <t>年折现率</t>
    <phoneticPr fontId="30" type="noConversion"/>
  </si>
  <si>
    <t>日期</t>
    <phoneticPr fontId="30" type="noConversion"/>
  </si>
  <si>
    <t>现金流</t>
    <phoneticPr fontId="30" type="noConversion"/>
  </si>
  <si>
    <r>
      <t>利用</t>
    </r>
    <r>
      <rPr>
        <b/>
        <sz val="14"/>
        <rFont val="Arial"/>
        <family val="2"/>
      </rPr>
      <t>XIRR</t>
    </r>
    <r>
      <rPr>
        <b/>
        <sz val="14"/>
        <rFont val="宋体"/>
        <family val="3"/>
        <charset val="134"/>
      </rPr>
      <t>计算年化内部收益率</t>
    </r>
    <phoneticPr fontId="30" type="noConversion"/>
  </si>
  <si>
    <t>IRR</t>
  </si>
  <si>
    <r>
      <t>XNPV</t>
    </r>
    <r>
      <rPr>
        <b/>
        <sz val="14"/>
        <rFont val="宋体"/>
        <family val="3"/>
        <charset val="134"/>
      </rPr>
      <t>函数的问题</t>
    </r>
    <r>
      <rPr>
        <b/>
        <sz val="14"/>
        <rFont val="Arial"/>
        <family val="2"/>
      </rPr>
      <t xml:space="preserve">
</t>
    </r>
    <r>
      <rPr>
        <b/>
        <sz val="12"/>
        <rFont val="Arial"/>
        <family val="2"/>
      </rPr>
      <t xml:space="preserve">XNPV </t>
    </r>
    <r>
      <rPr>
        <b/>
        <sz val="12"/>
        <rFont val="宋体"/>
        <family val="3"/>
        <charset val="134"/>
      </rPr>
      <t>不适用于折现率为零或者负数的情况</t>
    </r>
    <phoneticPr fontId="35" type="noConversion"/>
  </si>
  <si>
    <t>折现率</t>
    <phoneticPr fontId="35" type="noConversion"/>
  </si>
  <si>
    <t>净现值</t>
    <phoneticPr fontId="35" type="noConversion"/>
  </si>
  <si>
    <t>日期</t>
    <phoneticPr fontId="35" type="noConversion"/>
  </si>
  <si>
    <t>现金流</t>
    <phoneticPr fontId="35" type="noConversion"/>
  </si>
  <si>
    <r>
      <t>XIRR</t>
    </r>
    <r>
      <rPr>
        <b/>
        <sz val="14"/>
        <rFont val="宋体"/>
        <family val="3"/>
        <charset val="134"/>
      </rPr>
      <t>函数的问题</t>
    </r>
    <phoneticPr fontId="35" type="noConversion"/>
  </si>
  <si>
    <t>模拟运算表：XNPV作为折现率的函数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</si>
</sst>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#,##0.0000_ "/>
    <numFmt numFmtId="177" formatCode="#,##0.00_ "/>
    <numFmt numFmtId="178" formatCode="#,##0.0000_);[Red]\(#,##0.0000\)"/>
    <numFmt numFmtId="179" formatCode="0.0000_ "/>
    <numFmt numFmtId="180" formatCode="0.000%"/>
    <numFmt numFmtId="181" formatCode=";;"/>
    <numFmt numFmtId="182" formatCode="#,##0_ "/>
    <numFmt numFmtId="183" formatCode="#,##0.00_);[Red]\(#,##0.00\)"/>
    <numFmt numFmtId="184" formatCode="0.0000%"/>
    <numFmt numFmtId="185" formatCode="0.0000"/>
    <numFmt numFmtId="186" formatCode="yyyy/m/d;@"/>
  </numFmts>
  <fonts count="3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Arial"/>
      <family val="2"/>
    </font>
    <font>
      <b/>
      <sz val="14"/>
      <color theme="1"/>
      <name val="等线"/>
      <family val="2"/>
      <charset val="134"/>
    </font>
    <font>
      <b/>
      <sz val="12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b/>
      <sz val="14"/>
      <color theme="1"/>
      <name val="等线"/>
      <family val="3"/>
      <charset val="134"/>
      <scheme val="minor"/>
    </font>
    <font>
      <sz val="10"/>
      <name val="Arial"/>
      <family val="2"/>
    </font>
    <font>
      <b/>
      <sz val="14"/>
      <name val="宋体"/>
      <family val="3"/>
      <charset val="134"/>
    </font>
    <font>
      <b/>
      <sz val="14"/>
      <name val="Arial"/>
      <family val="2"/>
    </font>
    <font>
      <sz val="8"/>
      <name val="Arial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7" fillId="0" borderId="0"/>
    <xf numFmtId="0" fontId="27" fillId="0" borderId="0"/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3" borderId="0" xfId="0" applyFill="1">
      <alignment vertical="center"/>
    </xf>
    <xf numFmtId="176" fontId="0" fillId="33" borderId="0" xfId="0" applyNumberForma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34" borderId="0" xfId="0" applyFill="1" applyAlignment="1">
      <alignment horizontal="left" vertical="center" indent="2"/>
    </xf>
    <xf numFmtId="0" fontId="0" fillId="34" borderId="0" xfId="0" applyFill="1">
      <alignment vertical="center"/>
    </xf>
    <xf numFmtId="10" fontId="0" fillId="34" borderId="0" xfId="0" applyNumberFormat="1" applyFill="1">
      <alignment vertical="center"/>
    </xf>
    <xf numFmtId="176" fontId="0" fillId="34" borderId="0" xfId="0" applyNumberFormat="1" applyFill="1">
      <alignment vertical="center"/>
    </xf>
    <xf numFmtId="179" fontId="0" fillId="0" borderId="0" xfId="0" applyNumberFormat="1">
      <alignment vertical="center"/>
    </xf>
    <xf numFmtId="180" fontId="0" fillId="34" borderId="0" xfId="0" applyNumberFormat="1" applyFill="1">
      <alignment vertical="center"/>
    </xf>
    <xf numFmtId="178" fontId="0" fillId="34" borderId="0" xfId="0" applyNumberFormat="1" applyFill="1">
      <alignment vertical="center"/>
    </xf>
    <xf numFmtId="0" fontId="22" fillId="0" borderId="0" xfId="0" applyFont="1">
      <alignment vertical="center"/>
    </xf>
    <xf numFmtId="10" fontId="0" fillId="0" borderId="0" xfId="0" applyNumberFormat="1" applyAlignment="1">
      <alignment horizontal="center" vertical="center"/>
    </xf>
    <xf numFmtId="181" fontId="0" fillId="0" borderId="0" xfId="0" applyNumberFormat="1">
      <alignment vertical="center"/>
    </xf>
    <xf numFmtId="177" fontId="0" fillId="34" borderId="0" xfId="0" applyNumberFormat="1" applyFill="1">
      <alignment vertical="center"/>
    </xf>
    <xf numFmtId="9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78" fontId="0" fillId="0" borderId="0" xfId="0" applyNumberFormat="1" applyAlignment="1">
      <alignment horizontal="right" vertical="center"/>
    </xf>
    <xf numFmtId="181" fontId="0" fillId="0" borderId="0" xfId="0" applyNumberFormat="1" applyAlignment="1">
      <alignment horizontal="right" vertical="center"/>
    </xf>
    <xf numFmtId="184" fontId="0" fillId="34" borderId="0" xfId="0" applyNumberFormat="1" applyFill="1">
      <alignment vertical="center"/>
    </xf>
    <xf numFmtId="0" fontId="27" fillId="0" borderId="0" xfId="42" applyAlignment="1">
      <alignment horizontal="center" vertical="center" wrapText="1"/>
    </xf>
    <xf numFmtId="0" fontId="31" fillId="0" borderId="0" xfId="42" applyFont="1" applyAlignment="1">
      <alignment horizontal="center" vertical="center" wrapText="1"/>
    </xf>
    <xf numFmtId="9" fontId="27" fillId="0" borderId="0" xfId="42" applyNumberFormat="1" applyAlignment="1">
      <alignment horizontal="center" vertical="center" wrapText="1"/>
    </xf>
    <xf numFmtId="0" fontId="32" fillId="0" borderId="0" xfId="42" applyFont="1" applyAlignment="1">
      <alignment horizontal="center"/>
    </xf>
    <xf numFmtId="0" fontId="27" fillId="0" borderId="0" xfId="42"/>
    <xf numFmtId="14" fontId="27" fillId="0" borderId="0" xfId="42" applyNumberFormat="1" applyAlignment="1">
      <alignment horizontal="center"/>
    </xf>
    <xf numFmtId="3" fontId="27" fillId="0" borderId="0" xfId="42" applyNumberFormat="1"/>
    <xf numFmtId="14" fontId="27" fillId="34" borderId="0" xfId="42" applyNumberFormat="1" applyFill="1" applyAlignment="1">
      <alignment horizontal="center"/>
    </xf>
    <xf numFmtId="10" fontId="27" fillId="34" borderId="0" xfId="42" applyNumberFormat="1" applyFill="1"/>
    <xf numFmtId="0" fontId="31" fillId="0" borderId="0" xfId="43" applyFont="1"/>
    <xf numFmtId="10" fontId="27" fillId="0" borderId="0" xfId="43" applyNumberFormat="1"/>
    <xf numFmtId="0" fontId="27" fillId="0" borderId="0" xfId="43"/>
    <xf numFmtId="0" fontId="32" fillId="0" borderId="0" xfId="43" applyFont="1" applyAlignment="1">
      <alignment horizontal="center"/>
    </xf>
    <xf numFmtId="186" fontId="27" fillId="0" borderId="0" xfId="43" applyNumberFormat="1" applyAlignment="1">
      <alignment horizontal="center"/>
    </xf>
    <xf numFmtId="3" fontId="27" fillId="0" borderId="0" xfId="43" applyNumberFormat="1"/>
    <xf numFmtId="0" fontId="31" fillId="34" borderId="0" xfId="43" applyFont="1" applyFill="1"/>
    <xf numFmtId="185" fontId="27" fillId="34" borderId="0" xfId="43" applyNumberFormat="1" applyFill="1"/>
    <xf numFmtId="0" fontId="27" fillId="34" borderId="0" xfId="43" applyFill="1"/>
    <xf numFmtId="4" fontId="27" fillId="34" borderId="0" xfId="43" applyNumberFormat="1" applyFill="1"/>
    <xf numFmtId="179" fontId="27" fillId="0" borderId="0" xfId="43" applyNumberForma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8" fillId="0" borderId="0" xfId="42" applyFont="1" applyAlignment="1">
      <alignment horizontal="center" vertical="center" wrapText="1"/>
    </xf>
    <xf numFmtId="0" fontId="27" fillId="0" borderId="0" xfId="42" applyAlignment="1">
      <alignment horizontal="center" vertical="center" wrapText="1"/>
    </xf>
    <xf numFmtId="0" fontId="29" fillId="0" borderId="0" xfId="43" applyFont="1" applyAlignment="1">
      <alignment horizontal="center" vertical="center" wrapText="1"/>
    </xf>
    <xf numFmtId="0" fontId="29" fillId="0" borderId="0" xfId="43" applyFont="1" applyAlignment="1">
      <alignment horizont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3" xr:uid="{975CD8EC-930E-43DB-A1CF-07B9D38CCA4C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490D70C2-C226-4FEF-8791-CFAD8E8DD7E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两个</a:t>
            </a:r>
            <a:r>
              <a:rPr lang="en-US" altLang="zh-CN"/>
              <a:t>IRR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39076993396956"/>
          <c:y val="0.13872703412073492"/>
          <c:w val="0.7808747628947702"/>
          <c:h val="0.7198377806940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Sheet10!$I$4</c:f>
              <c:strCache>
                <c:ptCount val="1"/>
                <c:pt idx="0">
                  <c:v>净现值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Sheet10!$H$5:$H$19</c:f>
              <c:numCache>
                <c:formatCode>0.00%</c:formatCode>
                <c:ptCount val="15"/>
                <c:pt idx="1">
                  <c:v>0</c:v>
                </c:pt>
                <c:pt idx="2">
                  <c:v>0.03</c:v>
                </c:pt>
                <c:pt idx="3">
                  <c:v>0.06</c:v>
                </c:pt>
                <c:pt idx="4">
                  <c:v>0.09</c:v>
                </c:pt>
                <c:pt idx="5">
                  <c:v>0.12</c:v>
                </c:pt>
                <c:pt idx="6">
                  <c:v>0.15</c:v>
                </c:pt>
                <c:pt idx="7">
                  <c:v>0.18</c:v>
                </c:pt>
                <c:pt idx="8">
                  <c:v>0.21</c:v>
                </c:pt>
                <c:pt idx="9">
                  <c:v>0.24</c:v>
                </c:pt>
                <c:pt idx="10">
                  <c:v>0.27</c:v>
                </c:pt>
                <c:pt idx="11">
                  <c:v>0.3</c:v>
                </c:pt>
                <c:pt idx="12">
                  <c:v>0.33</c:v>
                </c:pt>
                <c:pt idx="13">
                  <c:v>0.36</c:v>
                </c:pt>
                <c:pt idx="14">
                  <c:v>0.39</c:v>
                </c:pt>
              </c:numCache>
            </c:numRef>
          </c:xVal>
          <c:yVal>
            <c:numRef>
              <c:f>Sheet10!$I$5:$I$19</c:f>
              <c:numCache>
                <c:formatCode>0.0000_ </c:formatCode>
                <c:ptCount val="15"/>
                <c:pt idx="0" formatCode=";;">
                  <c:v>-3.9854362682000044</c:v>
                </c:pt>
                <c:pt idx="1">
                  <c:v>-20</c:v>
                </c:pt>
                <c:pt idx="2">
                  <c:v>-10.507575424608092</c:v>
                </c:pt>
                <c:pt idx="3">
                  <c:v>-3.9854362682000044</c:v>
                </c:pt>
                <c:pt idx="4">
                  <c:v>0.24085647329212634</c:v>
                </c:pt>
                <c:pt idx="5">
                  <c:v>2.6925493400257778</c:v>
                </c:pt>
                <c:pt idx="6">
                  <c:v>3.7742340642815009</c:v>
                </c:pt>
                <c:pt idx="7">
                  <c:v>3.8011460077677839</c:v>
                </c:pt>
                <c:pt idx="8">
                  <c:v>3.0197000689104811</c:v>
                </c:pt>
                <c:pt idx="9">
                  <c:v>1.6230390485557962</c:v>
                </c:pt>
                <c:pt idx="10">
                  <c:v>-0.237122901511583</c:v>
                </c:pt>
                <c:pt idx="11">
                  <c:v>-2.4414276595572915</c:v>
                </c:pt>
                <c:pt idx="12">
                  <c:v>-4.895886047904952</c:v>
                </c:pt>
                <c:pt idx="13">
                  <c:v>-7.5264699851816204</c:v>
                </c:pt>
                <c:pt idx="14">
                  <c:v>-10.274907341794687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6D-4835-B862-A8CCC9ED4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642432"/>
        <c:axId val="1915648192"/>
      </c:scatterChart>
      <c:valAx>
        <c:axId val="1915642432"/>
        <c:scaling>
          <c:orientation val="minMax"/>
          <c:max val="0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折现率</a:t>
                </a:r>
              </a:p>
            </c:rich>
          </c:tx>
          <c:layout>
            <c:manualLayout>
              <c:xMode val="edge"/>
              <c:yMode val="edge"/>
              <c:x val="0.4283667979002625"/>
              <c:y val="0.43263888888888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5648192"/>
        <c:crosses val="autoZero"/>
        <c:crossBetween val="midCat"/>
        <c:majorUnit val="0.1"/>
      </c:valAx>
      <c:valAx>
        <c:axId val="1915648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净现值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zh-CN"/>
            </a:p>
          </c:txPr>
        </c:title>
        <c:numFmt formatCode="#,##0.0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564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债券现金流量的</a:t>
            </a:r>
            <a:r>
              <a:rPr lang="en-US" altLang="zh-CN"/>
              <a:t>NPV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Sheet11!$G$5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Sheet11!$F$6:$F$16</c:f>
              <c:numCache>
                <c:formatCode>0.00%</c:formatCode>
                <c:ptCount val="1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</c:numCache>
            </c:numRef>
          </c:xVal>
          <c:yVal>
            <c:numRef>
              <c:f>Sheet11!$G$6:$G$16</c:f>
              <c:numCache>
                <c:formatCode>#,##0.00_ </c:formatCode>
                <c:ptCount val="11"/>
                <c:pt idx="0">
                  <c:v>1000</c:v>
                </c:pt>
                <c:pt idx="1">
                  <c:v>786.03851523955382</c:v>
                </c:pt>
                <c:pt idx="2">
                  <c:v>603.96469249702341</c:v>
                </c:pt>
                <c:pt idx="3">
                  <c:v>448.39175243878162</c:v>
                </c:pt>
                <c:pt idx="4">
                  <c:v>314.93277887450563</c:v>
                </c:pt>
                <c:pt idx="5">
                  <c:v>199.99999999999955</c:v>
                </c:pt>
                <c:pt idx="6">
                  <c:v>100.64720466322774</c:v>
                </c:pt>
                <c:pt idx="7">
                  <c:v>14.445444243074121</c:v>
                </c:pt>
                <c:pt idx="8">
                  <c:v>-60.615453700742364</c:v>
                </c:pt>
                <c:pt idx="9">
                  <c:v>-126.20526056422</c:v>
                </c:pt>
                <c:pt idx="10">
                  <c:v>-183.71598031931103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2B-4597-BF6A-B6DC541EB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597120"/>
        <c:axId val="1763595680"/>
      </c:scatterChart>
      <c:valAx>
        <c:axId val="176359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折现率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3595680"/>
        <c:crosses val="autoZero"/>
        <c:crossBetween val="midCat"/>
      </c:valAx>
      <c:valAx>
        <c:axId val="17635956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NPV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 altLang="en-US"/>
            </a:p>
          </c:txPr>
        </c:title>
        <c:numFmt formatCode="#,##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359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多个复利计算期数的结果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Sheet16!$A$13:$A$21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300</c:v>
                </c:pt>
                <c:pt idx="8">
                  <c:v>800</c:v>
                </c:pt>
              </c:numCache>
            </c:numRef>
          </c:xVal>
          <c:yVal>
            <c:numRef>
              <c:f>Sheet16!$B$13:$B$21</c:f>
              <c:numCache>
                <c:formatCode>#,##0.0000_);[Red]\(#,##0.0000\)</c:formatCode>
                <c:ptCount val="9"/>
                <c:pt idx="0">
                  <c:v>1050</c:v>
                </c:pt>
                <c:pt idx="1">
                  <c:v>1050.625</c:v>
                </c:pt>
                <c:pt idx="2">
                  <c:v>1051.1401320407892</c:v>
                </c:pt>
                <c:pt idx="3">
                  <c:v>1051.2055032813846</c:v>
                </c:pt>
                <c:pt idx="4">
                  <c:v>1051.244832434744</c:v>
                </c:pt>
                <c:pt idx="5">
                  <c:v>1051.2579599480462</c:v>
                </c:pt>
                <c:pt idx="6">
                  <c:v>1051.2623377663551</c:v>
                </c:pt>
                <c:pt idx="7">
                  <c:v>1051.2667165755583</c:v>
                </c:pt>
                <c:pt idx="8">
                  <c:v>1051.2694538347121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A-46F2-BD13-B84F5EBCD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93616"/>
        <c:axId val="163802256"/>
      </c:scatterChart>
      <c:valAx>
        <c:axId val="16379361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每年利息次数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802256"/>
        <c:crosses val="autoZero"/>
        <c:crossBetween val="midCat"/>
      </c:valAx>
      <c:valAx>
        <c:axId val="16380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年底增长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.0000_);[Red]\(#,##0.0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79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XNPV</a:t>
            </a:r>
            <a:r>
              <a:rPr lang="zh-CN" altLang="en-US"/>
              <a:t>作为折现率的函数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Sheet22!$F$6:$F$23</c:f>
              <c:numCache>
                <c:formatCode>0.00%</c:formatCode>
                <c:ptCount val="18"/>
                <c:pt idx="0">
                  <c:v>1E-3</c:v>
                </c:pt>
                <c:pt idx="1">
                  <c:v>2.5000000000000001E-2</c:v>
                </c:pt>
                <c:pt idx="2">
                  <c:v>4.9000000000000002E-2</c:v>
                </c:pt>
                <c:pt idx="3">
                  <c:v>7.2999999999999995E-2</c:v>
                </c:pt>
                <c:pt idx="4">
                  <c:v>9.7000000000000003E-2</c:v>
                </c:pt>
                <c:pt idx="5">
                  <c:v>0.121</c:v>
                </c:pt>
                <c:pt idx="6">
                  <c:v>0.14499999999999999</c:v>
                </c:pt>
                <c:pt idx="7">
                  <c:v>0.16900000000000001</c:v>
                </c:pt>
                <c:pt idx="8">
                  <c:v>0.193</c:v>
                </c:pt>
                <c:pt idx="9">
                  <c:v>0.217</c:v>
                </c:pt>
                <c:pt idx="10">
                  <c:v>0.24099999999999999</c:v>
                </c:pt>
                <c:pt idx="11">
                  <c:v>0.26500000000000001</c:v>
                </c:pt>
                <c:pt idx="12">
                  <c:v>0.28899999999999998</c:v>
                </c:pt>
                <c:pt idx="13">
                  <c:v>0.313</c:v>
                </c:pt>
                <c:pt idx="14">
                  <c:v>0.33700000000000002</c:v>
                </c:pt>
                <c:pt idx="15">
                  <c:v>0.36099999999999999</c:v>
                </c:pt>
                <c:pt idx="16">
                  <c:v>0.38500000000000001</c:v>
                </c:pt>
                <c:pt idx="17">
                  <c:v>0.40899999999999997</c:v>
                </c:pt>
              </c:numCache>
            </c:numRef>
          </c:xVal>
          <c:yVal>
            <c:numRef>
              <c:f>Sheet22!$G$6:$G$23</c:f>
              <c:numCache>
                <c:formatCode>#,##0.0000_ </c:formatCode>
                <c:ptCount val="18"/>
                <c:pt idx="0">
                  <c:v>-97.366433866481884</c:v>
                </c:pt>
                <c:pt idx="1">
                  <c:v>-42.752588461809637</c:v>
                </c:pt>
                <c:pt idx="2">
                  <c:v>-2.310474758705368</c:v>
                </c:pt>
                <c:pt idx="3">
                  <c:v>26.837075854900831</c:v>
                </c:pt>
                <c:pt idx="4">
                  <c:v>46.983277802916746</c:v>
                </c:pt>
                <c:pt idx="5">
                  <c:v>59.961258361210639</c:v>
                </c:pt>
                <c:pt idx="6">
                  <c:v>67.240176253293043</c:v>
                </c:pt>
                <c:pt idx="7">
                  <c:v>70.00016374391646</c:v>
                </c:pt>
                <c:pt idx="8">
                  <c:v>69.19102187217868</c:v>
                </c:pt>
                <c:pt idx="9">
                  <c:v>65.578387895134142</c:v>
                </c:pt>
                <c:pt idx="10">
                  <c:v>59.78019616595418</c:v>
                </c:pt>
                <c:pt idx="11">
                  <c:v>52.295583830152623</c:v>
                </c:pt>
                <c:pt idx="12">
                  <c:v>43.527890164868666</c:v>
                </c:pt>
                <c:pt idx="13">
                  <c:v>33.8030192950215</c:v>
                </c:pt>
                <c:pt idx="14">
                  <c:v>23.384148582167313</c:v>
                </c:pt>
                <c:pt idx="15">
                  <c:v>12.483545956100727</c:v>
                </c:pt>
                <c:pt idx="16">
                  <c:v>1.2720917685055042</c:v>
                </c:pt>
                <c:pt idx="17">
                  <c:v>-10.113028226149225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B9-45A2-8BF8-9C45CE518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619680"/>
        <c:axId val="636600960"/>
      </c:scatterChart>
      <c:valAx>
        <c:axId val="63661968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6600960"/>
        <c:crosses val="autoZero"/>
        <c:crossBetween val="midCat"/>
      </c:valAx>
      <c:valAx>
        <c:axId val="636600960"/>
        <c:scaling>
          <c:orientation val="minMax"/>
        </c:scaling>
        <c:delete val="0"/>
        <c:axPos val="l"/>
        <c:numFmt formatCode="#,##0.00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661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347663</xdr:colOff>
      <xdr:row>15</xdr:row>
      <xdr:rowOff>80963</xdr:rowOff>
    </xdr:from>
    <xdr:to>
      <xdr:col>1</xdr:col>
      <xdr:colOff>280988</xdr:colOff>
      <xdr:row>21</xdr:row>
      <xdr:rowOff>100013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CEC8D5FD-989D-A2D2-9FDD-E5A397A2C8FA}"/>
            </a:ext>
          </a:extLst>
        </xdr:cNvPr>
        <xdr:cNvCxnSpPr/>
      </xdr:nvCxnSpPr>
      <xdr:spPr>
        <a:xfrm flipV="1">
          <a:off x="347663" y="3109913"/>
          <a:ext cx="1676400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633413</xdr:colOff>
      <xdr:row>15</xdr:row>
      <xdr:rowOff>114300</xdr:rowOff>
    </xdr:from>
    <xdr:to>
      <xdr:col>3</xdr:col>
      <xdr:colOff>304800</xdr:colOff>
      <xdr:row>22</xdr:row>
      <xdr:rowOff>47625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E932B50A-3C1E-55F2-70BC-EAAB05774680}"/>
            </a:ext>
          </a:extLst>
        </xdr:cNvPr>
        <xdr:cNvCxnSpPr/>
      </xdr:nvCxnSpPr>
      <xdr:spPr>
        <a:xfrm flipV="1">
          <a:off x="2376488" y="3143250"/>
          <a:ext cx="1428750" cy="1166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709613</xdr:colOff>
      <xdr:row>19</xdr:row>
      <xdr:rowOff>157163</xdr:rowOff>
    </xdr:from>
    <xdr:to>
      <xdr:col>3</xdr:col>
      <xdr:colOff>171450</xdr:colOff>
      <xdr:row>22</xdr:row>
      <xdr:rowOff>28575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A13F8FDD-715B-536E-275D-265BA46DF4E7}"/>
            </a:ext>
          </a:extLst>
        </xdr:cNvPr>
        <xdr:cNvCxnSpPr/>
      </xdr:nvCxnSpPr>
      <xdr:spPr>
        <a:xfrm flipH="1" flipV="1">
          <a:off x="2452688" y="3890963"/>
          <a:ext cx="12192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500063</xdr:colOff>
      <xdr:row>3</xdr:row>
      <xdr:rowOff>85724</xdr:rowOff>
    </xdr:from>
    <xdr:to>
      <xdr:col>4</xdr:col>
      <xdr:colOff>747713</xdr:colOff>
      <xdr:row>5</xdr:row>
      <xdr:rowOff>61912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DD718427-B41B-0DBB-77F8-FCFA6A288C16}"/>
            </a:ext>
          </a:extLst>
        </xdr:cNvPr>
        <xdr:cNvCxnSpPr/>
      </xdr:nvCxnSpPr>
      <xdr:spPr>
        <a:xfrm flipH="1">
          <a:off x="3076576" y="661987"/>
          <a:ext cx="957262" cy="3286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252413</xdr:colOff>
      <xdr:row>6</xdr:row>
      <xdr:rowOff>90488</xdr:rowOff>
    </xdr:from>
    <xdr:to>
      <xdr:col>1</xdr:col>
      <xdr:colOff>266700</xdr:colOff>
      <xdr:row>12</xdr:row>
      <xdr:rowOff>4763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A6DDEAA6-F386-D12A-89E4-20A4BFFA1A01}"/>
            </a:ext>
          </a:extLst>
        </xdr:cNvPr>
        <xdr:cNvCxnSpPr/>
      </xdr:nvCxnSpPr>
      <xdr:spPr>
        <a:xfrm flipV="1">
          <a:off x="252413" y="1195388"/>
          <a:ext cx="933450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173830</xdr:rowOff>
    </xdr:from>
    <xdr:to>
      <xdr:col>6</xdr:col>
      <xdr:colOff>631030</xdr:colOff>
      <xdr:row>32</xdr:row>
      <xdr:rowOff>97630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5C96819-6961-C28F-0E89-064FDAE94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254793</xdr:colOff>
      <xdr:row>16</xdr:row>
      <xdr:rowOff>169068</xdr:rowOff>
    </xdr:from>
    <xdr:to>
      <xdr:col>8</xdr:col>
      <xdr:colOff>292893</xdr:colOff>
      <xdr:row>32</xdr:row>
      <xdr:rowOff>92868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F9351FB-AEB8-957E-934F-B3F037B5C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4</xdr:row>
      <xdr:rowOff>109538</xdr:rowOff>
    </xdr:from>
    <xdr:to>
      <xdr:col>5</xdr:col>
      <xdr:colOff>623888</xdr:colOff>
      <xdr:row>7</xdr:row>
      <xdr:rowOff>576262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B712085A-B227-C6AF-01C9-CD67F65BCB9C}"/>
            </a:ext>
          </a:extLst>
        </xdr:cNvPr>
        <xdr:cNvCxnSpPr/>
      </xdr:nvCxnSpPr>
      <xdr:spPr>
        <a:xfrm flipH="1">
          <a:off x="4143375" y="1014413"/>
          <a:ext cx="919163" cy="9953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1114425</xdr:colOff>
      <xdr:row>5</xdr:row>
      <xdr:rowOff>100013</xdr:rowOff>
    </xdr:from>
    <xdr:to>
      <xdr:col>2</xdr:col>
      <xdr:colOff>309563</xdr:colOff>
      <xdr:row>16</xdr:row>
      <xdr:rowOff>33338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AE416A1F-BB9B-74E3-FC64-AE24C42394F2}"/>
            </a:ext>
          </a:extLst>
        </xdr:cNvPr>
        <xdr:cNvCxnSpPr/>
      </xdr:nvCxnSpPr>
      <xdr:spPr>
        <a:xfrm>
          <a:off x="1762125" y="1419226"/>
          <a:ext cx="338138" cy="18716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309563</xdr:colOff>
      <xdr:row>4</xdr:row>
      <xdr:rowOff>95250</xdr:rowOff>
    </xdr:from>
    <xdr:to>
      <xdr:col>1</xdr:col>
      <xdr:colOff>623888</xdr:colOff>
      <xdr:row>7</xdr:row>
      <xdr:rowOff>95250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B646FFA4-93F4-0645-82C7-4E57BDCAFE0C}"/>
            </a:ext>
          </a:extLst>
        </xdr:cNvPr>
        <xdr:cNvCxnSpPr/>
      </xdr:nvCxnSpPr>
      <xdr:spPr>
        <a:xfrm>
          <a:off x="1719263" y="1095375"/>
          <a:ext cx="314325" cy="5286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423863</xdr:colOff>
      <xdr:row>11</xdr:row>
      <xdr:rowOff>133350</xdr:rowOff>
    </xdr:from>
    <xdr:to>
      <xdr:col>2</xdr:col>
      <xdr:colOff>414338</xdr:colOff>
      <xdr:row>20</xdr:row>
      <xdr:rowOff>4762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CA58043C-737E-6A35-0CC5-3F1A29C54819}"/>
            </a:ext>
          </a:extLst>
        </xdr:cNvPr>
        <xdr:cNvCxnSpPr/>
      </xdr:nvCxnSpPr>
      <xdr:spPr>
        <a:xfrm flipV="1">
          <a:off x="1947863" y="2228850"/>
          <a:ext cx="1181100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7</xdr:row>
      <xdr:rowOff>85726</xdr:rowOff>
    </xdr:from>
    <xdr:to>
      <xdr:col>1</xdr:col>
      <xdr:colOff>371475</xdr:colOff>
      <xdr:row>20</xdr:row>
      <xdr:rowOff>14288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5EC931FE-9D46-4BD2-F423-82343C04501D}"/>
            </a:ext>
          </a:extLst>
        </xdr:cNvPr>
        <xdr:cNvCxnSpPr/>
      </xdr:nvCxnSpPr>
      <xdr:spPr>
        <a:xfrm flipV="1">
          <a:off x="219075" y="1476376"/>
          <a:ext cx="1676400" cy="2219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597693</xdr:colOff>
      <xdr:row>9</xdr:row>
      <xdr:rowOff>2380</xdr:rowOff>
    </xdr:from>
    <xdr:to>
      <xdr:col>11</xdr:col>
      <xdr:colOff>635793</xdr:colOff>
      <xdr:row>24</xdr:row>
      <xdr:rowOff>102393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961F8C0-DB03-CB30-1B3C-6A500FEE1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440531</xdr:colOff>
      <xdr:row>6</xdr:row>
      <xdr:rowOff>30956</xdr:rowOff>
    </xdr:from>
    <xdr:to>
      <xdr:col>15</xdr:col>
      <xdr:colOff>478631</xdr:colOff>
      <xdr:row>21</xdr:row>
      <xdr:rowOff>130968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2774154-FD9D-563C-CFEA-DB2F6CCA7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1C1C-E993-4686-BF7A-8EB9BED050D5}">
  <dimension ref="A1:D14"/>
  <sheetViews>
    <sheetView tabSelected="1" workbookViewId="0">
      <selection activeCell="J27" sqref="J27"/>
    </sheetView>
  </sheetViews>
  <sheetFormatPr defaultRowHeight="13.9" x14ac:dyDescent="0.4"/>
  <cols>
    <col min="1" max="1" width="22.86328125" customWidth="1"/>
  </cols>
  <sheetData>
    <row r="1" spans="1:4" ht="17.649999999999999" x14ac:dyDescent="0.4">
      <c r="A1" s="48" t="s">
        <v>0</v>
      </c>
      <c r="B1" s="48"/>
      <c r="C1" s="48"/>
      <c r="D1" s="48"/>
    </row>
    <row r="2" spans="1:4" x14ac:dyDescent="0.4">
      <c r="A2" t="s">
        <v>1</v>
      </c>
      <c r="B2" s="2">
        <v>0.1</v>
      </c>
    </row>
    <row r="4" spans="1:4" x14ac:dyDescent="0.4">
      <c r="A4" s="1" t="s">
        <v>2</v>
      </c>
      <c r="B4" s="1" t="s">
        <v>3</v>
      </c>
      <c r="C4" s="1" t="s">
        <v>4</v>
      </c>
    </row>
    <row r="5" spans="1:4" x14ac:dyDescent="0.4">
      <c r="A5" s="1">
        <v>1</v>
      </c>
      <c r="B5">
        <v>100</v>
      </c>
      <c r="C5" s="3">
        <f>B5/(1+$B$2)^A5</f>
        <v>90.909090909090907</v>
      </c>
      <c r="D5" t="str">
        <f ca="1">_xlfn.FORMULATEXT(C5)</f>
        <v>=B5/(1+$B$2)^A5</v>
      </c>
    </row>
    <row r="6" spans="1:4" x14ac:dyDescent="0.4">
      <c r="A6" s="1">
        <v>2</v>
      </c>
      <c r="B6">
        <v>100</v>
      </c>
      <c r="C6" s="3">
        <f t="shared" ref="C6:C9" si="0">B6/(1+$B$2)^A6</f>
        <v>82.644628099173545</v>
      </c>
      <c r="D6" t="str">
        <f t="shared" ref="D6:D9" ca="1" si="1">_xlfn.FORMULATEXT(C6)</f>
        <v>=B6/(1+$B$2)^A6</v>
      </c>
    </row>
    <row r="7" spans="1:4" x14ac:dyDescent="0.4">
      <c r="A7" s="1">
        <v>3</v>
      </c>
      <c r="B7">
        <v>100</v>
      </c>
      <c r="C7" s="3">
        <f t="shared" si="0"/>
        <v>75.131480090157751</v>
      </c>
      <c r="D7" t="str">
        <f t="shared" ca="1" si="1"/>
        <v>=B7/(1+$B$2)^A7</v>
      </c>
    </row>
    <row r="8" spans="1:4" x14ac:dyDescent="0.4">
      <c r="A8" s="1">
        <v>4</v>
      </c>
      <c r="B8">
        <v>100</v>
      </c>
      <c r="C8" s="3">
        <f t="shared" si="0"/>
        <v>68.301345536507057</v>
      </c>
      <c r="D8" t="str">
        <f t="shared" ca="1" si="1"/>
        <v>=B8/(1+$B$2)^A8</v>
      </c>
    </row>
    <row r="9" spans="1:4" x14ac:dyDescent="0.4">
      <c r="A9" s="1">
        <v>5</v>
      </c>
      <c r="B9">
        <v>100</v>
      </c>
      <c r="C9" s="3">
        <f t="shared" si="0"/>
        <v>62.092132305915499</v>
      </c>
      <c r="D9" t="str">
        <f t="shared" ca="1" si="1"/>
        <v>=B9/(1+$B$2)^A9</v>
      </c>
    </row>
    <row r="11" spans="1:4" x14ac:dyDescent="0.4">
      <c r="A11" t="s">
        <v>5</v>
      </c>
    </row>
    <row r="12" spans="1:4" x14ac:dyDescent="0.4">
      <c r="A12" s="4" t="s">
        <v>6</v>
      </c>
      <c r="B12" s="5">
        <f>SUM(C5:C9)</f>
        <v>379.07867694084473</v>
      </c>
      <c r="C12" t="str">
        <f ca="1">_xlfn.FORMULATEXT(B12)</f>
        <v>=SUM(C5:C9)</v>
      </c>
    </row>
    <row r="13" spans="1:4" x14ac:dyDescent="0.4">
      <c r="A13" s="4" t="s">
        <v>7</v>
      </c>
      <c r="B13" s="5">
        <f>NPV(B2,B5:B9)</f>
        <v>379.07867694084473</v>
      </c>
      <c r="C13" t="str">
        <f t="shared" ref="C13:C14" ca="1" si="2">_xlfn.FORMULATEXT(B13)</f>
        <v>=NPV(B2,B5:B9)</v>
      </c>
    </row>
    <row r="14" spans="1:4" x14ac:dyDescent="0.4">
      <c r="A14" s="4" t="s">
        <v>8</v>
      </c>
      <c r="B14" s="5">
        <f>PV(B2,5,-100)</f>
        <v>379.07867694084507</v>
      </c>
      <c r="C14" t="str">
        <f t="shared" ca="1" si="2"/>
        <v>=PV(B2,5,-100)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F14F-F03D-4132-9468-CD6D2291322B}">
  <dimension ref="A1:D14"/>
  <sheetViews>
    <sheetView workbookViewId="0">
      <selection activeCell="C30" sqref="C30"/>
    </sheetView>
  </sheetViews>
  <sheetFormatPr defaultRowHeight="13.9" x14ac:dyDescent="0.4"/>
  <cols>
    <col min="1" max="1" width="22.86328125" customWidth="1"/>
    <col min="2" max="2" width="10.46484375" bestFit="1" customWidth="1"/>
  </cols>
  <sheetData>
    <row r="1" spans="1:4" ht="76.5" customHeight="1" x14ac:dyDescent="0.4">
      <c r="A1" s="49" t="s">
        <v>9</v>
      </c>
      <c r="B1" s="48"/>
      <c r="C1" s="48"/>
      <c r="D1" s="48"/>
    </row>
    <row r="2" spans="1:4" x14ac:dyDescent="0.4">
      <c r="A2" s="6" t="s">
        <v>1</v>
      </c>
      <c r="B2" s="2">
        <v>0.1</v>
      </c>
    </row>
    <row r="4" spans="1:4" x14ac:dyDescent="0.4">
      <c r="A4" s="1" t="s">
        <v>2</v>
      </c>
      <c r="B4" s="1" t="s">
        <v>3</v>
      </c>
      <c r="C4" s="1" t="s">
        <v>4</v>
      </c>
    </row>
    <row r="5" spans="1:4" x14ac:dyDescent="0.4">
      <c r="A5" s="1">
        <v>1</v>
      </c>
      <c r="B5">
        <v>100</v>
      </c>
      <c r="C5" s="3">
        <f>B5/(1+$B$2)^A5</f>
        <v>90.909090909090907</v>
      </c>
      <c r="D5" t="str">
        <f ca="1">_xlfn.FORMULATEXT(C5)</f>
        <v>=B5/(1+$B$2)^A5</v>
      </c>
    </row>
    <row r="6" spans="1:4" x14ac:dyDescent="0.4">
      <c r="A6" s="1">
        <v>2</v>
      </c>
      <c r="B6">
        <v>200</v>
      </c>
      <c r="C6" s="3">
        <f t="shared" ref="C6:C9" si="0">B6/(1+$B$2)^A6</f>
        <v>165.28925619834709</v>
      </c>
      <c r="D6" t="str">
        <f t="shared" ref="D6:D9" ca="1" si="1">_xlfn.FORMULATEXT(C6)</f>
        <v>=B6/(1+$B$2)^A6</v>
      </c>
    </row>
    <row r="7" spans="1:4" x14ac:dyDescent="0.4">
      <c r="A7" s="1">
        <v>3</v>
      </c>
      <c r="B7">
        <v>300</v>
      </c>
      <c r="C7" s="3">
        <f t="shared" si="0"/>
        <v>225.39444027047327</v>
      </c>
      <c r="D7" t="str">
        <f t="shared" ca="1" si="1"/>
        <v>=B7/(1+$B$2)^A7</v>
      </c>
    </row>
    <row r="8" spans="1:4" x14ac:dyDescent="0.4">
      <c r="A8" s="1">
        <v>4</v>
      </c>
      <c r="B8">
        <v>400</v>
      </c>
      <c r="C8" s="3">
        <f t="shared" si="0"/>
        <v>273.20538214602823</v>
      </c>
      <c r="D8" t="str">
        <f t="shared" ca="1" si="1"/>
        <v>=B8/(1+$B$2)^A8</v>
      </c>
    </row>
    <row r="9" spans="1:4" x14ac:dyDescent="0.4">
      <c r="A9" s="1">
        <v>5</v>
      </c>
      <c r="B9">
        <v>500</v>
      </c>
      <c r="C9" s="3">
        <f t="shared" si="0"/>
        <v>310.46066152957746</v>
      </c>
      <c r="D9" t="str">
        <f t="shared" ca="1" si="1"/>
        <v>=B9/(1+$B$2)^A9</v>
      </c>
    </row>
    <row r="11" spans="1:4" x14ac:dyDescent="0.4">
      <c r="A11" t="s">
        <v>5</v>
      </c>
    </row>
    <row r="12" spans="1:4" x14ac:dyDescent="0.4">
      <c r="A12" s="4" t="s">
        <v>6</v>
      </c>
      <c r="B12" s="5">
        <f>SUM(C5:C9)</f>
        <v>1065.258831053517</v>
      </c>
      <c r="C12" t="str">
        <f ca="1">_xlfn.FORMULATEXT(B12)</f>
        <v>=SUM(C5:C9)</v>
      </c>
    </row>
    <row r="13" spans="1:4" x14ac:dyDescent="0.4">
      <c r="A13" s="4" t="s">
        <v>7</v>
      </c>
      <c r="B13" s="5">
        <f>NPV(B2,B5:B9)</f>
        <v>1065.2588310535168</v>
      </c>
      <c r="C13" t="str">
        <f t="shared" ref="C13:C14" ca="1" si="2">_xlfn.FORMULATEXT(B13)</f>
        <v>=NPV(B2,B5:B9)</v>
      </c>
    </row>
    <row r="14" spans="1:4" x14ac:dyDescent="0.4">
      <c r="A14" s="4" t="s">
        <v>8</v>
      </c>
      <c r="B14" s="5">
        <f>PV(B2,5,-100)</f>
        <v>379.07867694084507</v>
      </c>
      <c r="C14" t="str">
        <f t="shared" ca="1" si="2"/>
        <v>=PV(B2,5,-100)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BA87-C568-4C50-A937-E215B617A4C6}">
  <dimension ref="A1:D14"/>
  <sheetViews>
    <sheetView workbookViewId="0">
      <selection activeCell="G21" sqref="G21"/>
    </sheetView>
  </sheetViews>
  <sheetFormatPr defaultRowHeight="13.9" x14ac:dyDescent="0.4"/>
  <cols>
    <col min="1" max="1" width="22.86328125" customWidth="1"/>
    <col min="2" max="2" width="10.46484375" bestFit="1" customWidth="1"/>
    <col min="3" max="3" width="15.3984375" bestFit="1" customWidth="1"/>
  </cols>
  <sheetData>
    <row r="1" spans="1:4" ht="40.15" customHeight="1" x14ac:dyDescent="0.4">
      <c r="A1" s="49" t="s">
        <v>10</v>
      </c>
      <c r="B1" s="48"/>
      <c r="C1" s="48"/>
      <c r="D1" s="48"/>
    </row>
    <row r="2" spans="1:4" x14ac:dyDescent="0.4">
      <c r="A2" s="6" t="s">
        <v>1</v>
      </c>
      <c r="B2" s="2">
        <v>0.1</v>
      </c>
    </row>
    <row r="4" spans="1:4" x14ac:dyDescent="0.4">
      <c r="A4" s="1" t="s">
        <v>2</v>
      </c>
      <c r="B4" s="1" t="s">
        <v>3</v>
      </c>
      <c r="C4" s="1" t="s">
        <v>4</v>
      </c>
    </row>
    <row r="5" spans="1:4" x14ac:dyDescent="0.4">
      <c r="A5" s="1">
        <v>0</v>
      </c>
      <c r="B5" s="7">
        <v>-250</v>
      </c>
      <c r="C5" s="3">
        <f>B5/(1+$B$2)^A5</f>
        <v>-250</v>
      </c>
      <c r="D5" t="str">
        <f ca="1">_xlfn.FORMULATEXT(C5)</f>
        <v>=B5/(1+$B$2)^A5</v>
      </c>
    </row>
    <row r="6" spans="1:4" x14ac:dyDescent="0.4">
      <c r="A6" s="1">
        <v>1</v>
      </c>
      <c r="B6">
        <v>100</v>
      </c>
      <c r="C6" s="3">
        <f>B6/(1+$B$2)^A6</f>
        <v>90.909090909090907</v>
      </c>
      <c r="D6" t="str">
        <f ca="1">_xlfn.FORMULATEXT(C6)</f>
        <v>=B6/(1+$B$2)^A6</v>
      </c>
    </row>
    <row r="7" spans="1:4" x14ac:dyDescent="0.4">
      <c r="A7" s="1">
        <v>2</v>
      </c>
      <c r="B7">
        <v>100</v>
      </c>
      <c r="C7" s="3">
        <f t="shared" ref="C7:C10" si="0">B7/(1+$B$2)^A7</f>
        <v>82.644628099173545</v>
      </c>
      <c r="D7" t="str">
        <f t="shared" ref="D7:D10" ca="1" si="1">_xlfn.FORMULATEXT(C7)</f>
        <v>=B7/(1+$B$2)^A7</v>
      </c>
    </row>
    <row r="8" spans="1:4" x14ac:dyDescent="0.4">
      <c r="A8" s="1">
        <v>3</v>
      </c>
      <c r="B8">
        <v>100</v>
      </c>
      <c r="C8" s="3">
        <f t="shared" si="0"/>
        <v>75.131480090157751</v>
      </c>
      <c r="D8" t="str">
        <f t="shared" ca="1" si="1"/>
        <v>=B8/(1+$B$2)^A8</v>
      </c>
    </row>
    <row r="9" spans="1:4" x14ac:dyDescent="0.4">
      <c r="A9" s="1">
        <v>4</v>
      </c>
      <c r="B9">
        <v>100</v>
      </c>
      <c r="C9" s="3">
        <f t="shared" si="0"/>
        <v>68.301345536507057</v>
      </c>
      <c r="D9" t="str">
        <f t="shared" ca="1" si="1"/>
        <v>=B9/(1+$B$2)^A9</v>
      </c>
    </row>
    <row r="10" spans="1:4" x14ac:dyDescent="0.4">
      <c r="A10" s="1">
        <v>5</v>
      </c>
      <c r="B10">
        <v>100</v>
      </c>
      <c r="C10" s="3">
        <f t="shared" si="0"/>
        <v>62.092132305915499</v>
      </c>
      <c r="D10" t="str">
        <f t="shared" ca="1" si="1"/>
        <v>=B10/(1+$B$2)^A10</v>
      </c>
    </row>
    <row r="12" spans="1:4" x14ac:dyDescent="0.4">
      <c r="A12" t="s">
        <v>5</v>
      </c>
    </row>
    <row r="13" spans="1:4" x14ac:dyDescent="0.4">
      <c r="A13" s="4" t="s">
        <v>6</v>
      </c>
      <c r="B13" s="5">
        <f>SUM(C5:C10)</f>
        <v>129.07867694084476</v>
      </c>
      <c r="C13" t="str">
        <f ca="1">_xlfn.FORMULATEXT(B13)</f>
        <v>=SUM(C5:C10)</v>
      </c>
    </row>
    <row r="14" spans="1:4" x14ac:dyDescent="0.4">
      <c r="A14" s="4" t="s">
        <v>7</v>
      </c>
      <c r="B14" s="5">
        <f>B5+NPV(B2,B6:B10)</f>
        <v>129.07867694084473</v>
      </c>
      <c r="C14" t="str">
        <f t="shared" ref="C14" ca="1" si="2">_xlfn.FORMULATEXT(B14)</f>
        <v>=B5+NPV(B2,B6:B10)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ABA3-103A-4AE9-9E9A-EC6611EABB09}">
  <dimension ref="A1:D22"/>
  <sheetViews>
    <sheetView workbookViewId="0">
      <selection activeCell="G24" sqref="G24"/>
    </sheetView>
  </sheetViews>
  <sheetFormatPr defaultRowHeight="13.9" x14ac:dyDescent="0.4"/>
  <cols>
    <col min="1" max="1" width="28.46484375" customWidth="1"/>
    <col min="2" max="2" width="10.46484375" bestFit="1" customWidth="1"/>
    <col min="3" max="3" width="15.3984375" bestFit="1" customWidth="1"/>
  </cols>
  <sheetData>
    <row r="1" spans="1:4" ht="40.15" customHeight="1" x14ac:dyDescent="0.4">
      <c r="A1" s="49" t="s">
        <v>11</v>
      </c>
      <c r="B1" s="48"/>
      <c r="C1" s="48"/>
      <c r="D1" s="48"/>
    </row>
    <row r="2" spans="1:4" x14ac:dyDescent="0.4">
      <c r="A2" t="s">
        <v>13</v>
      </c>
      <c r="B2" s="8">
        <v>1000</v>
      </c>
    </row>
    <row r="3" spans="1:4" x14ac:dyDescent="0.4">
      <c r="A3" t="s">
        <v>12</v>
      </c>
      <c r="B3">
        <v>5</v>
      </c>
    </row>
    <row r="4" spans="1:4" x14ac:dyDescent="0.4">
      <c r="A4" t="s">
        <v>14</v>
      </c>
      <c r="B4" s="2">
        <v>0.12</v>
      </c>
    </row>
    <row r="5" spans="1:4" x14ac:dyDescent="0.4">
      <c r="A5" t="s">
        <v>15</v>
      </c>
    </row>
    <row r="6" spans="1:4" x14ac:dyDescent="0.4">
      <c r="A6" s="10" t="s">
        <v>16</v>
      </c>
      <c r="B6" s="16">
        <f>B2*(1-1/(1+B4)^B3)/B4</f>
        <v>3604.7762023450068</v>
      </c>
      <c r="C6" t="str">
        <f ca="1">_xlfn.FORMULATEXT(B6)</f>
        <v>=B2*(1-1/(1+B4)^B3)/B4</v>
      </c>
    </row>
    <row r="7" spans="1:4" x14ac:dyDescent="0.4">
      <c r="A7" s="10" t="s">
        <v>17</v>
      </c>
      <c r="B7" s="16">
        <f>PV(B4,B3,-B2)</f>
        <v>3604.7762023450064</v>
      </c>
      <c r="C7" t="str">
        <f t="shared" ref="C7" ca="1" si="0">_xlfn.FORMULATEXT(B7)</f>
        <v>=PV(B4,B3,-B2)</v>
      </c>
    </row>
    <row r="9" spans="1:4" x14ac:dyDescent="0.4">
      <c r="A9" s="1" t="s">
        <v>18</v>
      </c>
      <c r="B9" s="1" t="s">
        <v>23</v>
      </c>
    </row>
    <row r="10" spans="1:4" x14ac:dyDescent="0.4">
      <c r="A10" s="1">
        <v>1</v>
      </c>
      <c r="B10" s="8">
        <f>$B$2</f>
        <v>1000</v>
      </c>
      <c r="C10" t="str">
        <f ca="1">_xlfn.FORMULATEXT(B10)</f>
        <v>=$B$2</v>
      </c>
    </row>
    <row r="11" spans="1:4" x14ac:dyDescent="0.4">
      <c r="A11" s="1">
        <v>2</v>
      </c>
      <c r="B11" s="8">
        <f t="shared" ref="B11:B14" si="1">$B$2</f>
        <v>1000</v>
      </c>
    </row>
    <row r="12" spans="1:4" x14ac:dyDescent="0.4">
      <c r="A12" s="1">
        <v>3</v>
      </c>
      <c r="B12" s="8">
        <f t="shared" si="1"/>
        <v>1000</v>
      </c>
    </row>
    <row r="13" spans="1:4" x14ac:dyDescent="0.4">
      <c r="A13" s="1">
        <v>4</v>
      </c>
      <c r="B13" s="8">
        <f t="shared" si="1"/>
        <v>1000</v>
      </c>
    </row>
    <row r="14" spans="1:4" x14ac:dyDescent="0.4">
      <c r="A14" s="1">
        <v>5</v>
      </c>
      <c r="B14" s="8">
        <f t="shared" si="1"/>
        <v>1000</v>
      </c>
    </row>
    <row r="16" spans="1:4" x14ac:dyDescent="0.4">
      <c r="A16" s="11" t="s">
        <v>19</v>
      </c>
      <c r="B16" s="16">
        <f>NPV(B4,B10:B14)</f>
        <v>3604.7762023450041</v>
      </c>
      <c r="C16" t="str">
        <f ca="1">_xlfn.FORMULATEXT(B16)</f>
        <v>=NPV(B4,B10:B14)</v>
      </c>
    </row>
    <row r="19" spans="1:3" ht="17.649999999999999" x14ac:dyDescent="0.4">
      <c r="A19" s="49" t="s">
        <v>20</v>
      </c>
      <c r="B19" s="48"/>
      <c r="C19" s="48"/>
    </row>
    <row r="20" spans="1:3" x14ac:dyDescent="0.4">
      <c r="A20" t="s">
        <v>13</v>
      </c>
      <c r="B20" s="8">
        <v>1000</v>
      </c>
    </row>
    <row r="21" spans="1:3" x14ac:dyDescent="0.4">
      <c r="A21" t="s">
        <v>14</v>
      </c>
      <c r="B21" s="2">
        <v>0.12</v>
      </c>
    </row>
    <row r="22" spans="1:3" x14ac:dyDescent="0.4">
      <c r="A22" s="11" t="s">
        <v>15</v>
      </c>
      <c r="B22" s="11">
        <f>B20/B21</f>
        <v>8333.3333333333339</v>
      </c>
      <c r="C22" t="str">
        <f ca="1">_xlfn.FORMULATEXT(B22)</f>
        <v>=B20/B21</v>
      </c>
    </row>
  </sheetData>
  <mergeCells count="2">
    <mergeCell ref="A1:D1"/>
    <mergeCell ref="A19:C19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C891-BF16-45D4-B25B-4F3D5ABBF8EC}">
  <dimension ref="A1:D23"/>
  <sheetViews>
    <sheetView workbookViewId="0">
      <selection activeCell="H14" sqref="H14"/>
    </sheetView>
  </sheetViews>
  <sheetFormatPr defaultRowHeight="13.9" x14ac:dyDescent="0.4"/>
  <cols>
    <col min="1" max="1" width="28.46484375" customWidth="1"/>
    <col min="2" max="2" width="11.53125" bestFit="1" customWidth="1"/>
    <col min="3" max="3" width="15.3984375" bestFit="1" customWidth="1"/>
  </cols>
  <sheetData>
    <row r="1" spans="1:4" ht="40.15" customHeight="1" x14ac:dyDescent="0.4">
      <c r="A1" s="49" t="s">
        <v>21</v>
      </c>
      <c r="B1" s="48"/>
      <c r="C1" s="48"/>
      <c r="D1" s="48"/>
    </row>
    <row r="2" spans="1:4" x14ac:dyDescent="0.4">
      <c r="A2" t="s">
        <v>13</v>
      </c>
      <c r="B2" s="8">
        <v>1000</v>
      </c>
    </row>
    <row r="3" spans="1:4" x14ac:dyDescent="0.4">
      <c r="A3" t="s">
        <v>22</v>
      </c>
      <c r="B3" s="2">
        <v>0.06</v>
      </c>
    </row>
    <row r="4" spans="1:4" x14ac:dyDescent="0.4">
      <c r="A4" t="s">
        <v>12</v>
      </c>
      <c r="B4">
        <v>5</v>
      </c>
    </row>
    <row r="5" spans="1:4" x14ac:dyDescent="0.4">
      <c r="A5" t="s">
        <v>14</v>
      </c>
      <c r="B5" s="2">
        <v>0.12</v>
      </c>
    </row>
    <row r="6" spans="1:4" x14ac:dyDescent="0.4">
      <c r="A6" t="s">
        <v>15</v>
      </c>
    </row>
    <row r="7" spans="1:4" x14ac:dyDescent="0.4">
      <c r="A7" s="10" t="s">
        <v>16</v>
      </c>
      <c r="B7" s="9">
        <f>B2*(1-((1+B3)/(1+B5))^B4)/(B5-B3)</f>
        <v>4010.914471003759</v>
      </c>
      <c r="C7" t="str">
        <f ca="1">_xlfn.FORMULATEXT(B7)</f>
        <v>=B2*(1-((1+B3)/(1+B5))^B4)/(B5-B3)</v>
      </c>
    </row>
    <row r="9" spans="1:4" x14ac:dyDescent="0.4">
      <c r="A9" s="1" t="s">
        <v>18</v>
      </c>
      <c r="B9" s="1" t="s">
        <v>23</v>
      </c>
    </row>
    <row r="10" spans="1:4" x14ac:dyDescent="0.4">
      <c r="A10" s="1">
        <v>1</v>
      </c>
      <c r="B10" s="8">
        <f>B2</f>
        <v>1000</v>
      </c>
      <c r="C10" t="str">
        <f ca="1">_xlfn.FORMULATEXT(B10)</f>
        <v>=B2</v>
      </c>
    </row>
    <row r="11" spans="1:4" x14ac:dyDescent="0.4">
      <c r="A11" s="1">
        <v>2</v>
      </c>
      <c r="B11" s="8">
        <f>$B$10*(1+$B$3)^(A11-1)</f>
        <v>1060</v>
      </c>
      <c r="C11" t="str">
        <f t="shared" ref="C11:C16" ca="1" si="0">_xlfn.FORMULATEXT(B11)</f>
        <v>=$B$10*(1+$B$3)^(A11-1)</v>
      </c>
    </row>
    <row r="12" spans="1:4" x14ac:dyDescent="0.4">
      <c r="A12" s="1">
        <v>3</v>
      </c>
      <c r="B12" s="8">
        <f t="shared" ref="B12:B14" si="1">$B$10*(1+$B$3)^(A12-1)</f>
        <v>1123.6000000000001</v>
      </c>
      <c r="C12" t="str">
        <f t="shared" ca="1" si="0"/>
        <v>=$B$10*(1+$B$3)^(A12-1)</v>
      </c>
    </row>
    <row r="13" spans="1:4" x14ac:dyDescent="0.4">
      <c r="A13" s="1">
        <v>4</v>
      </c>
      <c r="B13" s="8">
        <f t="shared" si="1"/>
        <v>1191.0160000000003</v>
      </c>
      <c r="C13" t="str">
        <f t="shared" ca="1" si="0"/>
        <v>=$B$10*(1+$B$3)^(A13-1)</v>
      </c>
    </row>
    <row r="14" spans="1:4" x14ac:dyDescent="0.4">
      <c r="A14" s="1">
        <v>5</v>
      </c>
      <c r="B14" s="8">
        <f t="shared" si="1"/>
        <v>1262.4769600000004</v>
      </c>
      <c r="C14" t="str">
        <f t="shared" ca="1" si="0"/>
        <v>=$B$10*(1+$B$3)^(A14-1)</v>
      </c>
    </row>
    <row r="16" spans="1:4" x14ac:dyDescent="0.4">
      <c r="A16" s="11" t="s">
        <v>19</v>
      </c>
      <c r="B16" s="9">
        <f>NPV(B5,B10:B14)</f>
        <v>4010.9144710037572</v>
      </c>
      <c r="C16" t="str">
        <f t="shared" ca="1" si="0"/>
        <v>=NPV(B5,B10:B14)</v>
      </c>
    </row>
    <row r="19" spans="1:3" ht="17.649999999999999" x14ac:dyDescent="0.4">
      <c r="A19" s="49" t="s">
        <v>24</v>
      </c>
      <c r="B19" s="48"/>
      <c r="C19" s="48"/>
    </row>
    <row r="20" spans="1:3" x14ac:dyDescent="0.4">
      <c r="A20" t="s">
        <v>13</v>
      </c>
      <c r="B20" s="8">
        <f>B2</f>
        <v>1000</v>
      </c>
    </row>
    <row r="21" spans="1:3" x14ac:dyDescent="0.4">
      <c r="A21" t="s">
        <v>22</v>
      </c>
      <c r="B21" s="2">
        <f>B3</f>
        <v>0.06</v>
      </c>
    </row>
    <row r="22" spans="1:3" x14ac:dyDescent="0.4">
      <c r="A22" t="s">
        <v>14</v>
      </c>
      <c r="B22" s="2">
        <f>B5</f>
        <v>0.12</v>
      </c>
    </row>
    <row r="23" spans="1:3" x14ac:dyDescent="0.4">
      <c r="A23" s="11" t="s">
        <v>15</v>
      </c>
      <c r="B23" s="9">
        <f>B20/(B22-B21)</f>
        <v>16666.666666666668</v>
      </c>
      <c r="C23" t="str">
        <f ca="1">_xlfn.FORMULATEXT(B23)</f>
        <v>=B20/(B22-B21)</v>
      </c>
    </row>
  </sheetData>
  <mergeCells count="2">
    <mergeCell ref="A1:D1"/>
    <mergeCell ref="A19:C19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5FEC-C2D8-487F-827F-0C51F85374D6}">
  <dimension ref="A1:H13"/>
  <sheetViews>
    <sheetView workbookViewId="0">
      <selection sqref="A1:C1"/>
    </sheetView>
  </sheetViews>
  <sheetFormatPr defaultRowHeight="13.9" x14ac:dyDescent="0.4"/>
  <cols>
    <col min="1" max="1" width="24" customWidth="1"/>
    <col min="6" max="6" width="12.53125" customWidth="1"/>
    <col min="7" max="7" width="15.1328125" customWidth="1"/>
  </cols>
  <sheetData>
    <row r="1" spans="1:8" ht="17.649999999999999" x14ac:dyDescent="0.4">
      <c r="A1" s="48" t="s">
        <v>27</v>
      </c>
      <c r="B1" s="48"/>
      <c r="C1" s="48"/>
      <c r="F1" s="48" t="s">
        <v>27</v>
      </c>
      <c r="G1" s="48"/>
      <c r="H1" s="48"/>
    </row>
    <row r="2" spans="1:8" x14ac:dyDescent="0.4">
      <c r="A2" s="1" t="s">
        <v>2</v>
      </c>
      <c r="B2" s="1" t="s">
        <v>26</v>
      </c>
      <c r="F2" s="1" t="s">
        <v>2</v>
      </c>
      <c r="G2" s="1" t="s">
        <v>26</v>
      </c>
    </row>
    <row r="3" spans="1:8" x14ac:dyDescent="0.4">
      <c r="A3" s="1">
        <v>0</v>
      </c>
      <c r="B3">
        <v>-800</v>
      </c>
      <c r="F3" s="1">
        <v>0</v>
      </c>
      <c r="G3">
        <v>-800</v>
      </c>
    </row>
    <row r="4" spans="1:8" x14ac:dyDescent="0.4">
      <c r="A4" s="1">
        <v>1</v>
      </c>
      <c r="B4">
        <v>200</v>
      </c>
      <c r="F4" s="1">
        <v>1</v>
      </c>
      <c r="G4">
        <v>200</v>
      </c>
    </row>
    <row r="5" spans="1:8" x14ac:dyDescent="0.4">
      <c r="A5" s="1">
        <v>2</v>
      </c>
      <c r="B5">
        <v>250</v>
      </c>
      <c r="F5" s="1">
        <v>2</v>
      </c>
      <c r="G5">
        <v>250</v>
      </c>
    </row>
    <row r="6" spans="1:8" x14ac:dyDescent="0.4">
      <c r="A6" s="1">
        <v>3</v>
      </c>
      <c r="B6">
        <v>300</v>
      </c>
      <c r="F6" s="1">
        <v>3</v>
      </c>
      <c r="G6">
        <v>300</v>
      </c>
    </row>
    <row r="7" spans="1:8" x14ac:dyDescent="0.4">
      <c r="A7" s="1">
        <v>4</v>
      </c>
      <c r="B7">
        <v>350</v>
      </c>
      <c r="F7" s="1">
        <v>4</v>
      </c>
      <c r="G7">
        <v>350</v>
      </c>
    </row>
    <row r="8" spans="1:8" x14ac:dyDescent="0.4">
      <c r="A8" s="1">
        <v>5</v>
      </c>
      <c r="B8">
        <v>400</v>
      </c>
      <c r="F8" s="1">
        <v>5</v>
      </c>
      <c r="G8">
        <v>400</v>
      </c>
    </row>
    <row r="10" spans="1:8" x14ac:dyDescent="0.4">
      <c r="A10" s="11" t="s">
        <v>25</v>
      </c>
      <c r="B10" s="12">
        <f>IRR(B3:B8)</f>
        <v>0.22160309795512223</v>
      </c>
      <c r="C10" t="str">
        <f ca="1">_xlfn.FORMULATEXT(B10)</f>
        <v>=IRR(B3:B8)</v>
      </c>
      <c r="F10" t="s">
        <v>28</v>
      </c>
    </row>
    <row r="12" spans="1:8" x14ac:dyDescent="0.4">
      <c r="F12" s="11" t="s">
        <v>1</v>
      </c>
      <c r="G12" s="12">
        <v>0.22160287720688809</v>
      </c>
    </row>
    <row r="13" spans="1:8" x14ac:dyDescent="0.4">
      <c r="F13" s="11" t="s">
        <v>29</v>
      </c>
      <c r="G13" s="13">
        <f>G3+NPV(G12,G4:G8)</f>
        <v>4.2579514752105752E-4</v>
      </c>
      <c r="H13" t="str">
        <f ca="1">_xlfn.FORMULATEXT(G13)</f>
        <v>=G3+NPV(G12,G4:G8)</v>
      </c>
    </row>
  </sheetData>
  <mergeCells count="2">
    <mergeCell ref="A1:C1"/>
    <mergeCell ref="F1:H1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9937-1AC6-4031-91D9-9C94D62626F2}">
  <dimension ref="A1:E23"/>
  <sheetViews>
    <sheetView workbookViewId="0">
      <selection activeCell="D26" sqref="D26"/>
    </sheetView>
  </sheetViews>
  <sheetFormatPr defaultRowHeight="13.9" x14ac:dyDescent="0.4"/>
  <cols>
    <col min="1" max="1" width="24.3984375" customWidth="1"/>
    <col min="2" max="2" width="12.33203125" customWidth="1"/>
    <col min="3" max="3" width="12.265625" customWidth="1"/>
    <col min="4" max="5" width="12.19921875" bestFit="1" customWidth="1"/>
  </cols>
  <sheetData>
    <row r="1" spans="1:5" ht="17.649999999999999" x14ac:dyDescent="0.4">
      <c r="A1" s="48" t="s">
        <v>25</v>
      </c>
      <c r="B1" s="48"/>
      <c r="C1" s="48"/>
    </row>
    <row r="2" spans="1:5" x14ac:dyDescent="0.4">
      <c r="A2" s="1" t="s">
        <v>2</v>
      </c>
      <c r="B2" s="1" t="s">
        <v>26</v>
      </c>
    </row>
    <row r="3" spans="1:5" x14ac:dyDescent="0.4">
      <c r="A3" s="1">
        <v>0</v>
      </c>
      <c r="B3">
        <v>-800</v>
      </c>
    </row>
    <row r="4" spans="1:5" x14ac:dyDescent="0.4">
      <c r="A4" s="1">
        <v>1</v>
      </c>
      <c r="B4">
        <v>200</v>
      </c>
    </row>
    <row r="5" spans="1:5" x14ac:dyDescent="0.4">
      <c r="A5" s="1">
        <v>2</v>
      </c>
      <c r="B5">
        <v>250</v>
      </c>
    </row>
    <row r="6" spans="1:5" x14ac:dyDescent="0.4">
      <c r="A6" s="1">
        <v>3</v>
      </c>
      <c r="B6">
        <v>300</v>
      </c>
    </row>
    <row r="7" spans="1:5" x14ac:dyDescent="0.4">
      <c r="A7" s="1">
        <v>4</v>
      </c>
      <c r="B7">
        <v>350</v>
      </c>
    </row>
    <row r="8" spans="1:5" x14ac:dyDescent="0.4">
      <c r="A8" s="1">
        <v>5</v>
      </c>
      <c r="B8">
        <v>400</v>
      </c>
    </row>
    <row r="10" spans="1:5" x14ac:dyDescent="0.4">
      <c r="A10" s="11" t="s">
        <v>25</v>
      </c>
      <c r="B10" s="12">
        <f>IRR(B3:B8)</f>
        <v>0.22160309795512223</v>
      </c>
      <c r="C10" t="str">
        <f ca="1">_xlfn.FORMULATEXT(B10)</f>
        <v>=IRR(B3:B8)</v>
      </c>
    </row>
    <row r="12" spans="1:5" x14ac:dyDescent="0.4">
      <c r="A12" t="s">
        <v>30</v>
      </c>
    </row>
    <row r="13" spans="1:5" ht="40.5" customHeight="1" x14ac:dyDescent="0.4">
      <c r="B13" t="str">
        <f ca="1">_xlfn.FORMULATEXT(B15)</f>
        <v>=-B3</v>
      </c>
      <c r="C13" t="str">
        <f ca="1">_xlfn.FORMULATEXT(C15)</f>
        <v>=B4</v>
      </c>
      <c r="D13" t="str">
        <f ca="1">_xlfn.FORMULATEXT(D15)</f>
        <v>=B15*$B$10</v>
      </c>
      <c r="E13" t="str">
        <f ca="1">_xlfn.FORMULATEXT(E15)</f>
        <v>=C15-D15</v>
      </c>
    </row>
    <row r="14" spans="1:5" x14ac:dyDescent="0.4">
      <c r="A14" s="1" t="s">
        <v>2</v>
      </c>
      <c r="B14" s="1" t="s">
        <v>31</v>
      </c>
      <c r="C14" s="1" t="s">
        <v>32</v>
      </c>
      <c r="D14" s="1" t="s">
        <v>33</v>
      </c>
      <c r="E14" s="1" t="s">
        <v>34</v>
      </c>
    </row>
    <row r="15" spans="1:5" x14ac:dyDescent="0.4">
      <c r="A15" s="1">
        <v>1</v>
      </c>
      <c r="B15" s="3">
        <f>-B3</f>
        <v>800</v>
      </c>
      <c r="C15" s="3">
        <f>B4</f>
        <v>200</v>
      </c>
      <c r="D15" s="3">
        <f>B15*$B$10</f>
        <v>177.28247836409778</v>
      </c>
      <c r="E15" s="3">
        <f>C15-D15</f>
        <v>22.717521635902216</v>
      </c>
    </row>
    <row r="16" spans="1:5" x14ac:dyDescent="0.4">
      <c r="A16" s="1">
        <v>2</v>
      </c>
      <c r="B16" s="3">
        <f>B15-E15</f>
        <v>777.28247836409776</v>
      </c>
      <c r="C16" s="3">
        <f t="shared" ref="C16:C19" si="0">B5</f>
        <v>250</v>
      </c>
      <c r="D16" s="3">
        <f t="shared" ref="D16:D19" si="1">B16*$B$10</f>
        <v>172.24820519171934</v>
      </c>
      <c r="E16" s="3">
        <f>C16-D16</f>
        <v>77.751794808280664</v>
      </c>
    </row>
    <row r="17" spans="1:5" x14ac:dyDescent="0.4">
      <c r="A17" s="1">
        <v>3</v>
      </c>
      <c r="B17" s="3">
        <f t="shared" ref="B17:B20" si="2">B16-E16</f>
        <v>699.53068355581706</v>
      </c>
      <c r="C17" s="3">
        <f t="shared" si="0"/>
        <v>300</v>
      </c>
      <c r="D17" s="3">
        <f t="shared" si="1"/>
        <v>155.01816659063334</v>
      </c>
      <c r="E17" s="3">
        <f t="shared" ref="E17:E19" si="3">C17-D17</f>
        <v>144.98183340936666</v>
      </c>
    </row>
    <row r="18" spans="1:5" x14ac:dyDescent="0.4">
      <c r="A18" s="1">
        <v>4</v>
      </c>
      <c r="B18" s="3">
        <f t="shared" si="2"/>
        <v>554.54885014645038</v>
      </c>
      <c r="C18" s="3">
        <f t="shared" si="0"/>
        <v>350</v>
      </c>
      <c r="D18" s="3">
        <f t="shared" si="1"/>
        <v>122.88974315990424</v>
      </c>
      <c r="E18" s="3">
        <f t="shared" si="3"/>
        <v>227.11025684009576</v>
      </c>
    </row>
    <row r="19" spans="1:5" x14ac:dyDescent="0.4">
      <c r="A19" s="1">
        <v>5</v>
      </c>
      <c r="B19" s="3">
        <f t="shared" si="2"/>
        <v>327.43859330635462</v>
      </c>
      <c r="C19" s="3">
        <f t="shared" si="0"/>
        <v>400</v>
      </c>
      <c r="D19" s="3">
        <f t="shared" si="1"/>
        <v>72.561406666755531</v>
      </c>
      <c r="E19" s="3">
        <f t="shared" si="3"/>
        <v>327.43859333324446</v>
      </c>
    </row>
    <row r="20" spans="1:5" x14ac:dyDescent="0.4">
      <c r="A20" s="1">
        <v>6</v>
      </c>
      <c r="B20" s="3">
        <f t="shared" si="2"/>
        <v>-2.6889836135524092E-8</v>
      </c>
      <c r="C20" s="3"/>
      <c r="D20" s="3"/>
      <c r="E20" s="3"/>
    </row>
    <row r="22" spans="1:5" x14ac:dyDescent="0.4">
      <c r="A22" t="str">
        <f ca="1">_xlfn.FORMULATEXT(B16)</f>
        <v>=B15-E15</v>
      </c>
    </row>
    <row r="23" spans="1:5" x14ac:dyDescent="0.4">
      <c r="B23" t="str">
        <f ca="1">_xlfn.FORMULATEXT(D16)</f>
        <v>=B16*$B$10</v>
      </c>
      <c r="D23" t="s">
        <v>35</v>
      </c>
    </row>
  </sheetData>
  <mergeCells count="1">
    <mergeCell ref="A1:C1"/>
  </mergeCells>
  <phoneticPr fontId="18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B62B-72F8-4784-B44A-E1F171FED48E}">
  <dimension ref="A1:F13"/>
  <sheetViews>
    <sheetView workbookViewId="0">
      <selection activeCell="D19" sqref="D19"/>
    </sheetView>
  </sheetViews>
  <sheetFormatPr defaultRowHeight="13.9" x14ac:dyDescent="0.4"/>
  <cols>
    <col min="1" max="1" width="12.86328125" bestFit="1" customWidth="1"/>
    <col min="2" max="2" width="12.3984375" customWidth="1"/>
    <col min="3" max="3" width="10.796875" bestFit="1" customWidth="1"/>
    <col min="4" max="4" width="9.9296875" customWidth="1"/>
    <col min="5" max="5" width="10.59765625" customWidth="1"/>
  </cols>
  <sheetData>
    <row r="1" spans="1:6" ht="17.649999999999999" x14ac:dyDescent="0.4">
      <c r="A1" s="48" t="s">
        <v>36</v>
      </c>
      <c r="B1" s="48"/>
      <c r="C1" s="48"/>
      <c r="D1" s="48"/>
      <c r="E1" s="48"/>
      <c r="F1" s="48"/>
    </row>
    <row r="2" spans="1:6" x14ac:dyDescent="0.4">
      <c r="A2" s="11" t="s">
        <v>37</v>
      </c>
      <c r="B2" s="12">
        <v>0.24436076883456243</v>
      </c>
    </row>
    <row r="4" spans="1:6" x14ac:dyDescent="0.4">
      <c r="D4" s="50" t="s">
        <v>38</v>
      </c>
      <c r="E4" s="50"/>
      <c r="F4" t="str">
        <f ca="1">_xlfn.FORMULATEXT(D6)</f>
        <v>=B6*$B$2</v>
      </c>
    </row>
    <row r="5" spans="1:6" x14ac:dyDescent="0.4">
      <c r="A5" t="s">
        <v>2</v>
      </c>
      <c r="B5" t="s">
        <v>39</v>
      </c>
      <c r="C5" t="s">
        <v>32</v>
      </c>
      <c r="D5" t="s">
        <v>33</v>
      </c>
      <c r="E5" t="s">
        <v>40</v>
      </c>
    </row>
    <row r="6" spans="1:6" x14ac:dyDescent="0.4">
      <c r="A6">
        <v>1</v>
      </c>
      <c r="B6" s="14">
        <v>1000</v>
      </c>
      <c r="C6" s="14">
        <v>300</v>
      </c>
      <c r="D6" s="14">
        <f>B6*$B$2</f>
        <v>244.36076883456244</v>
      </c>
      <c r="E6" s="14">
        <f>C6-D6</f>
        <v>55.639231165437565</v>
      </c>
      <c r="F6" t="str">
        <f ca="1">_xlfn.FORMULATEXT(E6)</f>
        <v>=C6-D6</v>
      </c>
    </row>
    <row r="7" spans="1:6" x14ac:dyDescent="0.4">
      <c r="A7">
        <v>2</v>
      </c>
      <c r="B7" s="14">
        <f>B6-E6</f>
        <v>944.36076883456246</v>
      </c>
      <c r="C7" s="14">
        <v>200</v>
      </c>
      <c r="D7" s="14">
        <f t="shared" ref="D7:D10" si="0">B7*$B$2</f>
        <v>230.76472352961216</v>
      </c>
      <c r="E7" s="14">
        <f t="shared" ref="E7:E10" si="1">C7-D7</f>
        <v>-30.764723529612155</v>
      </c>
    </row>
    <row r="8" spans="1:6" x14ac:dyDescent="0.4">
      <c r="A8">
        <v>3</v>
      </c>
      <c r="B8" s="14">
        <f t="shared" ref="B8:B11" si="2">B7-E7</f>
        <v>975.12549236417465</v>
      </c>
      <c r="C8" s="14">
        <v>150</v>
      </c>
      <c r="D8" s="14">
        <f t="shared" si="0"/>
        <v>238.28241502429094</v>
      </c>
      <c r="E8" s="14">
        <f t="shared" si="1"/>
        <v>-88.282415024290941</v>
      </c>
    </row>
    <row r="9" spans="1:6" x14ac:dyDescent="0.4">
      <c r="A9">
        <v>4</v>
      </c>
      <c r="B9" s="14">
        <f t="shared" si="2"/>
        <v>1063.4079073884657</v>
      </c>
      <c r="C9" s="14">
        <v>600</v>
      </c>
      <c r="D9" s="14">
        <f t="shared" si="0"/>
        <v>259.85517383419864</v>
      </c>
      <c r="E9" s="14">
        <f t="shared" si="1"/>
        <v>340.14482616580136</v>
      </c>
    </row>
    <row r="10" spans="1:6" x14ac:dyDescent="0.4">
      <c r="A10">
        <v>5</v>
      </c>
      <c r="B10" s="14">
        <f t="shared" si="2"/>
        <v>723.26308122266437</v>
      </c>
      <c r="C10" s="14">
        <v>900</v>
      </c>
      <c r="D10" s="14">
        <f t="shared" si="0"/>
        <v>176.73712259722484</v>
      </c>
      <c r="E10" s="14">
        <f t="shared" si="1"/>
        <v>723.26287740277519</v>
      </c>
    </row>
    <row r="11" spans="1:6" x14ac:dyDescent="0.4">
      <c r="A11">
        <v>6</v>
      </c>
      <c r="B11" s="14">
        <f t="shared" si="2"/>
        <v>2.038198891796128E-4</v>
      </c>
      <c r="C11" s="14"/>
      <c r="D11" s="14"/>
      <c r="E11" s="14"/>
    </row>
    <row r="13" spans="1:6" x14ac:dyDescent="0.4">
      <c r="A13" t="str">
        <f ca="1">_xlfn.FORMULATEXT(B7)</f>
        <v>=B6-E6</v>
      </c>
    </row>
  </sheetData>
  <mergeCells count="2">
    <mergeCell ref="A1:F1"/>
    <mergeCell ref="D4:E4"/>
  </mergeCells>
  <phoneticPr fontId="18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E5C6-3D20-46A8-A71C-10F656B9F684}">
  <dimension ref="A1:C17"/>
  <sheetViews>
    <sheetView workbookViewId="0">
      <selection activeCell="F13" sqref="F13"/>
    </sheetView>
  </sheetViews>
  <sheetFormatPr defaultRowHeight="13.9" x14ac:dyDescent="0.4"/>
  <cols>
    <col min="1" max="1" width="13.46484375" customWidth="1"/>
    <col min="2" max="2" width="13.53125" customWidth="1"/>
    <col min="3" max="3" width="14.86328125" customWidth="1"/>
  </cols>
  <sheetData>
    <row r="1" spans="1:3" ht="22.5" customHeight="1" x14ac:dyDescent="0.4">
      <c r="A1" s="48" t="s">
        <v>46</v>
      </c>
      <c r="B1" s="48"/>
      <c r="C1" s="48"/>
    </row>
    <row r="2" spans="1:3" x14ac:dyDescent="0.4">
      <c r="A2" s="1" t="s">
        <v>2</v>
      </c>
      <c r="B2" s="1" t="s">
        <v>3</v>
      </c>
    </row>
    <row r="3" spans="1:3" x14ac:dyDescent="0.4">
      <c r="A3" s="1">
        <v>0</v>
      </c>
      <c r="B3" s="7">
        <v>-1000</v>
      </c>
    </row>
    <row r="4" spans="1:3" x14ac:dyDescent="0.4">
      <c r="A4" s="1">
        <v>1</v>
      </c>
      <c r="B4" s="7">
        <v>300</v>
      </c>
    </row>
    <row r="5" spans="1:3" x14ac:dyDescent="0.4">
      <c r="A5" s="1">
        <v>2</v>
      </c>
      <c r="B5" s="7">
        <v>200</v>
      </c>
    </row>
    <row r="6" spans="1:3" x14ac:dyDescent="0.4">
      <c r="A6" s="1">
        <v>3</v>
      </c>
      <c r="B6" s="7">
        <v>150</v>
      </c>
    </row>
    <row r="7" spans="1:3" x14ac:dyDescent="0.4">
      <c r="A7" s="1">
        <v>4</v>
      </c>
      <c r="B7" s="7">
        <v>600</v>
      </c>
    </row>
    <row r="8" spans="1:3" x14ac:dyDescent="0.4">
      <c r="A8" s="1">
        <v>5</v>
      </c>
      <c r="B8" s="7">
        <v>900</v>
      </c>
    </row>
    <row r="10" spans="1:3" x14ac:dyDescent="0.4">
      <c r="A10" s="11" t="s">
        <v>41</v>
      </c>
      <c r="B10" s="12">
        <f>IRR(B3:B8)</f>
        <v>0.24436074261538088</v>
      </c>
      <c r="C10" t="str">
        <f ca="1">_xlfn.FORMULATEXT(B10)</f>
        <v>=IRR(B3:B8)</v>
      </c>
    </row>
    <row r="13" spans="1:3" ht="30" customHeight="1" x14ac:dyDescent="0.4">
      <c r="A13" s="48" t="s">
        <v>42</v>
      </c>
      <c r="B13" s="48"/>
      <c r="C13" s="48"/>
    </row>
    <row r="14" spans="1:3" x14ac:dyDescent="0.4">
      <c r="A14" t="s">
        <v>43</v>
      </c>
      <c r="B14">
        <v>1000</v>
      </c>
    </row>
    <row r="15" spans="1:3" x14ac:dyDescent="0.4">
      <c r="A15" t="s">
        <v>44</v>
      </c>
      <c r="B15">
        <v>100</v>
      </c>
    </row>
    <row r="16" spans="1:3" x14ac:dyDescent="0.4">
      <c r="A16" t="s">
        <v>45</v>
      </c>
      <c r="B16">
        <v>30</v>
      </c>
    </row>
    <row r="17" spans="1:3" x14ac:dyDescent="0.4">
      <c r="A17" s="11" t="s">
        <v>25</v>
      </c>
      <c r="B17" s="15">
        <f>RATE(B16,B15,-B14)</f>
        <v>9.3073397717987436E-2</v>
      </c>
      <c r="C17" t="str">
        <f ca="1">_xlfn.FORMULATEXT(B17)</f>
        <v>=RATE(B16,B15,-B14)</v>
      </c>
    </row>
  </sheetData>
  <mergeCells count="2">
    <mergeCell ref="A1:C1"/>
    <mergeCell ref="A13:C13"/>
  </mergeCells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B1D6-0C27-4500-868A-3BD708CD4F21}">
  <dimension ref="A1:J19"/>
  <sheetViews>
    <sheetView workbookViewId="0">
      <selection activeCell="K27" sqref="K27"/>
    </sheetView>
  </sheetViews>
  <sheetFormatPr defaultRowHeight="13.9" x14ac:dyDescent="0.4"/>
  <cols>
    <col min="1" max="1" width="14.06640625" customWidth="1"/>
    <col min="8" max="8" width="12" customWidth="1"/>
  </cols>
  <sheetData>
    <row r="1" spans="1:10" ht="25.9" customHeight="1" x14ac:dyDescent="0.4">
      <c r="A1" s="48" t="s">
        <v>47</v>
      </c>
      <c r="B1" s="48"/>
      <c r="C1" s="48"/>
      <c r="D1" s="48"/>
      <c r="E1" s="48"/>
      <c r="F1" s="48"/>
      <c r="G1" s="48"/>
      <c r="H1" s="48"/>
      <c r="I1" s="48"/>
    </row>
    <row r="2" spans="1:10" x14ac:dyDescent="0.4">
      <c r="A2" t="s">
        <v>1</v>
      </c>
      <c r="B2" s="2">
        <v>0.06</v>
      </c>
    </row>
    <row r="3" spans="1:10" x14ac:dyDescent="0.4">
      <c r="A3" s="11" t="s">
        <v>5</v>
      </c>
      <c r="B3" s="20">
        <f>NPV(B2,B7:B11)+B6</f>
        <v>-3.9854362682000044</v>
      </c>
      <c r="C3" t="str">
        <f ca="1">_xlfn.FORMULATEXT(B3)</f>
        <v>=NPV(B2,B7:B11)+B6</v>
      </c>
      <c r="H3" s="50" t="s">
        <v>51</v>
      </c>
      <c r="I3" s="50"/>
    </row>
    <row r="4" spans="1:10" x14ac:dyDescent="0.4">
      <c r="H4" s="1" t="s">
        <v>1</v>
      </c>
      <c r="I4" s="1" t="s">
        <v>5</v>
      </c>
    </row>
    <row r="5" spans="1:10" x14ac:dyDescent="0.4">
      <c r="A5" t="s">
        <v>2</v>
      </c>
      <c r="B5" t="s">
        <v>3</v>
      </c>
      <c r="I5" s="19">
        <f>B3</f>
        <v>-3.9854362682000044</v>
      </c>
      <c r="J5" t="str">
        <f ca="1">_xlfn.FORMULATEXT(I5)</f>
        <v>=B3</v>
      </c>
    </row>
    <row r="6" spans="1:10" x14ac:dyDescent="0.4">
      <c r="A6" s="1">
        <v>0</v>
      </c>
      <c r="B6">
        <v>-145</v>
      </c>
      <c r="H6" s="18">
        <v>0</v>
      </c>
      <c r="I6" s="14">
        <f t="dataTable" ref="I6:I19" dt2D="0" dtr="0" r1="B2"/>
        <v>-20</v>
      </c>
    </row>
    <row r="7" spans="1:10" x14ac:dyDescent="0.4">
      <c r="A7" s="1">
        <v>1</v>
      </c>
      <c r="B7">
        <v>100</v>
      </c>
      <c r="H7" s="18">
        <v>0.03</v>
      </c>
      <c r="I7" s="14">
        <v>-10.507575424608092</v>
      </c>
    </row>
    <row r="8" spans="1:10" x14ac:dyDescent="0.4">
      <c r="A8" s="1">
        <v>2</v>
      </c>
      <c r="B8">
        <v>100</v>
      </c>
      <c r="H8" s="18">
        <v>0.06</v>
      </c>
      <c r="I8" s="14">
        <v>-3.9854362682000044</v>
      </c>
    </row>
    <row r="9" spans="1:10" x14ac:dyDescent="0.4">
      <c r="A9" s="1">
        <v>3</v>
      </c>
      <c r="B9">
        <v>100</v>
      </c>
      <c r="H9" s="18">
        <v>0.09</v>
      </c>
      <c r="I9" s="14">
        <v>0.24085647329212634</v>
      </c>
    </row>
    <row r="10" spans="1:10" x14ac:dyDescent="0.4">
      <c r="A10" s="1">
        <v>4</v>
      </c>
      <c r="B10">
        <v>100</v>
      </c>
      <c r="H10" s="18">
        <v>0.12</v>
      </c>
      <c r="I10" s="14">
        <v>2.6925493400257778</v>
      </c>
    </row>
    <row r="11" spans="1:10" x14ac:dyDescent="0.4">
      <c r="A11" s="1">
        <v>5</v>
      </c>
      <c r="B11">
        <v>-275</v>
      </c>
      <c r="H11" s="18">
        <v>0.15</v>
      </c>
      <c r="I11" s="14">
        <v>3.7742340642815009</v>
      </c>
    </row>
    <row r="12" spans="1:10" x14ac:dyDescent="0.4">
      <c r="H12" s="18">
        <v>0.18</v>
      </c>
      <c r="I12" s="14">
        <v>3.8011460077677839</v>
      </c>
    </row>
    <row r="13" spans="1:10" x14ac:dyDescent="0.4">
      <c r="H13" s="18">
        <v>0.21</v>
      </c>
      <c r="I13" s="14">
        <v>3.0197000689104811</v>
      </c>
    </row>
    <row r="14" spans="1:10" x14ac:dyDescent="0.4">
      <c r="A14" s="17" t="s">
        <v>48</v>
      </c>
      <c r="H14" s="18">
        <v>0.24</v>
      </c>
      <c r="I14" s="14">
        <v>1.6230390485557962</v>
      </c>
    </row>
    <row r="15" spans="1:10" x14ac:dyDescent="0.4">
      <c r="A15" s="11" t="s">
        <v>49</v>
      </c>
      <c r="B15" s="20">
        <f>IRR(B6:B11,0)</f>
        <v>8.7828273849489102E-2</v>
      </c>
      <c r="C15" t="str">
        <f ca="1">_xlfn.FORMULATEXT(B15)</f>
        <v>=IRR(B6:B11,0)</v>
      </c>
      <c r="H15" s="18">
        <v>0.27</v>
      </c>
      <c r="I15" s="14">
        <v>-0.237122901511583</v>
      </c>
    </row>
    <row r="16" spans="1:10" x14ac:dyDescent="0.4">
      <c r="A16" s="11" t="s">
        <v>50</v>
      </c>
      <c r="B16" s="20">
        <f>IRR(B6:B11,0.3)</f>
        <v>0.266495007167735</v>
      </c>
      <c r="C16" t="str">
        <f ca="1">_xlfn.FORMULATEXT(B16)</f>
        <v>=IRR(B6:B11,0.3)</v>
      </c>
      <c r="H16" s="18">
        <v>0.3</v>
      </c>
      <c r="I16" s="14">
        <v>-2.4414276595572915</v>
      </c>
    </row>
    <row r="17" spans="8:9" x14ac:dyDescent="0.4">
      <c r="H17" s="18">
        <v>0.33</v>
      </c>
      <c r="I17" s="14">
        <v>-4.895886047904952</v>
      </c>
    </row>
    <row r="18" spans="8:9" x14ac:dyDescent="0.4">
      <c r="H18" s="18">
        <v>0.36</v>
      </c>
      <c r="I18" s="14">
        <v>-7.5264699851816204</v>
      </c>
    </row>
    <row r="19" spans="8:9" x14ac:dyDescent="0.4">
      <c r="H19" s="18">
        <v>0.39</v>
      </c>
      <c r="I19" s="14">
        <v>-10.274907341794687</v>
      </c>
    </row>
  </sheetData>
  <mergeCells count="2">
    <mergeCell ref="A1:I1"/>
    <mergeCell ref="H3:I3"/>
  </mergeCells>
  <phoneticPr fontId="18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0A01-A9BD-47C9-A4F7-B6F2030B2E4F}">
  <dimension ref="A1:K27"/>
  <sheetViews>
    <sheetView workbookViewId="0">
      <selection activeCell="S14" sqref="S14"/>
    </sheetView>
  </sheetViews>
  <sheetFormatPr defaultRowHeight="13.9" x14ac:dyDescent="0.4"/>
  <sheetData>
    <row r="1" spans="1:11" ht="37.15" customHeight="1" x14ac:dyDescent="0.4">
      <c r="A1" s="48" t="s">
        <v>54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x14ac:dyDescent="0.4">
      <c r="A2" t="s">
        <v>2</v>
      </c>
      <c r="B2" t="s">
        <v>3</v>
      </c>
    </row>
    <row r="3" spans="1:11" x14ac:dyDescent="0.4">
      <c r="A3" s="1">
        <v>0</v>
      </c>
      <c r="B3">
        <v>-800</v>
      </c>
      <c r="F3" s="17" t="s">
        <v>52</v>
      </c>
    </row>
    <row r="4" spans="1:11" x14ac:dyDescent="0.4">
      <c r="A4" s="1">
        <v>1</v>
      </c>
      <c r="B4">
        <v>100</v>
      </c>
      <c r="F4" t="s">
        <v>53</v>
      </c>
    </row>
    <row r="5" spans="1:11" x14ac:dyDescent="0.4">
      <c r="A5" s="1">
        <v>2</v>
      </c>
      <c r="B5">
        <v>100</v>
      </c>
      <c r="G5" s="19">
        <f>NPV(F5,B4:B11)+B3</f>
        <v>1000</v>
      </c>
      <c r="H5" t="str">
        <f ca="1">_xlfn.FORMULATEXT(G5)</f>
        <v>=NPV(F5,B4:B11)+B3</v>
      </c>
    </row>
    <row r="6" spans="1:11" x14ac:dyDescent="0.4">
      <c r="A6" s="1">
        <v>3</v>
      </c>
      <c r="B6">
        <v>100</v>
      </c>
      <c r="F6" s="2">
        <v>0</v>
      </c>
      <c r="G6" s="8">
        <f t="dataTable" ref="G6:G16" dt2D="0" dtr="0" r1="F5"/>
        <v>1000</v>
      </c>
    </row>
    <row r="7" spans="1:11" x14ac:dyDescent="0.4">
      <c r="A7" s="1">
        <v>4</v>
      </c>
      <c r="B7">
        <v>100</v>
      </c>
      <c r="F7" s="2">
        <v>0.02</v>
      </c>
      <c r="G7" s="8">
        <v>786.03851523955382</v>
      </c>
    </row>
    <row r="8" spans="1:11" x14ac:dyDescent="0.4">
      <c r="A8" s="1">
        <v>5</v>
      </c>
      <c r="B8">
        <v>100</v>
      </c>
      <c r="F8" s="2">
        <v>0.04</v>
      </c>
      <c r="G8" s="8">
        <v>603.96469249702341</v>
      </c>
    </row>
    <row r="9" spans="1:11" x14ac:dyDescent="0.4">
      <c r="A9" s="1">
        <v>6</v>
      </c>
      <c r="B9">
        <v>100</v>
      </c>
      <c r="F9" s="2">
        <v>0.06</v>
      </c>
      <c r="G9" s="8">
        <v>448.39175243878162</v>
      </c>
    </row>
    <row r="10" spans="1:11" x14ac:dyDescent="0.4">
      <c r="A10" s="1">
        <v>7</v>
      </c>
      <c r="B10">
        <v>100</v>
      </c>
      <c r="F10" s="2">
        <v>0.08</v>
      </c>
      <c r="G10" s="8">
        <v>314.93277887450563</v>
      </c>
    </row>
    <row r="11" spans="1:11" x14ac:dyDescent="0.4">
      <c r="A11" s="1">
        <v>8</v>
      </c>
      <c r="B11">
        <v>1100</v>
      </c>
      <c r="F11" s="2">
        <v>0.1</v>
      </c>
      <c r="G11" s="8">
        <v>199.99999999999955</v>
      </c>
    </row>
    <row r="12" spans="1:11" x14ac:dyDescent="0.4">
      <c r="F12" s="2">
        <v>0.12</v>
      </c>
      <c r="G12" s="8">
        <v>100.64720466322774</v>
      </c>
    </row>
    <row r="13" spans="1:11" x14ac:dyDescent="0.4">
      <c r="A13" s="11" t="s">
        <v>41</v>
      </c>
      <c r="B13" s="12">
        <f>IRR(B3:B11)</f>
        <v>0.14364208444928206</v>
      </c>
      <c r="C13" t="str">
        <f ca="1">_xlfn.FORMULATEXT(B13)</f>
        <v>=IRR(B3:B11)</v>
      </c>
      <c r="F13" s="2">
        <v>0.14000000000000001</v>
      </c>
      <c r="G13" s="8">
        <v>14.445444243074121</v>
      </c>
    </row>
    <row r="14" spans="1:11" x14ac:dyDescent="0.4">
      <c r="F14" s="2">
        <v>0.16</v>
      </c>
      <c r="G14" s="8">
        <v>-60.615453700742364</v>
      </c>
    </row>
    <row r="15" spans="1:11" x14ac:dyDescent="0.4">
      <c r="F15" s="2">
        <v>0.18</v>
      </c>
      <c r="G15" s="8">
        <v>-126.20526056422</v>
      </c>
    </row>
    <row r="16" spans="1:11" x14ac:dyDescent="0.4">
      <c r="F16" s="2">
        <v>0.2</v>
      </c>
      <c r="G16" s="8">
        <v>-183.71598031931103</v>
      </c>
    </row>
    <row r="17" spans="6:6" x14ac:dyDescent="0.4">
      <c r="F17" s="2"/>
    </row>
    <row r="18" spans="6:6" x14ac:dyDescent="0.4">
      <c r="F18" s="2"/>
    </row>
    <row r="19" spans="6:6" x14ac:dyDescent="0.4">
      <c r="F19" s="2"/>
    </row>
    <row r="20" spans="6:6" x14ac:dyDescent="0.4">
      <c r="F20" s="2"/>
    </row>
    <row r="21" spans="6:6" x14ac:dyDescent="0.4">
      <c r="F21" s="2"/>
    </row>
    <row r="22" spans="6:6" x14ac:dyDescent="0.4">
      <c r="F22" s="2"/>
    </row>
    <row r="23" spans="6:6" x14ac:dyDescent="0.4">
      <c r="F23" s="2"/>
    </row>
    <row r="24" spans="6:6" x14ac:dyDescent="0.4">
      <c r="F24" s="2"/>
    </row>
    <row r="25" spans="6:6" x14ac:dyDescent="0.4">
      <c r="F25" s="2"/>
    </row>
    <row r="26" spans="6:6" x14ac:dyDescent="0.4">
      <c r="F26" s="2"/>
    </row>
    <row r="27" spans="6:6" x14ac:dyDescent="0.4">
      <c r="F27" s="2"/>
    </row>
  </sheetData>
  <mergeCells count="1">
    <mergeCell ref="A1:K1"/>
  </mergeCells>
  <phoneticPr fontId="18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418C-5AAE-4A06-87A2-1B1BFD3951E1}">
  <dimension ref="A1:G15"/>
  <sheetViews>
    <sheetView workbookViewId="0">
      <selection activeCell="E15" sqref="E15"/>
    </sheetView>
  </sheetViews>
  <sheetFormatPr defaultRowHeight="13.9" x14ac:dyDescent="0.4"/>
  <cols>
    <col min="1" max="1" width="18.1328125" customWidth="1"/>
    <col min="3" max="3" width="13.3984375" customWidth="1"/>
    <col min="4" max="4" width="12.46484375" customWidth="1"/>
  </cols>
  <sheetData>
    <row r="1" spans="1:7" ht="29.65" customHeight="1" x14ac:dyDescent="0.4">
      <c r="A1" s="48" t="s">
        <v>55</v>
      </c>
      <c r="B1" s="48"/>
      <c r="C1" s="48"/>
      <c r="D1" s="48"/>
      <c r="E1" s="48"/>
      <c r="F1" s="48"/>
      <c r="G1" s="48"/>
    </row>
    <row r="2" spans="1:7" x14ac:dyDescent="0.4">
      <c r="A2" t="s">
        <v>57</v>
      </c>
      <c r="B2" s="22">
        <v>10000</v>
      </c>
    </row>
    <row r="3" spans="1:7" x14ac:dyDescent="0.4">
      <c r="A3" t="s">
        <v>56</v>
      </c>
      <c r="B3" s="21">
        <v>7.0000000000000007E-2</v>
      </c>
    </row>
    <row r="4" spans="1:7" x14ac:dyDescent="0.4">
      <c r="A4" t="s">
        <v>58</v>
      </c>
      <c r="B4">
        <v>6</v>
      </c>
      <c r="C4" t="s">
        <v>60</v>
      </c>
    </row>
    <row r="5" spans="1:7" x14ac:dyDescent="0.4">
      <c r="A5" t="s">
        <v>59</v>
      </c>
      <c r="B5" s="8">
        <f>PMT(B3,B4,-B2)</f>
        <v>2097.9579975832812</v>
      </c>
      <c r="C5" t="str">
        <f ca="1">_xlfn.FORMULATEXT(B5)</f>
        <v>=PMT(B3,B4,-B2)</v>
      </c>
      <c r="G5" t="str">
        <f ca="1">_xlfn.FORMULATEXT(E9)</f>
        <v>=C9*$B$3</v>
      </c>
    </row>
    <row r="7" spans="1:7" x14ac:dyDescent="0.4">
      <c r="C7" t="str">
        <f ca="1">_xlfn.FORMULATEXT(C9)</f>
        <v>=B2</v>
      </c>
      <c r="D7" t="str">
        <f ca="1">_xlfn.FORMULATEXT(D9)</f>
        <v>=$B$5</v>
      </c>
      <c r="E7" t="s">
        <v>65</v>
      </c>
    </row>
    <row r="8" spans="1:7" ht="46.15" customHeight="1" x14ac:dyDescent="0.4">
      <c r="B8" s="1" t="s">
        <v>2</v>
      </c>
      <c r="C8" s="1" t="s">
        <v>61</v>
      </c>
      <c r="D8" s="1" t="s">
        <v>62</v>
      </c>
      <c r="E8" s="1" t="s">
        <v>63</v>
      </c>
      <c r="F8" s="1" t="s">
        <v>64</v>
      </c>
    </row>
    <row r="9" spans="1:7" x14ac:dyDescent="0.4">
      <c r="B9" s="1">
        <v>1</v>
      </c>
      <c r="C9" s="23">
        <f>B2</f>
        <v>10000</v>
      </c>
      <c r="D9" s="23">
        <f>$B$5</f>
        <v>2097.9579975832812</v>
      </c>
      <c r="E9" s="23">
        <f>C9*$B$3</f>
        <v>700.00000000000011</v>
      </c>
      <c r="F9" s="23">
        <f>D9-E9</f>
        <v>1397.9579975832812</v>
      </c>
      <c r="G9" t="str">
        <f ca="1">_xlfn.FORMULATEXT(F9)</f>
        <v>=D9-E9</v>
      </c>
    </row>
    <row r="10" spans="1:7" x14ac:dyDescent="0.4">
      <c r="B10" s="1">
        <v>2</v>
      </c>
      <c r="C10" s="23">
        <f>C9-F9</f>
        <v>8602.0420024167179</v>
      </c>
      <c r="D10" s="23">
        <f t="shared" ref="D10:D14" si="0">$B$5</f>
        <v>2097.9579975832812</v>
      </c>
      <c r="E10" s="23">
        <f t="shared" ref="E10:E14" si="1">C10*$B$3</f>
        <v>602.14294016917029</v>
      </c>
      <c r="F10" s="23">
        <f t="shared" ref="F10:F14" si="2">D10-E10</f>
        <v>1495.8150574141109</v>
      </c>
    </row>
    <row r="11" spans="1:7" x14ac:dyDescent="0.4">
      <c r="B11" s="1">
        <v>3</v>
      </c>
      <c r="C11" s="23">
        <f t="shared" ref="C11:C15" si="3">C10-F10</f>
        <v>7106.226945002607</v>
      </c>
      <c r="D11" s="23">
        <f t="shared" si="0"/>
        <v>2097.9579975832812</v>
      </c>
      <c r="E11" s="23">
        <f t="shared" si="1"/>
        <v>497.43588615018251</v>
      </c>
      <c r="F11" s="23">
        <f t="shared" si="2"/>
        <v>1600.5221114330986</v>
      </c>
    </row>
    <row r="12" spans="1:7" x14ac:dyDescent="0.4">
      <c r="B12" s="1">
        <v>4</v>
      </c>
      <c r="C12" s="23">
        <f t="shared" si="3"/>
        <v>5505.7048335695081</v>
      </c>
      <c r="D12" s="23">
        <f t="shared" si="0"/>
        <v>2097.9579975832812</v>
      </c>
      <c r="E12" s="23">
        <f t="shared" si="1"/>
        <v>385.39933834986562</v>
      </c>
      <c r="F12" s="23">
        <f t="shared" si="2"/>
        <v>1712.5586592334157</v>
      </c>
    </row>
    <row r="13" spans="1:7" x14ac:dyDescent="0.4">
      <c r="B13" s="1">
        <v>5</v>
      </c>
      <c r="C13" s="23">
        <f t="shared" si="3"/>
        <v>3793.1461743360924</v>
      </c>
      <c r="D13" s="23">
        <f t="shared" si="0"/>
        <v>2097.9579975832812</v>
      </c>
      <c r="E13" s="23">
        <f t="shared" si="1"/>
        <v>265.52023220352652</v>
      </c>
      <c r="F13" s="23">
        <f t="shared" si="2"/>
        <v>1832.4377653797546</v>
      </c>
    </row>
    <row r="14" spans="1:7" x14ac:dyDescent="0.4">
      <c r="B14" s="1">
        <v>6</v>
      </c>
      <c r="C14" s="23">
        <f t="shared" si="3"/>
        <v>1960.7084089563377</v>
      </c>
      <c r="D14" s="23">
        <f t="shared" si="0"/>
        <v>2097.9579975832812</v>
      </c>
      <c r="E14" s="23">
        <f t="shared" si="1"/>
        <v>137.24958862694365</v>
      </c>
      <c r="F14" s="23">
        <f t="shared" si="2"/>
        <v>1960.7084089563375</v>
      </c>
    </row>
    <row r="15" spans="1:7" x14ac:dyDescent="0.4">
      <c r="B15" s="1">
        <v>7</v>
      </c>
      <c r="C15" s="23">
        <f t="shared" si="3"/>
        <v>0</v>
      </c>
      <c r="D15" s="23"/>
      <c r="E15" s="23"/>
      <c r="F15" s="23"/>
    </row>
  </sheetData>
  <mergeCells count="1">
    <mergeCell ref="A1:G1"/>
  </mergeCells>
  <phoneticPr fontId="18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6D61-0B5C-4AEA-9BF3-D9DC587E7CDF}">
  <dimension ref="A1:E19"/>
  <sheetViews>
    <sheetView workbookViewId="0">
      <selection activeCell="E19" sqref="E19"/>
    </sheetView>
  </sheetViews>
  <sheetFormatPr defaultRowHeight="13.9" x14ac:dyDescent="0.4"/>
  <cols>
    <col min="2" max="2" width="16" customWidth="1"/>
    <col min="3" max="3" width="15.1328125" customWidth="1"/>
    <col min="4" max="4" width="15.53125" customWidth="1"/>
  </cols>
  <sheetData>
    <row r="1" spans="1:5" ht="27.75" customHeight="1" x14ac:dyDescent="0.4">
      <c r="A1" s="48" t="s">
        <v>66</v>
      </c>
      <c r="B1" s="48"/>
      <c r="C1" s="48"/>
      <c r="D1" s="48"/>
      <c r="E1" s="48"/>
    </row>
    <row r="2" spans="1:5" x14ac:dyDescent="0.4">
      <c r="A2" t="s">
        <v>56</v>
      </c>
      <c r="B2" s="21">
        <v>0.1</v>
      </c>
    </row>
    <row r="3" spans="1:5" x14ac:dyDescent="0.4">
      <c r="C3" t="str">
        <f ca="1">_xlfn.FORMULATEXT(C5)</f>
        <v>=B5*$B$2</v>
      </c>
      <c r="D3" t="str">
        <f ca="1">_xlfn.FORMULATEXT(D5)</f>
        <v>=B5+C5</v>
      </c>
    </row>
    <row r="4" spans="1:5" ht="34.5" customHeight="1" x14ac:dyDescent="0.4">
      <c r="A4" s="1" t="s">
        <v>2</v>
      </c>
      <c r="B4" s="1" t="s">
        <v>67</v>
      </c>
      <c r="C4" s="1" t="s">
        <v>68</v>
      </c>
      <c r="D4" s="1" t="s">
        <v>69</v>
      </c>
    </row>
    <row r="5" spans="1:5" x14ac:dyDescent="0.4">
      <c r="A5" s="1">
        <v>1</v>
      </c>
      <c r="B5" s="8">
        <v>1000</v>
      </c>
      <c r="C5" s="8">
        <f>B5*$B$2</f>
        <v>100</v>
      </c>
      <c r="D5" s="8">
        <f>B5+C5</f>
        <v>1100</v>
      </c>
    </row>
    <row r="6" spans="1:5" x14ac:dyDescent="0.4">
      <c r="A6" s="1">
        <v>2</v>
      </c>
      <c r="B6" s="8">
        <f>D5</f>
        <v>1100</v>
      </c>
      <c r="C6" s="8">
        <f t="shared" ref="C6:C14" si="0">B6*$B$2</f>
        <v>110</v>
      </c>
      <c r="D6" s="8">
        <f t="shared" ref="D6:D14" si="1">B6+C6</f>
        <v>1210</v>
      </c>
    </row>
    <row r="7" spans="1:5" x14ac:dyDescent="0.4">
      <c r="A7" s="1">
        <v>3</v>
      </c>
      <c r="B7" s="8">
        <f t="shared" ref="B7:B15" si="2">D6</f>
        <v>1210</v>
      </c>
      <c r="C7" s="8">
        <f t="shared" si="0"/>
        <v>121</v>
      </c>
      <c r="D7" s="8">
        <f t="shared" si="1"/>
        <v>1331</v>
      </c>
    </row>
    <row r="8" spans="1:5" x14ac:dyDescent="0.4">
      <c r="A8" s="1">
        <v>4</v>
      </c>
      <c r="B8" s="8">
        <f t="shared" si="2"/>
        <v>1331</v>
      </c>
      <c r="C8" s="8">
        <f t="shared" si="0"/>
        <v>133.1</v>
      </c>
      <c r="D8" s="8">
        <f t="shared" si="1"/>
        <v>1464.1</v>
      </c>
    </row>
    <row r="9" spans="1:5" x14ac:dyDescent="0.4">
      <c r="A9" s="1">
        <v>5</v>
      </c>
      <c r="B9" s="8">
        <f t="shared" si="2"/>
        <v>1464.1</v>
      </c>
      <c r="C9" s="8">
        <f t="shared" si="0"/>
        <v>146.41</v>
      </c>
      <c r="D9" s="8">
        <f t="shared" si="1"/>
        <v>1610.51</v>
      </c>
    </row>
    <row r="10" spans="1:5" x14ac:dyDescent="0.4">
      <c r="A10" s="1">
        <v>6</v>
      </c>
      <c r="B10" s="8">
        <f t="shared" si="2"/>
        <v>1610.51</v>
      </c>
      <c r="C10" s="8">
        <f t="shared" si="0"/>
        <v>161.05100000000002</v>
      </c>
      <c r="D10" s="8">
        <f t="shared" si="1"/>
        <v>1771.5609999999999</v>
      </c>
    </row>
    <row r="11" spans="1:5" x14ac:dyDescent="0.4">
      <c r="A11" s="1">
        <v>7</v>
      </c>
      <c r="B11" s="8">
        <f t="shared" si="2"/>
        <v>1771.5609999999999</v>
      </c>
      <c r="C11" s="8">
        <f t="shared" si="0"/>
        <v>177.15610000000001</v>
      </c>
      <c r="D11" s="8">
        <f t="shared" si="1"/>
        <v>1948.7170999999998</v>
      </c>
    </row>
    <row r="12" spans="1:5" x14ac:dyDescent="0.4">
      <c r="A12" s="1">
        <v>8</v>
      </c>
      <c r="B12" s="8">
        <f t="shared" si="2"/>
        <v>1948.7170999999998</v>
      </c>
      <c r="C12" s="8">
        <f t="shared" si="0"/>
        <v>194.87171000000001</v>
      </c>
      <c r="D12" s="8">
        <f t="shared" si="1"/>
        <v>2143.5888099999997</v>
      </c>
    </row>
    <row r="13" spans="1:5" x14ac:dyDescent="0.4">
      <c r="A13" s="1">
        <v>9</v>
      </c>
      <c r="B13" s="8">
        <f t="shared" si="2"/>
        <v>2143.5888099999997</v>
      </c>
      <c r="C13" s="8">
        <f t="shared" si="0"/>
        <v>214.358881</v>
      </c>
      <c r="D13" s="8">
        <f t="shared" si="1"/>
        <v>2357.9476909999998</v>
      </c>
    </row>
    <row r="14" spans="1:5" x14ac:dyDescent="0.4">
      <c r="A14" s="1">
        <v>10</v>
      </c>
      <c r="B14" s="8">
        <f t="shared" si="2"/>
        <v>2357.9476909999998</v>
      </c>
      <c r="C14" s="8">
        <f t="shared" si="0"/>
        <v>235.7947691</v>
      </c>
      <c r="D14" s="8">
        <f t="shared" si="1"/>
        <v>2593.7424600999998</v>
      </c>
    </row>
    <row r="15" spans="1:5" x14ac:dyDescent="0.4">
      <c r="A15" s="1">
        <v>11</v>
      </c>
      <c r="B15" s="20">
        <f t="shared" si="2"/>
        <v>2593.7424600999998</v>
      </c>
      <c r="C15" s="8"/>
      <c r="D15" s="8"/>
    </row>
    <row r="17" spans="1:3" x14ac:dyDescent="0.4">
      <c r="C17" t="str">
        <f ca="1">_xlfn.FORMULATEXT(B6)</f>
        <v>=D5</v>
      </c>
    </row>
    <row r="19" spans="1:3" x14ac:dyDescent="0.4">
      <c r="A19" s="11" t="s">
        <v>70</v>
      </c>
      <c r="B19" s="20">
        <f>B5*(1+B2)^10</f>
        <v>2593.7424601000021</v>
      </c>
      <c r="C19" t="str">
        <f ca="1">_xlfn.FORMULATEXT(B19)</f>
        <v>=B5*(1+B2)^10</v>
      </c>
    </row>
  </sheetData>
  <mergeCells count="1">
    <mergeCell ref="A1:E1"/>
  </mergeCells>
  <phoneticPr fontId="18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FC0B-571C-4799-A376-D7728EADA11F}">
  <dimension ref="A1:F18"/>
  <sheetViews>
    <sheetView workbookViewId="0">
      <selection activeCell="C19" sqref="C19"/>
    </sheetView>
  </sheetViews>
  <sheetFormatPr defaultRowHeight="13.9" x14ac:dyDescent="0.4"/>
  <cols>
    <col min="1" max="1" width="19.73046875" customWidth="1"/>
    <col min="2" max="2" width="16.3984375" customWidth="1"/>
    <col min="3" max="3" width="17.59765625" customWidth="1"/>
    <col min="4" max="4" width="16.1328125" customWidth="1"/>
    <col min="5" max="5" width="18.796875" customWidth="1"/>
  </cols>
  <sheetData>
    <row r="1" spans="1:6" ht="37.15" customHeight="1" x14ac:dyDescent="0.4">
      <c r="A1" s="48" t="s">
        <v>71</v>
      </c>
      <c r="B1" s="48"/>
      <c r="C1" s="48"/>
      <c r="D1" s="48"/>
      <c r="E1" s="48"/>
      <c r="F1" s="48"/>
    </row>
    <row r="2" spans="1:6" x14ac:dyDescent="0.4">
      <c r="A2" t="s">
        <v>56</v>
      </c>
      <c r="B2" s="21">
        <v>0.1</v>
      </c>
    </row>
    <row r="3" spans="1:6" x14ac:dyDescent="0.4">
      <c r="A3" t="s">
        <v>72</v>
      </c>
      <c r="B3" s="8">
        <v>1000</v>
      </c>
      <c r="C3" t="s">
        <v>74</v>
      </c>
    </row>
    <row r="4" spans="1:6" x14ac:dyDescent="0.4">
      <c r="A4" t="s">
        <v>73</v>
      </c>
      <c r="B4">
        <v>10</v>
      </c>
    </row>
    <row r="5" spans="1:6" x14ac:dyDescent="0.4">
      <c r="B5" t="str">
        <f ca="1">_xlfn.FORMULATEXT(B8)</f>
        <v>=E7</v>
      </c>
      <c r="D5" t="str">
        <f ca="1">_xlfn.FORMULATEXT(D7)</f>
        <v>=$B$2*(B7+C7)</v>
      </c>
      <c r="E5" t="str">
        <f ca="1">_xlfn.FORMULATEXT(E7)</f>
        <v>=B7+C7+D7</v>
      </c>
    </row>
    <row r="6" spans="1:6" x14ac:dyDescent="0.4">
      <c r="A6" s="1" t="s">
        <v>2</v>
      </c>
      <c r="B6" s="1" t="s">
        <v>75</v>
      </c>
      <c r="C6" s="1" t="s">
        <v>76</v>
      </c>
      <c r="D6" s="1" t="s">
        <v>77</v>
      </c>
      <c r="E6" s="1" t="s">
        <v>78</v>
      </c>
    </row>
    <row r="7" spans="1:6" x14ac:dyDescent="0.4">
      <c r="A7" s="1">
        <v>1</v>
      </c>
      <c r="B7" s="8">
        <v>0</v>
      </c>
      <c r="C7" s="8">
        <v>1000</v>
      </c>
      <c r="D7" s="8">
        <f>$B$2*(B7+C7)</f>
        <v>100</v>
      </c>
      <c r="E7" s="8">
        <f>B7+C7+D7</f>
        <v>1100</v>
      </c>
    </row>
    <row r="8" spans="1:6" x14ac:dyDescent="0.4">
      <c r="A8" s="1">
        <v>2</v>
      </c>
      <c r="B8" s="8">
        <f>E7</f>
        <v>1100</v>
      </c>
      <c r="C8" s="8">
        <v>1000</v>
      </c>
      <c r="D8" s="8">
        <f>$B$2*(B8+C8)</f>
        <v>210</v>
      </c>
      <c r="E8" s="8">
        <f t="shared" ref="E8:E16" si="0">B8+C8+D8</f>
        <v>2310</v>
      </c>
    </row>
    <row r="9" spans="1:6" x14ac:dyDescent="0.4">
      <c r="A9" s="1">
        <v>3</v>
      </c>
      <c r="B9" s="8">
        <f t="shared" ref="B9:B16" si="1">E8</f>
        <v>2310</v>
      </c>
      <c r="C9" s="8">
        <v>1000</v>
      </c>
      <c r="D9" s="8">
        <f t="shared" ref="D9:D16" si="2">$B$2*(B9+C9)</f>
        <v>331</v>
      </c>
      <c r="E9" s="8">
        <f t="shared" si="0"/>
        <v>3641</v>
      </c>
    </row>
    <row r="10" spans="1:6" x14ac:dyDescent="0.4">
      <c r="A10" s="1">
        <v>4</v>
      </c>
      <c r="B10" s="8">
        <f t="shared" si="1"/>
        <v>3641</v>
      </c>
      <c r="C10" s="8">
        <v>1000</v>
      </c>
      <c r="D10" s="8">
        <f t="shared" si="2"/>
        <v>464.1</v>
      </c>
      <c r="E10" s="8">
        <f t="shared" si="0"/>
        <v>5105.1000000000004</v>
      </c>
    </row>
    <row r="11" spans="1:6" x14ac:dyDescent="0.4">
      <c r="A11" s="1">
        <v>5</v>
      </c>
      <c r="B11" s="8">
        <f t="shared" si="1"/>
        <v>5105.1000000000004</v>
      </c>
      <c r="C11" s="8">
        <v>1000</v>
      </c>
      <c r="D11" s="8">
        <f t="shared" si="2"/>
        <v>610.5100000000001</v>
      </c>
      <c r="E11" s="8">
        <f t="shared" si="0"/>
        <v>6715.6100000000006</v>
      </c>
    </row>
    <row r="12" spans="1:6" x14ac:dyDescent="0.4">
      <c r="A12" s="1">
        <v>6</v>
      </c>
      <c r="B12" s="8">
        <f t="shared" si="1"/>
        <v>6715.6100000000006</v>
      </c>
      <c r="C12" s="8">
        <v>1000</v>
      </c>
      <c r="D12" s="8">
        <f t="shared" si="2"/>
        <v>771.56100000000015</v>
      </c>
      <c r="E12" s="8">
        <f t="shared" si="0"/>
        <v>8487.1710000000003</v>
      </c>
    </row>
    <row r="13" spans="1:6" x14ac:dyDescent="0.4">
      <c r="A13" s="1">
        <v>7</v>
      </c>
      <c r="B13" s="8">
        <f t="shared" si="1"/>
        <v>8487.1710000000003</v>
      </c>
      <c r="C13" s="8">
        <v>1000</v>
      </c>
      <c r="D13" s="8">
        <f t="shared" si="2"/>
        <v>948.71710000000007</v>
      </c>
      <c r="E13" s="8">
        <f t="shared" si="0"/>
        <v>10435.8881</v>
      </c>
    </row>
    <row r="14" spans="1:6" x14ac:dyDescent="0.4">
      <c r="A14" s="1">
        <v>8</v>
      </c>
      <c r="B14" s="8">
        <f t="shared" si="1"/>
        <v>10435.8881</v>
      </c>
      <c r="C14" s="8">
        <v>1000</v>
      </c>
      <c r="D14" s="8">
        <f t="shared" si="2"/>
        <v>1143.58881</v>
      </c>
      <c r="E14" s="8">
        <f t="shared" si="0"/>
        <v>12579.476909999999</v>
      </c>
    </row>
    <row r="15" spans="1:6" x14ac:dyDescent="0.4">
      <c r="A15" s="1">
        <v>9</v>
      </c>
      <c r="B15" s="8">
        <f t="shared" si="1"/>
        <v>12579.476909999999</v>
      </c>
      <c r="C15" s="8">
        <v>1000</v>
      </c>
      <c r="D15" s="8">
        <f t="shared" si="2"/>
        <v>1357.9476910000001</v>
      </c>
      <c r="E15" s="8">
        <f t="shared" si="0"/>
        <v>14937.424600999999</v>
      </c>
    </row>
    <row r="16" spans="1:6" x14ac:dyDescent="0.4">
      <c r="A16" s="1">
        <v>10</v>
      </c>
      <c r="B16" s="8">
        <f t="shared" si="1"/>
        <v>14937.424600999999</v>
      </c>
      <c r="C16" s="8">
        <v>1000</v>
      </c>
      <c r="D16" s="8">
        <f t="shared" si="2"/>
        <v>1593.7424601</v>
      </c>
      <c r="E16" s="20">
        <f t="shared" si="0"/>
        <v>17531.167061099997</v>
      </c>
    </row>
    <row r="18" spans="1:3" x14ac:dyDescent="0.4">
      <c r="A18" s="11" t="s">
        <v>79</v>
      </c>
      <c r="B18" s="20">
        <f>FV(B2,B4,-B3,,1)</f>
        <v>17531.167061100023</v>
      </c>
      <c r="C18" t="str">
        <f ca="1">_xlfn.FORMULATEXT(B18)</f>
        <v>=FV(B2,B4,-B3,,1)</v>
      </c>
    </row>
  </sheetData>
  <mergeCells count="1">
    <mergeCell ref="A1:F1"/>
  </mergeCells>
  <phoneticPr fontId="18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8154-F0EA-48B4-B143-CFD98B4A4A0F}">
  <dimension ref="A1:F29"/>
  <sheetViews>
    <sheetView workbookViewId="0">
      <selection activeCell="C29" sqref="C29"/>
    </sheetView>
  </sheetViews>
  <sheetFormatPr defaultRowHeight="13.9" x14ac:dyDescent="0.4"/>
  <cols>
    <col min="1" max="1" width="21.33203125" customWidth="1"/>
    <col min="2" max="2" width="16.6640625" customWidth="1"/>
    <col min="3" max="3" width="15.46484375" customWidth="1"/>
    <col min="4" max="4" width="18.796875" customWidth="1"/>
    <col min="5" max="5" width="18.33203125" customWidth="1"/>
  </cols>
  <sheetData>
    <row r="1" spans="1:6" ht="26.25" customHeight="1" x14ac:dyDescent="0.4">
      <c r="A1" s="48" t="s">
        <v>80</v>
      </c>
      <c r="B1" s="48"/>
      <c r="C1" s="48"/>
      <c r="D1" s="48"/>
      <c r="E1" s="48"/>
      <c r="F1" s="48"/>
    </row>
    <row r="2" spans="1:6" x14ac:dyDescent="0.4">
      <c r="A2" t="s">
        <v>56</v>
      </c>
      <c r="B2" s="21">
        <v>0.08</v>
      </c>
    </row>
    <row r="3" spans="1:6" x14ac:dyDescent="0.4">
      <c r="A3" t="s">
        <v>81</v>
      </c>
      <c r="B3" s="20">
        <v>29386.55100069294</v>
      </c>
    </row>
    <row r="4" spans="1:6" x14ac:dyDescent="0.4">
      <c r="A4" t="s">
        <v>82</v>
      </c>
      <c r="B4" s="8">
        <v>30000</v>
      </c>
    </row>
    <row r="5" spans="1:6" x14ac:dyDescent="0.4">
      <c r="C5" t="str">
        <f ca="1">_xlfn.FORMULATEXT(C7)</f>
        <v>=$B$3</v>
      </c>
      <c r="D5" t="str">
        <f ca="1">_xlfn.FORMULATEXT(D7)</f>
        <v>=$B$2*(B7+C7)</v>
      </c>
      <c r="E5" t="str">
        <f ca="1">_xlfn.FORMULATEXT(E7)</f>
        <v>=B7+C7+D7</v>
      </c>
    </row>
    <row r="6" spans="1:6" x14ac:dyDescent="0.4">
      <c r="A6" s="1" t="s">
        <v>2</v>
      </c>
      <c r="B6" s="1" t="s">
        <v>83</v>
      </c>
      <c r="C6" s="1" t="s">
        <v>84</v>
      </c>
      <c r="D6" s="1" t="s">
        <v>77</v>
      </c>
      <c r="E6" s="1" t="s">
        <v>85</v>
      </c>
    </row>
    <row r="7" spans="1:6" x14ac:dyDescent="0.4">
      <c r="A7" s="1">
        <v>1</v>
      </c>
      <c r="B7" s="8">
        <v>0</v>
      </c>
      <c r="C7" s="8">
        <f>$B$3</f>
        <v>29386.55100069294</v>
      </c>
      <c r="D7" s="8">
        <f>$B$2*(B7+C7)</f>
        <v>2350.9240800554353</v>
      </c>
      <c r="E7" s="8">
        <f>B7+C7+D7</f>
        <v>31737.475080748376</v>
      </c>
    </row>
    <row r="8" spans="1:6" x14ac:dyDescent="0.4">
      <c r="A8" s="1">
        <v>2</v>
      </c>
      <c r="B8" s="8">
        <f>E7</f>
        <v>31737.475080748376</v>
      </c>
      <c r="C8" s="8">
        <f t="shared" ref="C8:C11" si="0">$B$3</f>
        <v>29386.55100069294</v>
      </c>
      <c r="D8" s="8">
        <f t="shared" ref="D8:D19" si="1">$B$2*(B8+C8)</f>
        <v>4889.9220865153056</v>
      </c>
      <c r="E8" s="8">
        <f t="shared" ref="E8:E19" si="2">B8+C8+D8</f>
        <v>66013.948167956623</v>
      </c>
    </row>
    <row r="9" spans="1:6" x14ac:dyDescent="0.4">
      <c r="A9" s="1">
        <v>3</v>
      </c>
      <c r="B9" s="8">
        <f t="shared" ref="B9:B19" si="3">E8</f>
        <v>66013.948167956623</v>
      </c>
      <c r="C9" s="8">
        <f t="shared" si="0"/>
        <v>29386.55100069294</v>
      </c>
      <c r="D9" s="8">
        <f t="shared" si="1"/>
        <v>7632.0399334919648</v>
      </c>
      <c r="E9" s="8">
        <f t="shared" si="2"/>
        <v>103032.53910214153</v>
      </c>
    </row>
    <row r="10" spans="1:6" x14ac:dyDescent="0.4">
      <c r="A10" s="1">
        <v>4</v>
      </c>
      <c r="B10" s="8">
        <f t="shared" si="3"/>
        <v>103032.53910214153</v>
      </c>
      <c r="C10" s="8">
        <f t="shared" si="0"/>
        <v>29386.55100069294</v>
      </c>
      <c r="D10" s="8">
        <f t="shared" si="1"/>
        <v>10593.527208226757</v>
      </c>
      <c r="E10" s="8">
        <f t="shared" si="2"/>
        <v>143012.61731106121</v>
      </c>
    </row>
    <row r="11" spans="1:6" x14ac:dyDescent="0.4">
      <c r="A11" s="1">
        <v>5</v>
      </c>
      <c r="B11" s="8">
        <f t="shared" si="3"/>
        <v>143012.61731106121</v>
      </c>
      <c r="C11" s="8">
        <f t="shared" si="0"/>
        <v>29386.55100069294</v>
      </c>
      <c r="D11" s="8">
        <f t="shared" si="1"/>
        <v>13791.933464940332</v>
      </c>
      <c r="E11" s="8">
        <f t="shared" si="2"/>
        <v>186191.10177669447</v>
      </c>
    </row>
    <row r="12" spans="1:6" x14ac:dyDescent="0.4">
      <c r="A12" s="1">
        <v>6</v>
      </c>
      <c r="B12" s="8">
        <f t="shared" si="3"/>
        <v>186191.10177669447</v>
      </c>
      <c r="C12" s="8">
        <f>-$B$4</f>
        <v>-30000</v>
      </c>
      <c r="D12" s="8">
        <f t="shared" si="1"/>
        <v>12495.288142135558</v>
      </c>
      <c r="E12" s="8">
        <f t="shared" si="2"/>
        <v>168686.38991883004</v>
      </c>
    </row>
    <row r="13" spans="1:6" x14ac:dyDescent="0.4">
      <c r="A13" s="1">
        <v>7</v>
      </c>
      <c r="B13" s="8">
        <f t="shared" si="3"/>
        <v>168686.38991883004</v>
      </c>
      <c r="C13" s="8">
        <f t="shared" ref="C13:C19" si="4">-$B$4</f>
        <v>-30000</v>
      </c>
      <c r="D13" s="8">
        <f t="shared" si="1"/>
        <v>11094.911193506403</v>
      </c>
      <c r="E13" s="8">
        <f t="shared" si="2"/>
        <v>149781.30111233646</v>
      </c>
    </row>
    <row r="14" spans="1:6" x14ac:dyDescent="0.4">
      <c r="A14" s="1">
        <v>8</v>
      </c>
      <c r="B14" s="8">
        <f t="shared" si="3"/>
        <v>149781.30111233646</v>
      </c>
      <c r="C14" s="8">
        <f t="shared" si="4"/>
        <v>-30000</v>
      </c>
      <c r="D14" s="8">
        <f t="shared" si="1"/>
        <v>9582.504088986916</v>
      </c>
      <c r="E14" s="8">
        <f t="shared" si="2"/>
        <v>129363.80520132337</v>
      </c>
    </row>
    <row r="15" spans="1:6" x14ac:dyDescent="0.4">
      <c r="A15" s="1">
        <v>9</v>
      </c>
      <c r="B15" s="8">
        <f t="shared" si="3"/>
        <v>129363.80520132337</v>
      </c>
      <c r="C15" s="8">
        <f t="shared" si="4"/>
        <v>-30000</v>
      </c>
      <c r="D15" s="8">
        <f t="shared" si="1"/>
        <v>7949.1044161058699</v>
      </c>
      <c r="E15" s="8">
        <f t="shared" si="2"/>
        <v>107312.90961742924</v>
      </c>
    </row>
    <row r="16" spans="1:6" x14ac:dyDescent="0.4">
      <c r="A16" s="1">
        <v>10</v>
      </c>
      <c r="B16" s="8">
        <f t="shared" si="3"/>
        <v>107312.90961742924</v>
      </c>
      <c r="C16" s="8">
        <f t="shared" si="4"/>
        <v>-30000</v>
      </c>
      <c r="D16" s="8">
        <f t="shared" si="1"/>
        <v>6185.0327693943391</v>
      </c>
      <c r="E16" s="8">
        <f t="shared" si="2"/>
        <v>83497.942386823575</v>
      </c>
    </row>
    <row r="17" spans="1:5" x14ac:dyDescent="0.4">
      <c r="A17" s="1">
        <v>11</v>
      </c>
      <c r="B17" s="8">
        <f t="shared" si="3"/>
        <v>83497.942386823575</v>
      </c>
      <c r="C17" s="8">
        <f t="shared" si="4"/>
        <v>-30000</v>
      </c>
      <c r="D17" s="8">
        <f t="shared" si="1"/>
        <v>4279.8353909458865</v>
      </c>
      <c r="E17" s="8">
        <f t="shared" si="2"/>
        <v>57777.777777769465</v>
      </c>
    </row>
    <row r="18" spans="1:5" x14ac:dyDescent="0.4">
      <c r="A18" s="1">
        <v>12</v>
      </c>
      <c r="B18" s="8">
        <f t="shared" si="3"/>
        <v>57777.777777769465</v>
      </c>
      <c r="C18" s="8">
        <f t="shared" si="4"/>
        <v>-30000</v>
      </c>
      <c r="D18" s="8">
        <f t="shared" si="1"/>
        <v>2222.2222222215573</v>
      </c>
      <c r="E18" s="8">
        <f t="shared" si="2"/>
        <v>29999.999999991021</v>
      </c>
    </row>
    <row r="19" spans="1:5" x14ac:dyDescent="0.4">
      <c r="A19" s="1">
        <v>13</v>
      </c>
      <c r="B19" s="8">
        <f t="shared" si="3"/>
        <v>29999.999999991021</v>
      </c>
      <c r="C19" s="8">
        <f t="shared" si="4"/>
        <v>-30000</v>
      </c>
      <c r="D19" s="8">
        <f t="shared" si="1"/>
        <v>-7.182825356721878E-10</v>
      </c>
      <c r="E19" s="20">
        <f t="shared" si="2"/>
        <v>-9.6968142315745356E-9</v>
      </c>
    </row>
    <row r="21" spans="1:5" x14ac:dyDescent="0.4">
      <c r="A21" t="str">
        <f ca="1">_xlfn.FORMULATEXT(B8)</f>
        <v>=E7</v>
      </c>
      <c r="B21" t="str">
        <f ca="1">_xlfn.FORMULATEXT(C12)</f>
        <v>=-$B$4</v>
      </c>
    </row>
    <row r="23" spans="1:5" x14ac:dyDescent="0.4">
      <c r="A23" t="s">
        <v>86</v>
      </c>
    </row>
    <row r="24" spans="1:5" x14ac:dyDescent="0.4">
      <c r="A24" t="s">
        <v>56</v>
      </c>
      <c r="B24" s="21">
        <v>0.08</v>
      </c>
    </row>
    <row r="25" spans="1:5" x14ac:dyDescent="0.4">
      <c r="A25" t="s">
        <v>87</v>
      </c>
      <c r="B25" s="8">
        <v>30000</v>
      </c>
    </row>
    <row r="26" spans="1:5" x14ac:dyDescent="0.4">
      <c r="A26" t="s">
        <v>88</v>
      </c>
      <c r="B26">
        <v>8</v>
      </c>
    </row>
    <row r="27" spans="1:5" x14ac:dyDescent="0.4">
      <c r="A27" t="s">
        <v>89</v>
      </c>
      <c r="B27">
        <v>5</v>
      </c>
    </row>
    <row r="28" spans="1:5" x14ac:dyDescent="0.4">
      <c r="A28" s="11" t="s">
        <v>90</v>
      </c>
      <c r="B28" s="20">
        <f>-PV(B24,B26,B25)/(1+B2)^5</f>
        <v>117331.97713557708</v>
      </c>
    </row>
    <row r="29" spans="1:5" x14ac:dyDescent="0.4">
      <c r="A29" s="11" t="s">
        <v>81</v>
      </c>
      <c r="B29" s="20">
        <f>PMT(B2,B27,-B28,,0)</f>
        <v>29386.551000693773</v>
      </c>
    </row>
  </sheetData>
  <mergeCells count="1">
    <mergeCell ref="A1:F1"/>
  </mergeCells>
  <phoneticPr fontId="18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276B-5C2A-4500-8E00-68328AEABC0F}">
  <dimension ref="A1:C21"/>
  <sheetViews>
    <sheetView workbookViewId="0">
      <selection activeCell="D21" sqref="D21"/>
    </sheetView>
  </sheetViews>
  <sheetFormatPr defaultRowHeight="13.9" x14ac:dyDescent="0.4"/>
  <cols>
    <col min="1" max="1" width="28.19921875" customWidth="1"/>
    <col min="2" max="2" width="16.86328125" customWidth="1"/>
  </cols>
  <sheetData>
    <row r="1" spans="1:3" x14ac:dyDescent="0.4">
      <c r="A1" s="51" t="s">
        <v>91</v>
      </c>
      <c r="B1" s="52"/>
      <c r="C1" s="52"/>
    </row>
    <row r="2" spans="1:3" x14ac:dyDescent="0.4">
      <c r="A2" t="s">
        <v>92</v>
      </c>
      <c r="B2" s="22">
        <v>1000</v>
      </c>
    </row>
    <row r="3" spans="1:3" x14ac:dyDescent="0.4">
      <c r="A3" t="s">
        <v>56</v>
      </c>
      <c r="B3" s="21">
        <v>0.05</v>
      </c>
    </row>
    <row r="4" spans="1:3" x14ac:dyDescent="0.4">
      <c r="A4" t="s">
        <v>93</v>
      </c>
      <c r="B4">
        <v>2</v>
      </c>
    </row>
    <row r="5" spans="1:3" x14ac:dyDescent="0.4">
      <c r="A5" t="s">
        <v>94</v>
      </c>
      <c r="B5" s="24">
        <f>B3/B4</f>
        <v>2.5000000000000001E-2</v>
      </c>
    </row>
    <row r="6" spans="1:3" x14ac:dyDescent="0.4">
      <c r="A6" s="11" t="s">
        <v>95</v>
      </c>
      <c r="B6" s="13">
        <f>B2*(1+B5)^B4</f>
        <v>1050.625</v>
      </c>
      <c r="C6" t="str">
        <f ca="1">_xlfn.FORMULATEXT(B6)</f>
        <v>=B2*(1+B5)^B4</v>
      </c>
    </row>
    <row r="7" spans="1:3" x14ac:dyDescent="0.4">
      <c r="A7" s="11" t="s">
        <v>96</v>
      </c>
      <c r="B7" s="13">
        <f>B2*EXP(B3)</f>
        <v>1051.2710963760242</v>
      </c>
      <c r="C7" t="str">
        <f ca="1">_xlfn.FORMULATEXT(B7)</f>
        <v>=B2*EXP(B3)</v>
      </c>
    </row>
    <row r="11" spans="1:3" x14ac:dyDescent="0.4">
      <c r="A11" s="1" t="s">
        <v>97</v>
      </c>
      <c r="B11" s="1" t="s">
        <v>98</v>
      </c>
    </row>
    <row r="12" spans="1:3" x14ac:dyDescent="0.4">
      <c r="A12" s="1"/>
      <c r="B12" s="26">
        <f>B6</f>
        <v>1050.625</v>
      </c>
      <c r="C12" t="str">
        <f ca="1">_xlfn.FORMULATEXT(B12)</f>
        <v>=B6</v>
      </c>
    </row>
    <row r="13" spans="1:3" x14ac:dyDescent="0.4">
      <c r="A13" s="1">
        <v>1</v>
      </c>
      <c r="B13" s="25">
        <f t="dataTable" ref="B13:B21" dt2D="0" dtr="0" r1="B4"/>
        <v>1050</v>
      </c>
    </row>
    <row r="14" spans="1:3" x14ac:dyDescent="0.4">
      <c r="A14" s="1">
        <v>2</v>
      </c>
      <c r="B14" s="25">
        <v>1050.625</v>
      </c>
    </row>
    <row r="15" spans="1:3" x14ac:dyDescent="0.4">
      <c r="A15" s="1">
        <v>10</v>
      </c>
      <c r="B15" s="25">
        <v>1051.1401320407892</v>
      </c>
    </row>
    <row r="16" spans="1:3" x14ac:dyDescent="0.4">
      <c r="A16" s="1">
        <v>20</v>
      </c>
      <c r="B16" s="25">
        <v>1051.2055032813846</v>
      </c>
    </row>
    <row r="17" spans="1:2" x14ac:dyDescent="0.4">
      <c r="A17" s="1">
        <v>50</v>
      </c>
      <c r="B17" s="25">
        <v>1051.244832434744</v>
      </c>
    </row>
    <row r="18" spans="1:2" x14ac:dyDescent="0.4">
      <c r="A18" s="1">
        <v>100</v>
      </c>
      <c r="B18" s="25">
        <v>1051.2579599480462</v>
      </c>
    </row>
    <row r="19" spans="1:2" x14ac:dyDescent="0.4">
      <c r="A19" s="1">
        <v>150</v>
      </c>
      <c r="B19" s="25">
        <v>1051.2623377663551</v>
      </c>
    </row>
    <row r="20" spans="1:2" x14ac:dyDescent="0.4">
      <c r="A20" s="1">
        <v>300</v>
      </c>
      <c r="B20" s="25">
        <v>1051.2667165755583</v>
      </c>
    </row>
    <row r="21" spans="1:2" x14ac:dyDescent="0.4">
      <c r="A21" s="1">
        <v>800</v>
      </c>
      <c r="B21" s="25">
        <v>1051.2694538347121</v>
      </c>
    </row>
  </sheetData>
  <mergeCells count="1">
    <mergeCell ref="A1:C1"/>
  </mergeCells>
  <phoneticPr fontId="18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D59D-49C4-418E-BE51-5E53F1373558}">
  <dimension ref="A1:D11"/>
  <sheetViews>
    <sheetView workbookViewId="0">
      <selection activeCell="F22" sqref="F22"/>
    </sheetView>
  </sheetViews>
  <sheetFormatPr defaultRowHeight="13.9" x14ac:dyDescent="0.4"/>
  <cols>
    <col min="1" max="1" width="12.46484375" customWidth="1"/>
    <col min="2" max="2" width="12" customWidth="1"/>
    <col min="3" max="3" width="14.265625" customWidth="1"/>
  </cols>
  <sheetData>
    <row r="1" spans="1:4" ht="25.5" customHeight="1" x14ac:dyDescent="0.4">
      <c r="A1" s="48" t="s">
        <v>99</v>
      </c>
      <c r="B1" s="48"/>
      <c r="C1" s="48"/>
      <c r="D1" s="48"/>
    </row>
    <row r="2" spans="1:4" x14ac:dyDescent="0.4">
      <c r="A2" t="s">
        <v>56</v>
      </c>
      <c r="B2" s="2">
        <v>0.08</v>
      </c>
    </row>
    <row r="4" spans="1:4" ht="33" customHeight="1" x14ac:dyDescent="0.4">
      <c r="A4" s="1" t="s">
        <v>2</v>
      </c>
      <c r="B4" s="1" t="s">
        <v>3</v>
      </c>
      <c r="C4" s="1" t="s">
        <v>100</v>
      </c>
    </row>
    <row r="5" spans="1:4" x14ac:dyDescent="0.4">
      <c r="A5" s="1">
        <v>1</v>
      </c>
      <c r="B5">
        <v>100</v>
      </c>
      <c r="C5" s="3">
        <f>B5*EXP(-$B$2*A5)</f>
        <v>92.311634638663577</v>
      </c>
      <c r="D5" t="str">
        <f ca="1">_xlfn.FORMULATEXT(C5)</f>
        <v>=B5*EXP(-$B$2*A5)</v>
      </c>
    </row>
    <row r="6" spans="1:4" x14ac:dyDescent="0.4">
      <c r="A6" s="1">
        <v>2</v>
      </c>
      <c r="B6">
        <v>200</v>
      </c>
      <c r="C6" s="3">
        <f t="shared" ref="C6:C9" si="0">B6*EXP(-$B$2*A6)</f>
        <v>170.42875779324226</v>
      </c>
      <c r="D6" t="str">
        <f t="shared" ref="D6:D11" ca="1" si="1">_xlfn.FORMULATEXT(C6)</f>
        <v>=B6*EXP(-$B$2*A6)</v>
      </c>
    </row>
    <row r="7" spans="1:4" x14ac:dyDescent="0.4">
      <c r="A7" s="1">
        <v>3</v>
      </c>
      <c r="B7">
        <v>300</v>
      </c>
      <c r="C7" s="3">
        <f t="shared" si="0"/>
        <v>235.98835831996604</v>
      </c>
      <c r="D7" t="str">
        <f t="shared" ca="1" si="1"/>
        <v>=B7*EXP(-$B$2*A7)</v>
      </c>
    </row>
    <row r="8" spans="1:4" x14ac:dyDescent="0.4">
      <c r="A8" s="1">
        <v>4</v>
      </c>
      <c r="B8">
        <v>400</v>
      </c>
      <c r="C8" s="3">
        <f t="shared" si="0"/>
        <v>290.45961482947638</v>
      </c>
      <c r="D8" t="str">
        <f t="shared" ca="1" si="1"/>
        <v>=B8*EXP(-$B$2*A8)</v>
      </c>
    </row>
    <row r="9" spans="1:4" x14ac:dyDescent="0.4">
      <c r="A9" s="1">
        <v>5</v>
      </c>
      <c r="B9">
        <v>500</v>
      </c>
      <c r="C9" s="3">
        <f t="shared" si="0"/>
        <v>335.16002301781964</v>
      </c>
      <c r="D9" t="str">
        <f t="shared" ca="1" si="1"/>
        <v>=B9*EXP(-$B$2*A9)</v>
      </c>
    </row>
    <row r="11" spans="1:4" x14ac:dyDescent="0.4">
      <c r="A11" s="11" t="s">
        <v>4</v>
      </c>
      <c r="B11" s="11"/>
      <c r="C11" s="13">
        <f>SUM(C5:C9)</f>
        <v>1124.3483885991679</v>
      </c>
      <c r="D11" t="str">
        <f t="shared" ca="1" si="1"/>
        <v>=SUM(C5:C9)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B814-0C33-4E60-8C66-276ADCCC459A}">
  <dimension ref="A1:C19"/>
  <sheetViews>
    <sheetView workbookViewId="0">
      <selection activeCell="F13" sqref="F13"/>
    </sheetView>
  </sheetViews>
  <sheetFormatPr defaultRowHeight="13.9" x14ac:dyDescent="0.4"/>
  <cols>
    <col min="1" max="1" width="23.1328125" customWidth="1"/>
  </cols>
  <sheetData>
    <row r="1" spans="1:3" ht="34.15" customHeight="1" x14ac:dyDescent="0.4">
      <c r="A1" s="53" t="s">
        <v>101</v>
      </c>
      <c r="B1" s="53"/>
      <c r="C1" s="53"/>
    </row>
    <row r="2" spans="1:3" x14ac:dyDescent="0.4">
      <c r="A2" t="s">
        <v>92</v>
      </c>
      <c r="B2" s="22">
        <v>1000</v>
      </c>
    </row>
    <row r="3" spans="1:3" x14ac:dyDescent="0.4">
      <c r="A3" t="s">
        <v>102</v>
      </c>
      <c r="B3" s="22">
        <v>1200</v>
      </c>
    </row>
    <row r="4" spans="1:3" x14ac:dyDescent="0.4">
      <c r="A4" t="s">
        <v>103</v>
      </c>
      <c r="B4">
        <v>2</v>
      </c>
    </row>
    <row r="5" spans="1:3" x14ac:dyDescent="0.4">
      <c r="A5" s="11" t="s">
        <v>104</v>
      </c>
      <c r="B5" s="27">
        <f>((B3/B2)^(1/B4)-1)*B4</f>
        <v>0.1908902300206643</v>
      </c>
      <c r="C5" t="str">
        <f ca="1">_xlfn.FORMULATEXT(B5)</f>
        <v>=((B3/B2)^(1/B4)-1)*B4</v>
      </c>
    </row>
    <row r="7" spans="1:3" x14ac:dyDescent="0.4">
      <c r="A7" s="11" t="s">
        <v>105</v>
      </c>
      <c r="B7" s="27">
        <f>LN(B3/B2)</f>
        <v>0.18232155679395459</v>
      </c>
      <c r="C7" t="str">
        <f t="shared" ref="C7" ca="1" si="0">_xlfn.FORMULATEXT(B7)</f>
        <v>=LN(B3/B2)</v>
      </c>
    </row>
    <row r="11" spans="1:3" ht="26.25" customHeight="1" x14ac:dyDescent="0.4">
      <c r="A11" s="53" t="s">
        <v>106</v>
      </c>
      <c r="B11" s="53"/>
      <c r="C11" s="53"/>
    </row>
    <row r="12" spans="1:3" x14ac:dyDescent="0.4">
      <c r="A12" t="s">
        <v>105</v>
      </c>
      <c r="B12" t="s">
        <v>107</v>
      </c>
    </row>
    <row r="13" spans="1:3" x14ac:dyDescent="0.4">
      <c r="B13" s="24">
        <f>B5</f>
        <v>0.1908902300206643</v>
      </c>
      <c r="C13" t="str">
        <f ca="1">_xlfn.FORMULATEXT(B13)</f>
        <v>=B5</v>
      </c>
    </row>
    <row r="14" spans="1:3" x14ac:dyDescent="0.4">
      <c r="A14" s="1">
        <v>1</v>
      </c>
      <c r="B14" s="24">
        <f t="dataTable" ref="B14:B19" dt2D="0" dtr="0" r1="B4"/>
        <v>0.19999999999999996</v>
      </c>
    </row>
    <row r="15" spans="1:3" x14ac:dyDescent="0.4">
      <c r="A15" s="1">
        <v>2</v>
      </c>
      <c r="B15" s="24">
        <v>0.1908902300206643</v>
      </c>
    </row>
    <row r="16" spans="1:3" x14ac:dyDescent="0.4">
      <c r="A16" s="1">
        <v>4</v>
      </c>
      <c r="B16" s="24">
        <v>0.18654055756842247</v>
      </c>
    </row>
    <row r="17" spans="1:2" x14ac:dyDescent="0.4">
      <c r="A17" s="1">
        <v>8</v>
      </c>
      <c r="B17" s="24">
        <v>0.1844150017637034</v>
      </c>
    </row>
    <row r="18" spans="1:2" x14ac:dyDescent="0.4">
      <c r="A18" s="1">
        <v>20</v>
      </c>
      <c r="B18" s="24">
        <v>0.18315511655226047</v>
      </c>
    </row>
    <row r="19" spans="1:2" x14ac:dyDescent="0.4">
      <c r="A19" s="1">
        <v>1000</v>
      </c>
      <c r="B19" s="24">
        <v>0.18233817837920441</v>
      </c>
    </row>
  </sheetData>
  <mergeCells count="2">
    <mergeCell ref="A1:C1"/>
    <mergeCell ref="A11:C11"/>
  </mergeCells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C52D-36CE-479F-A9BF-C368C4323445}">
  <dimension ref="A1:C9"/>
  <sheetViews>
    <sheetView workbookViewId="0">
      <selection activeCell="F7" sqref="F7"/>
    </sheetView>
  </sheetViews>
  <sheetFormatPr defaultRowHeight="13.9" x14ac:dyDescent="0.4"/>
  <cols>
    <col min="1" max="1" width="20.86328125" customWidth="1"/>
    <col min="2" max="2" width="15.86328125" customWidth="1"/>
    <col min="3" max="3" width="16.06640625" customWidth="1"/>
  </cols>
  <sheetData>
    <row r="1" spans="1:3" ht="49.9" customHeight="1" x14ac:dyDescent="0.4">
      <c r="A1" s="54" t="s">
        <v>112</v>
      </c>
      <c r="B1" s="55"/>
      <c r="C1" s="55"/>
    </row>
    <row r="2" spans="1:3" x14ac:dyDescent="0.35">
      <c r="A2" s="31" t="s">
        <v>110</v>
      </c>
      <c r="B2" s="31" t="s">
        <v>111</v>
      </c>
      <c r="C2" s="32"/>
    </row>
    <row r="3" spans="1:3" x14ac:dyDescent="0.35">
      <c r="A3" s="33">
        <v>41640</v>
      </c>
      <c r="B3" s="34">
        <v>-1000</v>
      </c>
      <c r="C3" s="32"/>
    </row>
    <row r="4" spans="1:3" x14ac:dyDescent="0.35">
      <c r="A4" s="33">
        <v>41701</v>
      </c>
      <c r="B4" s="32">
        <v>150</v>
      </c>
      <c r="C4" s="32"/>
    </row>
    <row r="5" spans="1:3" x14ac:dyDescent="0.35">
      <c r="A5" s="33">
        <v>41824</v>
      </c>
      <c r="B5" s="32">
        <v>100</v>
      </c>
      <c r="C5" s="32"/>
    </row>
    <row r="6" spans="1:3" x14ac:dyDescent="0.35">
      <c r="A6" s="33">
        <v>41924</v>
      </c>
      <c r="B6" s="32">
        <v>50</v>
      </c>
      <c r="C6" s="32"/>
    </row>
    <row r="7" spans="1:3" x14ac:dyDescent="0.35">
      <c r="A7" s="33">
        <v>41998</v>
      </c>
      <c r="B7" s="34">
        <v>1000</v>
      </c>
      <c r="C7" s="32"/>
    </row>
    <row r="8" spans="1:3" x14ac:dyDescent="0.35">
      <c r="A8" s="33"/>
      <c r="B8" s="32"/>
      <c r="C8" s="32"/>
    </row>
    <row r="9" spans="1:3" x14ac:dyDescent="0.35">
      <c r="A9" s="35" t="s">
        <v>41</v>
      </c>
      <c r="B9" s="36">
        <f>XIRR(B3:B7,A3:A7)</f>
        <v>0.37188269495964044</v>
      </c>
      <c r="C9" s="32" t="str">
        <f ca="1">_xlfn.FORMULATEXT(B9)</f>
        <v>=XIRR(B3:B7,A3:A7)</v>
      </c>
    </row>
  </sheetData>
  <mergeCells count="1">
    <mergeCell ref="A1:C1"/>
  </mergeCells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4B95-2312-4860-959B-01FB1CBE5AE1}">
  <dimension ref="A1:C11"/>
  <sheetViews>
    <sheetView workbookViewId="0">
      <selection activeCell="E11" sqref="E11"/>
    </sheetView>
  </sheetViews>
  <sheetFormatPr defaultRowHeight="13.9" x14ac:dyDescent="0.4"/>
  <cols>
    <col min="1" max="1" width="15.3984375" customWidth="1"/>
    <col min="2" max="2" width="13.9296875" customWidth="1"/>
    <col min="3" max="3" width="17" customWidth="1"/>
  </cols>
  <sheetData>
    <row r="1" spans="1:3" x14ac:dyDescent="0.4">
      <c r="A1" s="54" t="s">
        <v>108</v>
      </c>
      <c r="B1" s="55"/>
      <c r="C1" s="55"/>
    </row>
    <row r="2" spans="1:3" x14ac:dyDescent="0.4">
      <c r="A2" s="29" t="s">
        <v>109</v>
      </c>
      <c r="B2" s="30">
        <v>0.12</v>
      </c>
      <c r="C2" s="28"/>
    </row>
    <row r="3" spans="1:3" x14ac:dyDescent="0.4">
      <c r="A3" s="28"/>
      <c r="B3" s="28"/>
      <c r="C3" s="28"/>
    </row>
    <row r="4" spans="1:3" x14ac:dyDescent="0.35">
      <c r="A4" s="31" t="s">
        <v>110</v>
      </c>
      <c r="B4" s="31" t="s">
        <v>111</v>
      </c>
      <c r="C4" s="32"/>
    </row>
    <row r="5" spans="1:3" x14ac:dyDescent="0.35">
      <c r="A5" s="33">
        <v>41640</v>
      </c>
      <c r="B5" s="34">
        <v>-1000</v>
      </c>
      <c r="C5" s="32"/>
    </row>
    <row r="6" spans="1:3" x14ac:dyDescent="0.35">
      <c r="A6" s="33">
        <v>42066</v>
      </c>
      <c r="B6" s="32">
        <v>100</v>
      </c>
      <c r="C6" s="32"/>
    </row>
    <row r="7" spans="1:3" x14ac:dyDescent="0.35">
      <c r="A7" s="33">
        <v>42189</v>
      </c>
      <c r="B7" s="32">
        <v>195</v>
      </c>
      <c r="C7" s="32"/>
    </row>
    <row r="8" spans="1:3" x14ac:dyDescent="0.35">
      <c r="A8" s="33">
        <v>42655</v>
      </c>
      <c r="B8" s="32">
        <v>350</v>
      </c>
      <c r="C8" s="32"/>
    </row>
    <row r="9" spans="1:3" x14ac:dyDescent="0.35">
      <c r="A9" s="33">
        <v>43094</v>
      </c>
      <c r="B9" s="34">
        <v>800</v>
      </c>
      <c r="C9" s="32"/>
    </row>
    <row r="11" spans="1:3" x14ac:dyDescent="0.4">
      <c r="A11" s="11" t="s">
        <v>5</v>
      </c>
      <c r="B11" s="20">
        <f>XNPV(B2,B5:B9,A5:A9)</f>
        <v>16.800830622140609</v>
      </c>
      <c r="C11" t="str">
        <f ca="1">_xlfn.FORMULATEXT(B11)</f>
        <v>=XNPV(B2,B5:B9,A5:A9)</v>
      </c>
    </row>
  </sheetData>
  <mergeCells count="1">
    <mergeCell ref="A1:C1"/>
  </mergeCells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65DC-DBDD-45EC-ABD7-C12851E308D5}">
  <sheetPr>
    <tabColor rgb="FFFFFF00"/>
  </sheetPr>
  <dimension ref="A1:C13"/>
  <sheetViews>
    <sheetView workbookViewId="0">
      <selection activeCell="C4" sqref="C4"/>
    </sheetView>
  </sheetViews>
  <sheetFormatPr defaultRowHeight="13.9" x14ac:dyDescent="0.4"/>
  <cols>
    <col min="1" max="1" width="14.9296875" customWidth="1"/>
    <col min="3" max="3" width="20.3984375" customWidth="1"/>
  </cols>
  <sheetData>
    <row r="1" spans="1:3" ht="48.4" customHeight="1" x14ac:dyDescent="0.4">
      <c r="A1" s="56" t="s">
        <v>114</v>
      </c>
      <c r="B1" s="56"/>
      <c r="C1" s="56"/>
    </row>
    <row r="2" spans="1:3" x14ac:dyDescent="0.35">
      <c r="A2" s="37" t="s">
        <v>115</v>
      </c>
      <c r="B2" s="38">
        <v>-0.03</v>
      </c>
      <c r="C2" s="39"/>
    </row>
    <row r="3" spans="1:3" x14ac:dyDescent="0.35">
      <c r="A3" s="43" t="s">
        <v>116</v>
      </c>
      <c r="B3" s="44" t="e">
        <f>XNPV(B2,B7:B13,A7:A13)</f>
        <v>#NUM!</v>
      </c>
      <c r="C3" s="39" t="str">
        <f ca="1">_xlfn.FORMULATEXT(B3)</f>
        <v>=XNPV(B2,B7:B13,A7:A13)</v>
      </c>
    </row>
    <row r="4" spans="1:3" x14ac:dyDescent="0.35">
      <c r="A4" s="45"/>
      <c r="B4" s="46"/>
      <c r="C4" s="39"/>
    </row>
    <row r="5" spans="1:3" x14ac:dyDescent="0.35">
      <c r="A5" s="39"/>
      <c r="B5" s="39"/>
      <c r="C5" s="39"/>
    </row>
    <row r="6" spans="1:3" x14ac:dyDescent="0.35">
      <c r="A6" s="40" t="s">
        <v>117</v>
      </c>
      <c r="B6" s="40" t="s">
        <v>118</v>
      </c>
      <c r="C6" s="39"/>
    </row>
    <row r="7" spans="1:3" x14ac:dyDescent="0.35">
      <c r="A7" s="41">
        <v>41820</v>
      </c>
      <c r="B7" s="39">
        <v>-500</v>
      </c>
      <c r="C7" s="39"/>
    </row>
    <row r="8" spans="1:3" x14ac:dyDescent="0.35">
      <c r="A8" s="41">
        <v>42049</v>
      </c>
      <c r="B8" s="39">
        <v>100</v>
      </c>
      <c r="C8" s="39"/>
    </row>
    <row r="9" spans="1:3" x14ac:dyDescent="0.35">
      <c r="A9" s="41">
        <v>42414</v>
      </c>
      <c r="B9" s="39">
        <v>300</v>
      </c>
      <c r="C9" s="39"/>
    </row>
    <row r="10" spans="1:3" x14ac:dyDescent="0.35">
      <c r="A10" s="41">
        <v>42780</v>
      </c>
      <c r="B10" s="39">
        <v>400</v>
      </c>
      <c r="C10" s="39"/>
    </row>
    <row r="11" spans="1:3" x14ac:dyDescent="0.35">
      <c r="A11" s="41">
        <v>43145</v>
      </c>
      <c r="B11" s="39">
        <v>600</v>
      </c>
      <c r="C11" s="39"/>
    </row>
    <row r="12" spans="1:3" x14ac:dyDescent="0.35">
      <c r="A12" s="41">
        <v>43510</v>
      </c>
      <c r="B12" s="39">
        <v>800</v>
      </c>
      <c r="C12" s="39"/>
    </row>
    <row r="13" spans="1:3" x14ac:dyDescent="0.35">
      <c r="A13" s="41">
        <v>43875</v>
      </c>
      <c r="B13" s="42">
        <v>-1800</v>
      </c>
      <c r="C13" s="39"/>
    </row>
  </sheetData>
  <mergeCells count="1">
    <mergeCell ref="A1:C1"/>
  </mergeCells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3C19-0F2A-430C-B72F-CD85362309C2}">
  <sheetPr>
    <tabColor rgb="FFFFFF00"/>
  </sheetPr>
  <dimension ref="A1:H23"/>
  <sheetViews>
    <sheetView workbookViewId="0">
      <selection activeCell="P31" sqref="P31"/>
    </sheetView>
  </sheetViews>
  <sheetFormatPr defaultRowHeight="13.9" x14ac:dyDescent="0.4"/>
  <cols>
    <col min="1" max="1" width="14.53125" customWidth="1"/>
    <col min="2" max="2" width="12.33203125" customWidth="1"/>
    <col min="3" max="3" width="16.73046875" customWidth="1"/>
  </cols>
  <sheetData>
    <row r="1" spans="1:8" ht="18.399999999999999" x14ac:dyDescent="0.5">
      <c r="A1" s="57" t="s">
        <v>119</v>
      </c>
      <c r="B1" s="57"/>
      <c r="C1" s="57"/>
    </row>
    <row r="2" spans="1:8" x14ac:dyDescent="0.35">
      <c r="A2" s="37" t="s">
        <v>115</v>
      </c>
      <c r="B2" s="38">
        <v>0.22</v>
      </c>
      <c r="C2" s="39"/>
    </row>
    <row r="3" spans="1:8" x14ac:dyDescent="0.35">
      <c r="A3" s="37" t="s">
        <v>116</v>
      </c>
      <c r="B3" s="47">
        <f>XNPV(B2,B9:B15,A9:A15)</f>
        <v>64.961862683133518</v>
      </c>
      <c r="C3" s="39" t="str">
        <f ca="1">_xlfn.FORMULATEXT(B3)</f>
        <v>=XNPV(B2,B9:B15,A9:A15)</v>
      </c>
      <c r="F3" t="s">
        <v>120</v>
      </c>
    </row>
    <row r="4" spans="1:8" x14ac:dyDescent="0.35">
      <c r="A4" s="39" t="s">
        <v>113</v>
      </c>
      <c r="B4" s="45" t="e">
        <f>XIRR(B9:B15,A9:A15)</f>
        <v>#NUM!</v>
      </c>
      <c r="C4" s="39" t="str">
        <f t="shared" ref="C4:C6" ca="1" si="0">_xlfn.FORMULATEXT(B4)</f>
        <v>=XIRR(B9:B15,A9:A15)</v>
      </c>
    </row>
    <row r="5" spans="1:8" x14ac:dyDescent="0.35">
      <c r="A5" s="39"/>
      <c r="B5" s="45" t="e">
        <f>XIRR(B9:B15,A9:A15,35%)</f>
        <v>#NUM!</v>
      </c>
      <c r="C5" s="39" t="str">
        <f t="shared" ca="1" si="0"/>
        <v>=XIRR(B9:B15,A9:A15,35%)</v>
      </c>
      <c r="F5" s="1" t="s">
        <v>1</v>
      </c>
      <c r="G5" s="19">
        <f>B3</f>
        <v>64.961862683133518</v>
      </c>
      <c r="H5" t="str">
        <f ca="1">_xlfn.FORMULATEXT(G5)</f>
        <v>=B3</v>
      </c>
    </row>
    <row r="6" spans="1:8" x14ac:dyDescent="0.35">
      <c r="A6" s="39"/>
      <c r="B6" s="45" t="e">
        <f>XIRR(B9:B15,A9:A15,5%)</f>
        <v>#NUM!</v>
      </c>
      <c r="C6" s="39" t="str">
        <f t="shared" ca="1" si="0"/>
        <v>=XIRR(B9:B15,A9:A15,5%)</v>
      </c>
      <c r="F6" s="18">
        <v>1E-3</v>
      </c>
      <c r="G6" s="3">
        <f t="dataTable" ref="G6:G23" dt2D="0" dtr="0" r1="B2"/>
        <v>-97.366433866481884</v>
      </c>
    </row>
    <row r="7" spans="1:8" x14ac:dyDescent="0.35">
      <c r="A7" s="39"/>
      <c r="B7" s="39"/>
      <c r="C7" s="39"/>
      <c r="F7" s="18">
        <v>2.5000000000000001E-2</v>
      </c>
      <c r="G7" s="3">
        <v>-42.752588461809637</v>
      </c>
    </row>
    <row r="8" spans="1:8" x14ac:dyDescent="0.35">
      <c r="A8" s="40" t="s">
        <v>117</v>
      </c>
      <c r="B8" s="40" t="s">
        <v>118</v>
      </c>
      <c r="C8" s="39"/>
      <c r="F8" s="18">
        <v>4.9000000000000002E-2</v>
      </c>
      <c r="G8" s="3">
        <v>-2.310474758705368</v>
      </c>
    </row>
    <row r="9" spans="1:8" x14ac:dyDescent="0.35">
      <c r="A9" s="41">
        <v>41820</v>
      </c>
      <c r="B9" s="39">
        <v>-500</v>
      </c>
      <c r="C9" s="39"/>
      <c r="F9" s="18">
        <v>7.2999999999999995E-2</v>
      </c>
      <c r="G9" s="3">
        <v>26.837075854900831</v>
      </c>
    </row>
    <row r="10" spans="1:8" x14ac:dyDescent="0.35">
      <c r="A10" s="41">
        <v>42049</v>
      </c>
      <c r="B10" s="39">
        <v>100</v>
      </c>
      <c r="C10" s="39"/>
      <c r="F10" s="18">
        <v>9.7000000000000003E-2</v>
      </c>
      <c r="G10" s="3">
        <v>46.983277802916746</v>
      </c>
    </row>
    <row r="11" spans="1:8" x14ac:dyDescent="0.35">
      <c r="A11" s="41">
        <v>42414</v>
      </c>
      <c r="B11" s="39">
        <v>300</v>
      </c>
      <c r="C11" s="39"/>
      <c r="F11" s="18">
        <v>0.121</v>
      </c>
      <c r="G11" s="3">
        <v>59.961258361210639</v>
      </c>
    </row>
    <row r="12" spans="1:8" x14ac:dyDescent="0.35">
      <c r="A12" s="41">
        <v>42780</v>
      </c>
      <c r="B12" s="39">
        <v>400</v>
      </c>
      <c r="C12" s="39"/>
      <c r="F12" s="18">
        <v>0.14499999999999999</v>
      </c>
      <c r="G12" s="3">
        <v>67.240176253293043</v>
      </c>
    </row>
    <row r="13" spans="1:8" x14ac:dyDescent="0.35">
      <c r="A13" s="41">
        <v>43145</v>
      </c>
      <c r="B13" s="39">
        <v>600</v>
      </c>
      <c r="C13" s="39"/>
      <c r="F13" s="18">
        <v>0.16900000000000001</v>
      </c>
      <c r="G13" s="3">
        <v>70.00016374391646</v>
      </c>
    </row>
    <row r="14" spans="1:8" x14ac:dyDescent="0.35">
      <c r="A14" s="41">
        <v>43510</v>
      </c>
      <c r="B14" s="39">
        <v>800</v>
      </c>
      <c r="C14" s="39"/>
      <c r="F14" s="18">
        <v>0.193</v>
      </c>
      <c r="G14" s="3">
        <v>69.19102187217868</v>
      </c>
    </row>
    <row r="15" spans="1:8" x14ac:dyDescent="0.35">
      <c r="A15" s="41">
        <v>43875</v>
      </c>
      <c r="B15" s="42">
        <v>-1800</v>
      </c>
      <c r="C15" s="39"/>
      <c r="F15" s="18">
        <v>0.217</v>
      </c>
      <c r="G15" s="3">
        <v>65.578387895134142</v>
      </c>
    </row>
    <row r="16" spans="1:8" x14ac:dyDescent="0.4">
      <c r="F16" s="18">
        <v>0.24099999999999999</v>
      </c>
      <c r="G16" s="3">
        <v>59.78019616595418</v>
      </c>
    </row>
    <row r="17" spans="6:7" x14ac:dyDescent="0.4">
      <c r="F17" s="18">
        <v>0.26500000000000001</v>
      </c>
      <c r="G17" s="3">
        <v>52.295583830152623</v>
      </c>
    </row>
    <row r="18" spans="6:7" x14ac:dyDescent="0.4">
      <c r="F18" s="18">
        <v>0.28899999999999998</v>
      </c>
      <c r="G18" s="3">
        <v>43.527890164868666</v>
      </c>
    </row>
    <row r="19" spans="6:7" x14ac:dyDescent="0.4">
      <c r="F19" s="18">
        <v>0.313</v>
      </c>
      <c r="G19" s="3">
        <v>33.8030192950215</v>
      </c>
    </row>
    <row r="20" spans="6:7" x14ac:dyDescent="0.4">
      <c r="F20" s="18">
        <v>0.33700000000000002</v>
      </c>
      <c r="G20" s="3">
        <v>23.384148582167313</v>
      </c>
    </row>
    <row r="21" spans="6:7" x14ac:dyDescent="0.4">
      <c r="F21" s="18">
        <v>0.36099999999999999</v>
      </c>
      <c r="G21" s="3">
        <v>12.483545956100727</v>
      </c>
    </row>
    <row r="22" spans="6:7" x14ac:dyDescent="0.4">
      <c r="F22" s="18">
        <v>0.38500000000000001</v>
      </c>
      <c r="G22" s="3">
        <v>1.2720917685055042</v>
      </c>
    </row>
    <row r="23" spans="6:7" x14ac:dyDescent="0.4">
      <c r="F23" s="18">
        <v>0.40899999999999997</v>
      </c>
      <c r="G23" s="3">
        <v>-10.113028226149225</v>
      </c>
    </row>
  </sheetData>
  <mergeCells count="1">
    <mergeCell ref="A1:C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杰 孙</cp:lastModifiedBy>
  <dcterms:created xsi:type="dcterms:W3CDTF">2025-05-08T14:57:47Z</dcterms:created>
  <dcterms:modified xsi:type="dcterms:W3CDTF">2025-05-12T15:43:34Z</dcterms:modified>
</cp:coreProperties>
</file>