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财务金融建模\"/>
    </mc:Choice>
  </mc:AlternateContent>
  <xr:revisionPtr revIDLastSave="0" documentId="13_ncr:1_{F99C51EA-CA58-4EFC-9C57-536056FF0BB1}" xr6:coauthVersionLast="47" xr6:coauthVersionMax="47" xr10:uidLastSave="{00000000-0000-0000-0000-000000000000}"/>
  <bookViews>
    <workbookView xWindow="-98" yWindow="-98" windowWidth="24196" windowHeight="14476" tabRatio="744" firstSheet="27" activeTab="37" xr2:uid="{21C02653-58BC-42A1-806E-F5493288AC4A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  <sheet name="Sheet36" sheetId="37" r:id="rId36"/>
    <sheet name="Sheet37" sheetId="38" r:id="rId37"/>
    <sheet name="Sheet38" sheetId="39" r:id="rId38"/>
  </sheets>
  <externalReferences>
    <externalReference r:id="rId3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9" l="1"/>
  <c r="B8" i="39"/>
  <c r="B8" i="38"/>
  <c r="B9" i="38"/>
  <c r="G16" i="37" a="1"/>
  <c r="G16" i="37"/>
  <c r="G14" i="37" a="1"/>
  <c r="G14" i="37" s="1"/>
  <c r="G12" i="37"/>
  <c r="G11" i="37"/>
  <c r="G5" i="37"/>
  <c r="G4" i="37"/>
  <c r="G3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C4" i="37"/>
  <c r="B9" i="36"/>
  <c r="B7" i="36"/>
  <c r="B6" i="36"/>
  <c r="B9" i="35"/>
  <c r="B7" i="35"/>
  <c r="B6" i="35"/>
  <c r="C6" i="34"/>
  <c r="C5" i="34"/>
  <c r="C4" i="34"/>
  <c r="G5" i="33"/>
  <c r="B4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B6" i="33"/>
  <c r="B3" i="33"/>
  <c r="B2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10" i="33"/>
  <c r="B3" i="32"/>
  <c r="B2" i="32"/>
  <c r="B9" i="31"/>
  <c r="B6" i="30"/>
  <c r="B3" i="30"/>
  <c r="H4" i="29"/>
  <c r="H5" i="29"/>
  <c r="H6" i="29"/>
  <c r="H7" i="29"/>
  <c r="H8" i="29"/>
  <c r="H9" i="29"/>
  <c r="H10" i="29"/>
  <c r="H11" i="29"/>
  <c r="H12" i="29"/>
  <c r="H3" i="29"/>
  <c r="C15" i="29" a="1"/>
  <c r="C15" i="29" s="1"/>
  <c r="B16" i="28" a="1"/>
  <c r="B16" i="28" s="1"/>
  <c r="C29" i="28"/>
  <c r="C28" i="28"/>
  <c r="C27" i="28"/>
  <c r="C24" i="28"/>
  <c r="C23" i="28"/>
  <c r="C25" i="28" s="1"/>
  <c r="C22" i="28"/>
  <c r="A6" i="27"/>
  <c r="C9" i="39"/>
  <c r="C8" i="39"/>
  <c r="H14" i="37"/>
  <c r="H16" i="37"/>
  <c r="H4" i="37"/>
  <c r="H5" i="37"/>
  <c r="H11" i="37"/>
  <c r="H12" i="37"/>
  <c r="H3" i="37"/>
  <c r="D4" i="37"/>
  <c r="C7" i="36"/>
  <c r="C9" i="36"/>
  <c r="C6" i="36"/>
  <c r="C7" i="35"/>
  <c r="C9" i="35"/>
  <c r="C6" i="35"/>
  <c r="D5" i="34"/>
  <c r="D6" i="34"/>
  <c r="D4" i="34"/>
  <c r="D10" i="34"/>
  <c r="H5" i="33"/>
  <c r="C6" i="33"/>
  <c r="C3" i="33"/>
  <c r="C2" i="33"/>
  <c r="D10" i="33"/>
  <c r="C3" i="32"/>
  <c r="C2" i="32"/>
  <c r="C9" i="31"/>
  <c r="C6" i="30"/>
  <c r="C3" i="30"/>
  <c r="C22" i="29"/>
  <c r="I3" i="29"/>
  <c r="D27" i="28"/>
  <c r="D28" i="28"/>
  <c r="D29" i="28"/>
  <c r="D23" i="28"/>
  <c r="D25" i="28"/>
  <c r="D24" i="28"/>
  <c r="D22" i="28"/>
  <c r="E14" i="28"/>
  <c r="B6" i="27"/>
  <c r="G21" i="24"/>
  <c r="G22" i="24"/>
  <c r="G25" i="24"/>
  <c r="G26" i="24"/>
  <c r="G27" i="24"/>
  <c r="G28" i="24"/>
  <c r="G20" i="24"/>
  <c r="B6" i="34" l="1"/>
  <c r="B5" i="34"/>
  <c r="F28" i="24" l="1"/>
  <c r="F27" i="24"/>
  <c r="F26" i="24"/>
  <c r="F25" i="24"/>
  <c r="F22" i="24"/>
  <c r="F21" i="24"/>
  <c r="F20" i="24"/>
  <c r="H13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5" i="23"/>
  <c r="G7" i="23" s="1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G6" i="22"/>
  <c r="F4" i="22"/>
  <c r="C140" i="22"/>
  <c r="C139" i="22"/>
  <c r="C138" i="22"/>
  <c r="C137" i="22"/>
  <c r="C136" i="22"/>
  <c r="C135" i="22"/>
  <c r="C134" i="22"/>
  <c r="C133" i="22"/>
  <c r="C132" i="22"/>
  <c r="C131" i="22"/>
  <c r="C130" i="22"/>
  <c r="C129" i="22"/>
  <c r="C128" i="22"/>
  <c r="C127" i="22"/>
  <c r="C126" i="22"/>
  <c r="C125" i="22"/>
  <c r="C124" i="22"/>
  <c r="C123" i="22"/>
  <c r="C122" i="22"/>
  <c r="C121" i="22"/>
  <c r="C120" i="22"/>
  <c r="C119" i="22"/>
  <c r="C118" i="22"/>
  <c r="C117" i="22"/>
  <c r="C116" i="22"/>
  <c r="C115" i="22"/>
  <c r="C114" i="22"/>
  <c r="C113" i="22"/>
  <c r="C112" i="22"/>
  <c r="C111" i="22"/>
  <c r="C110" i="22"/>
  <c r="C109" i="22"/>
  <c r="C108" i="22"/>
  <c r="C107" i="22"/>
  <c r="C106" i="22"/>
  <c r="C105" i="22"/>
  <c r="C104" i="22"/>
  <c r="C103" i="22"/>
  <c r="C102" i="22"/>
  <c r="C101" i="22"/>
  <c r="C100" i="22"/>
  <c r="C99" i="22"/>
  <c r="C98" i="22"/>
  <c r="C97" i="22"/>
  <c r="C96" i="22"/>
  <c r="C95" i="22"/>
  <c r="C94" i="22"/>
  <c r="C93" i="22"/>
  <c r="C92" i="22"/>
  <c r="C91" i="22"/>
  <c r="C90" i="22"/>
  <c r="C89" i="22"/>
  <c r="C88" i="22"/>
  <c r="C87" i="22"/>
  <c r="C86" i="22"/>
  <c r="C85" i="22"/>
  <c r="C84" i="22"/>
  <c r="C83" i="22"/>
  <c r="C82" i="22"/>
  <c r="C81" i="22"/>
  <c r="C80" i="22"/>
  <c r="C79" i="22"/>
  <c r="C78" i="22"/>
  <c r="C77" i="22"/>
  <c r="C76" i="22"/>
  <c r="C75" i="22"/>
  <c r="C74" i="22"/>
  <c r="C73" i="22"/>
  <c r="C72" i="22"/>
  <c r="C71" i="22"/>
  <c r="C70" i="22"/>
  <c r="C69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G8" i="21"/>
  <c r="C8" i="21"/>
  <c r="C7" i="21"/>
  <c r="C6" i="21"/>
  <c r="C5" i="21"/>
  <c r="G7" i="21" s="1"/>
  <c r="G8" i="20"/>
  <c r="G7" i="20"/>
  <c r="G6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5" i="20"/>
  <c r="E12" i="19"/>
  <c r="E11" i="19"/>
  <c r="E10" i="19"/>
  <c r="E9" i="19"/>
  <c r="E5" i="19"/>
  <c r="E4" i="19"/>
  <c r="E3" i="19"/>
  <c r="G21" i="18"/>
  <c r="C19" i="18"/>
  <c r="C20" i="18"/>
  <c r="C25" i="18" s="1"/>
  <c r="C21" i="18"/>
  <c r="C22" i="18"/>
  <c r="C29" i="18" s="1"/>
  <c r="C23" i="18"/>
  <c r="C24" i="18"/>
  <c r="C26" i="18"/>
  <c r="C27" i="18"/>
  <c r="C28" i="18"/>
  <c r="G26" i="18"/>
  <c r="G25" i="18"/>
  <c r="G24" i="18"/>
  <c r="G22" i="18"/>
  <c r="G20" i="18"/>
  <c r="G19" i="18"/>
  <c r="B29" i="18"/>
  <c r="B28" i="18"/>
  <c r="B27" i="18"/>
  <c r="B26" i="18"/>
  <c r="B25" i="18"/>
  <c r="B24" i="18"/>
  <c r="B23" i="18"/>
  <c r="B22" i="18"/>
  <c r="B21" i="18"/>
  <c r="B20" i="18"/>
  <c r="B19" i="18"/>
  <c r="B3" i="17"/>
  <c r="F7" i="17" s="1"/>
  <c r="B6" i="17"/>
  <c r="B5" i="17"/>
  <c r="B4" i="17"/>
  <c r="E3" i="16"/>
  <c r="B3" i="16"/>
  <c r="B17" i="15"/>
  <c r="I13" i="23"/>
  <c r="H7" i="23"/>
  <c r="H6" i="23"/>
  <c r="F5" i="22"/>
  <c r="H8" i="22"/>
  <c r="H6" i="22"/>
  <c r="D5" i="22"/>
  <c r="H7" i="22"/>
  <c r="H8" i="21"/>
  <c r="H7" i="21"/>
  <c r="H6" i="21"/>
  <c r="D5" i="21"/>
  <c r="H7" i="20"/>
  <c r="H8" i="20"/>
  <c r="H6" i="20"/>
  <c r="D5" i="20"/>
  <c r="F4" i="19"/>
  <c r="F5" i="19"/>
  <c r="F9" i="19"/>
  <c r="F10" i="19"/>
  <c r="F11" i="19"/>
  <c r="F12" i="19"/>
  <c r="F3" i="19"/>
  <c r="D20" i="18"/>
  <c r="D21" i="18"/>
  <c r="D22" i="18"/>
  <c r="D25" i="18"/>
  <c r="D26" i="18"/>
  <c r="D27" i="18"/>
  <c r="D28" i="18"/>
  <c r="D29" i="18"/>
  <c r="D23" i="18"/>
  <c r="D24" i="18"/>
  <c r="D19" i="18"/>
  <c r="H25" i="18"/>
  <c r="H26" i="18"/>
  <c r="H20" i="18"/>
  <c r="H21" i="18"/>
  <c r="H22" i="18"/>
  <c r="H24" i="18"/>
  <c r="H19" i="18"/>
  <c r="G7" i="17"/>
  <c r="C3" i="17"/>
  <c r="C6" i="17"/>
  <c r="C5" i="17"/>
  <c r="C4" i="17"/>
  <c r="F3" i="16"/>
  <c r="C3" i="16"/>
  <c r="C17" i="15"/>
  <c r="A18" i="14"/>
  <c r="G6" i="23" l="1"/>
  <c r="G13" i="23" s="1"/>
  <c r="G8" i="22"/>
  <c r="G7" i="22"/>
  <c r="G6" i="21"/>
  <c r="B16" i="14"/>
  <c r="D5" i="14" s="1"/>
  <c r="D3" i="14"/>
  <c r="C5" i="14"/>
  <c r="C6" i="14"/>
  <c r="C7" i="14"/>
  <c r="C8" i="14"/>
  <c r="C9" i="14"/>
  <c r="C10" i="14"/>
  <c r="C11" i="14"/>
  <c r="C12" i="14"/>
  <c r="C13" i="14"/>
  <c r="C14" i="14"/>
  <c r="C4" i="14"/>
  <c r="B16" i="13"/>
  <c r="B10" i="12"/>
  <c r="B9" i="12"/>
  <c r="B8" i="12"/>
  <c r="B7" i="12"/>
  <c r="B6" i="12"/>
  <c r="B5" i="12"/>
  <c r="B17" i="11"/>
  <c r="B16" i="11"/>
  <c r="B15" i="11"/>
  <c r="B14" i="11"/>
  <c r="B13" i="11"/>
  <c r="B12" i="11"/>
  <c r="B9" i="11"/>
  <c r="B8" i="11"/>
  <c r="B7" i="11"/>
  <c r="B4" i="11"/>
  <c r="B3" i="11"/>
  <c r="B2" i="11"/>
  <c r="A4" i="11"/>
  <c r="A3" i="11"/>
  <c r="A2" i="11"/>
  <c r="I10" i="10"/>
  <c r="I5" i="10"/>
  <c r="A10" i="10"/>
  <c r="B7" i="10"/>
  <c r="D8" i="9"/>
  <c r="D9" i="9"/>
  <c r="D10" i="9"/>
  <c r="D11" i="9"/>
  <c r="D12" i="9"/>
  <c r="D13" i="9"/>
  <c r="D14" i="9"/>
  <c r="D15" i="9"/>
  <c r="D16" i="9"/>
  <c r="D7" i="9"/>
  <c r="B8" i="9"/>
  <c r="B9" i="9"/>
  <c r="B10" i="9"/>
  <c r="B11" i="9"/>
  <c r="B12" i="9"/>
  <c r="B13" i="9"/>
  <c r="B14" i="9"/>
  <c r="B15" i="9"/>
  <c r="B16" i="9"/>
  <c r="B7" i="9"/>
  <c r="E10" i="8"/>
  <c r="D10" i="8"/>
  <c r="D9" i="8"/>
  <c r="E9" i="8" s="1"/>
  <c r="B10" i="8" s="1"/>
  <c r="C10" i="8"/>
  <c r="C11" i="8"/>
  <c r="C12" i="8"/>
  <c r="C13" i="8"/>
  <c r="C14" i="8"/>
  <c r="C15" i="8"/>
  <c r="C16" i="8"/>
  <c r="C17" i="8"/>
  <c r="C18" i="8"/>
  <c r="C9" i="8"/>
  <c r="B9" i="8"/>
  <c r="B5" i="8"/>
  <c r="B12" i="7"/>
  <c r="B6" i="7"/>
  <c r="B13" i="6"/>
  <c r="B6" i="6"/>
  <c r="B21" i="5"/>
  <c r="B16" i="5"/>
  <c r="B15" i="5"/>
  <c r="B11" i="4"/>
  <c r="B10" i="4"/>
  <c r="C14" i="3"/>
  <c r="C8" i="3"/>
  <c r="B14" i="3"/>
  <c r="B8" i="3"/>
  <c r="B14" i="2"/>
  <c r="B13" i="2"/>
  <c r="B12" i="2"/>
  <c r="C6" i="2"/>
  <c r="C7" i="2"/>
  <c r="C8" i="2"/>
  <c r="C9" i="2"/>
  <c r="C10" i="2"/>
  <c r="C5" i="2"/>
  <c r="E16" i="14"/>
  <c r="C16" i="14"/>
  <c r="C16" i="13"/>
  <c r="C6" i="12"/>
  <c r="C8" i="12"/>
  <c r="C7" i="12"/>
  <c r="C9" i="12"/>
  <c r="C10" i="12"/>
  <c r="C5" i="12"/>
  <c r="C3" i="11"/>
  <c r="C4" i="11"/>
  <c r="C14" i="11"/>
  <c r="C12" i="11"/>
  <c r="C16" i="11"/>
  <c r="C7" i="11"/>
  <c r="C8" i="11"/>
  <c r="C13" i="11"/>
  <c r="C15" i="11"/>
  <c r="C17" i="11"/>
  <c r="C9" i="11"/>
  <c r="C2" i="11"/>
  <c r="J10" i="10"/>
  <c r="J5" i="10"/>
  <c r="B10" i="10"/>
  <c r="C7" i="10"/>
  <c r="E8" i="9"/>
  <c r="C8" i="9"/>
  <c r="E7" i="9"/>
  <c r="C7" i="9"/>
  <c r="F9" i="8"/>
  <c r="E3" i="8"/>
  <c r="E20" i="8"/>
  <c r="A20" i="8"/>
  <c r="C12" i="7"/>
  <c r="C6" i="7"/>
  <c r="C13" i="6"/>
  <c r="C6" i="6"/>
  <c r="C16" i="5"/>
  <c r="C21" i="5"/>
  <c r="C15" i="5"/>
  <c r="C11" i="4"/>
  <c r="C10" i="4"/>
  <c r="C15" i="3"/>
  <c r="B15" i="3"/>
  <c r="C9" i="3"/>
  <c r="B9" i="3"/>
  <c r="C14" i="2"/>
  <c r="C13" i="2"/>
  <c r="C12" i="2"/>
  <c r="D5" i="2"/>
  <c r="D14" i="14" l="1"/>
  <c r="D13" i="14"/>
  <c r="D12" i="14"/>
  <c r="D11" i="14"/>
  <c r="D6" i="14"/>
  <c r="D4" i="14"/>
  <c r="D10" i="14"/>
  <c r="D9" i="14"/>
  <c r="D8" i="14"/>
  <c r="D7" i="14"/>
  <c r="B11" i="8"/>
  <c r="D11" i="8" s="1"/>
  <c r="E11" i="8" s="1"/>
  <c r="D16" i="14" l="1"/>
  <c r="B12" i="8"/>
  <c r="D12" i="8" s="1"/>
  <c r="E12" i="8" s="1"/>
  <c r="B13" i="8" l="1"/>
  <c r="D13" i="8" s="1"/>
  <c r="E13" i="8" s="1"/>
  <c r="B14" i="8" l="1"/>
  <c r="D14" i="8" l="1"/>
  <c r="E14" i="8" s="1"/>
  <c r="B15" i="8" s="1"/>
  <c r="D15" i="8" l="1"/>
  <c r="E15" i="8" s="1"/>
  <c r="B16" i="8" s="1"/>
  <c r="D16" i="8" l="1"/>
  <c r="E16" i="8" s="1"/>
  <c r="B17" i="8" s="1"/>
  <c r="D17" i="8" l="1"/>
  <c r="E17" i="8" s="1"/>
  <c r="B18" i="8" s="1"/>
  <c r="D18" i="8" s="1"/>
  <c r="E1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<sst xmlns="http://schemas.openxmlformats.org/spreadsheetml/2006/main" count="387" uniqueCount="212">
  <si>
    <t>EXCEL'S NPV FUNCTION</t>
  </si>
  <si>
    <t>Discount rate</t>
  </si>
  <si>
    <t>Year</t>
  </si>
  <si>
    <t>Cash flow</t>
  </si>
  <si>
    <t>Present value</t>
  </si>
  <si>
    <t>Present value
of future cash flows</t>
  </si>
  <si>
    <t>Net present value</t>
  </si>
  <si>
    <t>NPV IGNORES BLANK CELLS!</t>
  </si>
  <si>
    <t>EXCEL'S IRR FUNCTION</t>
  </si>
  <si>
    <t>IRR</t>
  </si>
  <si>
    <t>MULTIPLE IRRs</t>
  </si>
  <si>
    <t>Cash
flows</t>
  </si>
  <si>
    <t>Data table</t>
  </si>
  <si>
    <t>Rate</t>
  </si>
  <si>
    <t>NPV</t>
  </si>
  <si>
    <t>THE PV FUNCTION</t>
  </si>
  <si>
    <t>Payments made at the end of the period</t>
  </si>
  <si>
    <t>Number of periods</t>
  </si>
  <si>
    <t>Periodic payment</t>
  </si>
  <si>
    <t>Payments made at the beginning of the period</t>
  </si>
  <si>
    <t>THE PMT FUNCTION</t>
  </si>
  <si>
    <t>Principal</t>
  </si>
  <si>
    <t>Payment</t>
  </si>
  <si>
    <t>LOAN TABLE</t>
  </si>
  <si>
    <t>Interest</t>
  </si>
  <si>
    <t>Annual payment</t>
  </si>
  <si>
    <t>Split payment into</t>
  </si>
  <si>
    <t>Principal at beginning of year</t>
  </si>
  <si>
    <t>Repayment of principal</t>
  </si>
  <si>
    <t>付款金额的分解</t>
    <phoneticPr fontId="19" type="noConversion"/>
  </si>
  <si>
    <t>IPMT AND PPMT</t>
  </si>
  <si>
    <t>Principal payment at end year</t>
  </si>
  <si>
    <t>Interest payment at end year</t>
  </si>
  <si>
    <t>星期一</t>
    <phoneticPr fontId="19" type="noConversion"/>
  </si>
  <si>
    <t>星期二</t>
    <phoneticPr fontId="19" type="noConversion"/>
  </si>
  <si>
    <t>相隔天数</t>
    <phoneticPr fontId="19" type="noConversion"/>
  </si>
  <si>
    <t>Serial representation</t>
  </si>
  <si>
    <t>Date/Time Format</t>
  </si>
  <si>
    <t>Different formatting of Now()</t>
  </si>
  <si>
    <t>Using Weekday, Month, Weeknum, Day</t>
  </si>
  <si>
    <t>DATEDIF COMPUTES THE DIFFERENCE BETWEEN TWO DATES</t>
  </si>
  <si>
    <t>Date1</t>
  </si>
  <si>
    <t>Date2</t>
  </si>
  <si>
    <t>Number of years between dates</t>
  </si>
  <si>
    <t>Number of months between dates</t>
  </si>
  <si>
    <t>Number of days between dates</t>
  </si>
  <si>
    <t>Number of days in excess of full number of months</t>
  </si>
  <si>
    <t>Number of months in excess of full number of years</t>
  </si>
  <si>
    <t>Number of days in excess of full number of years</t>
  </si>
  <si>
    <t>THE EXCEL XIRR FUNCTION</t>
  </si>
  <si>
    <t>Date</t>
  </si>
  <si>
    <t>XIRR</t>
  </si>
  <si>
    <t>HOW DOES XIRR WORK?
XIRR computes the daily internal rate of return</t>
  </si>
  <si>
    <t>Days from initial date</t>
  </si>
  <si>
    <t>THE EXCEL XNPV FUNCTION</t>
  </si>
  <si>
    <t>XNPV</t>
  </si>
  <si>
    <t>XNPV DOES NOT WORK WITH ZERO DISCOUNT RATES</t>
  </si>
  <si>
    <t>PROBLEMS WITH XIRR</t>
  </si>
  <si>
    <t>Data table:  XNPV as function of discount rate</t>
  </si>
  <si>
    <t>Discount</t>
  </si>
  <si>
    <t>BASIC STATISTICAL FUNCTIONS</t>
  </si>
  <si>
    <t>Observation</t>
  </si>
  <si>
    <t>X</t>
  </si>
  <si>
    <t>Y</t>
  </si>
  <si>
    <t>Average</t>
  </si>
  <si>
    <t>Sample variance</t>
  </si>
  <si>
    <t>Population variance</t>
  </si>
  <si>
    <t>Sample standard deviation</t>
  </si>
  <si>
    <t>Population standard deviation</t>
  </si>
  <si>
    <t>Correlation</t>
  </si>
  <si>
    <t>Covariance</t>
  </si>
  <si>
    <t>Regression intercept</t>
  </si>
  <si>
    <t>Regression slope</t>
  </si>
  <si>
    <t>Regression r-squared</t>
  </si>
  <si>
    <r>
      <t xml:space="preserve">COMPUTING COVARIANCE AND CORRELATION 
FOR MCDONALD'S (MCD) AND WENDY'S (WEN)
</t>
    </r>
    <r>
      <rPr>
        <sz val="14"/>
        <rFont val="Arial"/>
        <family val="2"/>
      </rPr>
      <t>Highlighted cells are new functions with Excel 2013</t>
    </r>
  </si>
  <si>
    <t>MCD</t>
  </si>
  <si>
    <t>WEN</t>
  </si>
  <si>
    <t>MANIPULATING APPLE STOCK RETURNS, PRICES USING DAVERAGE, DVAR, etc.</t>
  </si>
  <si>
    <t>Criterion range (2 rows)</t>
  </si>
  <si>
    <t>AAPL</t>
  </si>
  <si>
    <t>Return</t>
  </si>
  <si>
    <t>Variance</t>
  </si>
  <si>
    <t>Sigma</t>
  </si>
  <si>
    <t>&gt;10%</t>
    <phoneticPr fontId="19" type="noConversion"/>
  </si>
  <si>
    <t>&lt;9%</t>
    <phoneticPr fontId="19" type="noConversion"/>
  </si>
  <si>
    <t>Year</t>
    <phoneticPr fontId="19" type="noConversion"/>
  </si>
  <si>
    <t>Average</t>
    <phoneticPr fontId="19" type="noConversion"/>
  </si>
  <si>
    <t>Sigma</t>
    <phoneticPr fontId="19" type="noConversion"/>
  </si>
  <si>
    <t>Table Data</t>
    <phoneticPr fontId="19" type="noConversion"/>
  </si>
  <si>
    <t>REGRESSING WEN ON MCD</t>
  </si>
  <si>
    <t>Regression using functions</t>
  </si>
  <si>
    <t>Intercept</t>
  </si>
  <si>
    <t>Slope</t>
  </si>
  <si>
    <t>R-squared</t>
  </si>
  <si>
    <t>Note that</t>
  </si>
  <si>
    <t>MCD(x)</t>
    <phoneticPr fontId="19" type="noConversion"/>
  </si>
  <si>
    <t>WEN(y)</t>
    <phoneticPr fontId="19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</si>
  <si>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</si>
  <si>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</si>
  <si>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</si>
  <si>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</si>
  <si>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</si>
  <si>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</si>
  <si>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</si>
  <si>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</si>
  <si>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</si>
  <si>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</si>
  <si>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</si>
  <si>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</si>
  <si>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</si>
  <si>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</si>
  <si>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</si>
  <si>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</si>
  <si>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</si>
  <si>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</si>
  <si>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</si>
  <si>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</si>
  <si>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</si>
  <si>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</si>
  <si>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</si>
  <si>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</si>
  <si>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USING DATA|DATA ANALYSIS|REGRESSION</t>
  </si>
  <si>
    <r>
      <t>X</t>
    </r>
    <r>
      <rPr>
        <b/>
        <vertAlign val="subscript"/>
        <sz val="10"/>
        <rFont val="Arial"/>
        <family val="2"/>
      </rPr>
      <t>1</t>
    </r>
  </si>
  <si>
    <r>
      <t>X</t>
    </r>
    <r>
      <rPr>
        <b/>
        <vertAlign val="subscript"/>
        <sz val="10"/>
        <rFont val="Arial"/>
        <family val="2"/>
      </rPr>
      <t>2</t>
    </r>
  </si>
  <si>
    <t>X Variable 2</t>
  </si>
  <si>
    <t>USING THE INDEX FUNCTION</t>
  </si>
  <si>
    <t>a</t>
  </si>
  <si>
    <t>b</t>
  </si>
  <si>
    <t>Simon</t>
  </si>
  <si>
    <t>Howie</t>
  </si>
  <si>
    <t>q</t>
  </si>
  <si>
    <t>Jack</t>
  </si>
  <si>
    <t>USING LINEST FOR A SIMPLE REGRESSION</t>
  </si>
  <si>
    <t>Linest output</t>
  </si>
  <si>
    <t>slope</t>
  </si>
  <si>
    <t>intercept</t>
  </si>
  <si>
    <r>
      <t xml:space="preserve">Slope (also </t>
    </r>
    <r>
      <rPr>
        <b/>
        <sz val="10"/>
        <rFont val="Arial"/>
        <family val="2"/>
      </rPr>
      <t>=slope(C3:C12,B3:B12)</t>
    </r>
    <r>
      <rPr>
        <sz val="10"/>
        <rFont val="Arial"/>
        <family val="2"/>
      </rPr>
      <t xml:space="preserve"> )</t>
    </r>
    <r>
      <rPr>
        <sz val="11"/>
        <color theme="1"/>
        <rFont val="等线"/>
        <family val="2"/>
        <charset val="134"/>
        <scheme val="minor"/>
      </rPr>
      <t>--&gt;</t>
    </r>
  </si>
  <si>
    <t>&lt;-- Intercept</t>
  </si>
  <si>
    <t>Standard error of slope --&gt;</t>
  </si>
  <si>
    <t>&lt;-- Standard error of intercept</t>
  </si>
  <si>
    <r>
      <t>R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 xml:space="preserve">(also </t>
    </r>
    <r>
      <rPr>
        <b/>
        <sz val="10"/>
        <rFont val="Arial"/>
        <family val="2"/>
      </rPr>
      <t xml:space="preserve">=Rsq(C3:C12,B3:B12) </t>
    </r>
    <r>
      <rPr>
        <sz val="10"/>
        <rFont val="Arial"/>
        <family val="2"/>
      </rPr>
      <t>)</t>
    </r>
    <r>
      <rPr>
        <sz val="11"/>
        <color theme="1"/>
        <rFont val="等线"/>
        <family val="2"/>
        <charset val="134"/>
        <scheme val="minor"/>
      </rPr>
      <t xml:space="preserve"> --&gt;</t>
    </r>
  </si>
  <si>
    <r>
      <t xml:space="preserve">&lt;-- Standard error of y values (also </t>
    </r>
    <r>
      <rPr>
        <b/>
        <sz val="10"/>
        <rFont val="Arial"/>
        <family val="2"/>
      </rPr>
      <t xml:space="preserve">=Steyx(C3:C12,B3:B12) </t>
    </r>
    <r>
      <rPr>
        <sz val="10"/>
        <rFont val="Arial"/>
        <family val="2"/>
      </rPr>
      <t>)</t>
    </r>
  </si>
  <si>
    <t>F statistic --&gt;</t>
  </si>
  <si>
    <t>&lt;-- Degrees of freedom</t>
  </si>
  <si>
    <r>
      <t>SS</t>
    </r>
    <r>
      <rPr>
        <vertAlign val="subscript"/>
        <sz val="10"/>
        <rFont val="Arial"/>
        <family val="2"/>
      </rPr>
      <t>xy</t>
    </r>
    <r>
      <rPr>
        <sz val="11"/>
        <color theme="1"/>
        <rFont val="等线"/>
        <family val="2"/>
        <charset val="134"/>
        <scheme val="minor"/>
      </rPr>
      <t xml:space="preserve"> = Slope*(summed product of observations from means) --&gt;</t>
    </r>
  </si>
  <si>
    <t xml:space="preserve">&lt;-- SSE = Residual sum of squares </t>
  </si>
  <si>
    <r>
      <t>R</t>
    </r>
    <r>
      <rPr>
        <vertAlign val="superscript"/>
        <sz val="10"/>
        <rFont val="Arial"/>
        <family val="2"/>
      </rPr>
      <t>2</t>
    </r>
  </si>
  <si>
    <t>t-statistic</t>
  </si>
  <si>
    <t>Standard error of slope</t>
  </si>
  <si>
    <t>USING LINEST TO DO A MULTIPLE REGRESSION</t>
  </si>
  <si>
    <t>Predicted Y</t>
  </si>
  <si>
    <r>
      <t>x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coeff.</t>
    </r>
  </si>
  <si>
    <r>
      <t>x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coeff.</t>
    </r>
  </si>
  <si>
    <t>Slope --&gt;</t>
  </si>
  <si>
    <t>Standard error  --&gt;</t>
  </si>
  <si>
    <r>
      <t>R</t>
    </r>
    <r>
      <rPr>
        <vertAlign val="superscript"/>
        <sz val="10"/>
        <rFont val="Arial"/>
        <family val="2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 --&gt;</t>
    </r>
  </si>
  <si>
    <r>
      <t>SS</t>
    </r>
    <r>
      <rPr>
        <vertAlign val="subscript"/>
        <sz val="10"/>
        <rFont val="Arial"/>
        <family val="2"/>
      </rPr>
      <t>xy</t>
    </r>
    <r>
      <rPr>
        <sz val="11"/>
        <color theme="1"/>
        <rFont val="等线"/>
        <family val="2"/>
        <charset val="134"/>
        <scheme val="minor"/>
      </rPr>
      <t xml:space="preserve">  --&gt;</t>
    </r>
  </si>
  <si>
    <t>THE IF FUNCTION</t>
  </si>
  <si>
    <t>Initial number</t>
  </si>
  <si>
    <t>If statement</t>
  </si>
  <si>
    <t>VLOOKUP FUNCTION</t>
  </si>
  <si>
    <t>Income</t>
  </si>
  <si>
    <t>Tax
rate</t>
  </si>
  <si>
    <t>Tax rate</t>
  </si>
  <si>
    <t>COUNT, COUNTA</t>
  </si>
  <si>
    <r>
      <t>Count</t>
    </r>
    <r>
      <rPr>
        <sz val="10"/>
        <rFont val="Arial"/>
        <family val="2"/>
      </rPr>
      <t xml:space="preserve">:  Count </t>
    </r>
    <r>
      <rPr>
        <sz val="11"/>
        <color theme="1"/>
        <rFont val="等线"/>
        <family val="2"/>
        <charset val="134"/>
        <scheme val="minor"/>
      </rPr>
      <t>only numerical values</t>
    </r>
  </si>
  <si>
    <t>two</t>
  </si>
  <si>
    <r>
      <t>CountA</t>
    </r>
    <r>
      <rPr>
        <sz val="11"/>
        <color theme="1"/>
        <rFont val="等线"/>
        <family val="2"/>
        <charset val="134"/>
        <scheme val="minor"/>
      </rPr>
      <t>:  count all non-blank cells</t>
    </r>
  </si>
  <si>
    <t>six</t>
  </si>
  <si>
    <t>seven</t>
  </si>
  <si>
    <t>USING COUNTIF ON MERCK'S WEEKLY STOCK RETURNS</t>
  </si>
  <si>
    <t>Number of returns</t>
  </si>
  <si>
    <t>Returns over 2%</t>
  </si>
  <si>
    <t>Data table:  number of returns above cutoff</t>
  </si>
  <si>
    <t>Cutoff</t>
  </si>
  <si>
    <t>Returns over cutoff</t>
  </si>
  <si>
    <t>Merck
price</t>
  </si>
  <si>
    <t>Merck price</t>
    <phoneticPr fontId="19" type="noConversion"/>
  </si>
  <si>
    <t>USING COUNTIFS FOR MULTIPLE-CRITERIA COUNTS</t>
  </si>
  <si>
    <t>Lower cutoff</t>
  </si>
  <si>
    <t>Upper cutoff</t>
  </si>
  <si>
    <t>One cutoff</t>
  </si>
  <si>
    <t>Multiple cutoffs</t>
  </si>
  <si>
    <t>..l</t>
    <phoneticPr fontId="19" type="noConversion"/>
  </si>
  <si>
    <t xml:space="preserve"> BASIC BOOLEAN FUNCTIONS</t>
  </si>
  <si>
    <t>x</t>
  </si>
  <si>
    <t>y</t>
  </si>
  <si>
    <t>Number</t>
  </si>
  <si>
    <t>Is number &lt;= x?</t>
  </si>
  <si>
    <t>Is number &gt; y?</t>
  </si>
  <si>
    <t>Multiplying</t>
  </si>
  <si>
    <t>USING BOOLEAN FUNCTIONS</t>
  </si>
  <si>
    <t>Marriott
stock price</t>
  </si>
  <si>
    <t>How many data points?</t>
  </si>
  <si>
    <t>Maximal return</t>
  </si>
  <si>
    <t>Minimal return</t>
  </si>
  <si>
    <t>Upper bound</t>
  </si>
  <si>
    <t>Lower bound</t>
  </si>
  <si>
    <t>How many &lt; upper bound?</t>
  </si>
  <si>
    <t>How many &gt; lower bound?</t>
  </si>
  <si>
    <t>How many between upper
and lower bounds?</t>
  </si>
  <si>
    <t>Average of returns
between the bounds</t>
  </si>
  <si>
    <t>USING OFFSET</t>
  </si>
  <si>
    <t>Starting corner</t>
  </si>
  <si>
    <t>Rows down</t>
  </si>
  <si>
    <t>Columns over</t>
  </si>
  <si>
    <t>Range to be summed</t>
  </si>
  <si>
    <t>Number of rows</t>
  </si>
  <si>
    <t>Number of columns</t>
  </si>
  <si>
    <t>Sum</t>
  </si>
  <si>
    <t>Check</t>
  </si>
  <si>
    <r>
      <t xml:space="preserve">USING OFFSET
</t>
    </r>
    <r>
      <rPr>
        <b/>
        <sz val="12"/>
        <rFont val="Arial"/>
        <family val="2"/>
      </rPr>
      <t>with negative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</si>
</sst>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#,##0.00_ "/>
    <numFmt numFmtId="178" formatCode="#,##0.0000_ "/>
    <numFmt numFmtId="179" formatCode=";;"/>
    <numFmt numFmtId="181" formatCode="mmm/d/yyyy"/>
    <numFmt numFmtId="182" formatCode="[$-409]d/mmm/yy;@"/>
    <numFmt numFmtId="184" formatCode="[$-409]h:mm\ AM/PM;@"/>
    <numFmt numFmtId="187" formatCode="yyyy/m/d\ h:mm;@"/>
    <numFmt numFmtId="188" formatCode="#,##0.0000"/>
    <numFmt numFmtId="189" formatCode="[$-409]d\-mmm\-yy;@"/>
    <numFmt numFmtId="192" formatCode="0.0000%"/>
    <numFmt numFmtId="193" formatCode="#,##0.00000_ "/>
    <numFmt numFmtId="194" formatCode="0.0000"/>
    <numFmt numFmtId="195" formatCode="_(* #,##0.00_);_(* \(#,##0.00\);_(* &quot;-&quot;??_);_(@_)"/>
  </numFmts>
  <fonts count="3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0" fontId="23" fillId="0" borderId="0"/>
    <xf numFmtId="9" fontId="23" fillId="0" borderId="0" applyFont="0" applyFill="0" applyBorder="0" applyAlignment="0" applyProtection="0"/>
    <xf numFmtId="195" fontId="23" fillId="0" borderId="0" applyFont="0" applyFill="0" applyBorder="0" applyAlignment="0" applyProtection="0"/>
  </cellStyleXfs>
  <cellXfs count="149">
    <xf numFmtId="0" fontId="0" fillId="0" borderId="0" xfId="0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/>
    <xf numFmtId="9" fontId="0" fillId="0" borderId="0" xfId="0" applyNumberFormat="1" applyAlignme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/>
    <xf numFmtId="0" fontId="0" fillId="34" borderId="0" xfId="0" applyFill="1" applyAlignment="1">
      <alignment horizontal="left" vertical="center" wrapText="1"/>
    </xf>
    <xf numFmtId="4" fontId="0" fillId="34" borderId="0" xfId="0" applyNumberFormat="1" applyFill="1" applyAlignment="1"/>
    <xf numFmtId="0" fontId="0" fillId="34" borderId="0" xfId="0" applyFill="1" applyAlignment="1"/>
    <xf numFmtId="4" fontId="0" fillId="0" borderId="0" xfId="0" applyNumberFormat="1" applyAlignment="1">
      <alignment horizontal="right"/>
    </xf>
    <xf numFmtId="4" fontId="0" fillId="34" borderId="0" xfId="0" applyNumberFormat="1" applyFill="1" applyAlignment="1">
      <alignment horizontal="right"/>
    </xf>
    <xf numFmtId="10" fontId="0" fillId="0" borderId="0" xfId="0" applyNumberFormat="1" applyAlignment="1"/>
    <xf numFmtId="10" fontId="0" fillId="34" borderId="0" xfId="0" applyNumberFormat="1" applyFill="1" applyAlignment="1"/>
    <xf numFmtId="3" fontId="0" fillId="0" borderId="0" xfId="0" applyNumberFormat="1" applyAlignment="1"/>
    <xf numFmtId="0" fontId="21" fillId="0" borderId="0" xfId="0" applyFont="1" applyAlignment="1"/>
    <xf numFmtId="10" fontId="0" fillId="0" borderId="0" xfId="0" applyNumberFormat="1" applyAlignment="1">
      <alignment horizontal="center"/>
    </xf>
    <xf numFmtId="178" fontId="0" fillId="0" borderId="0" xfId="0" applyNumberFormat="1">
      <alignment vertical="center"/>
    </xf>
    <xf numFmtId="0" fontId="0" fillId="35" borderId="0" xfId="0" applyFill="1" applyAlignment="1">
      <alignment horizontal="center"/>
    </xf>
    <xf numFmtId="179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4" fontId="0" fillId="35" borderId="0" xfId="0" applyNumberFormat="1" applyFill="1" applyAlignment="1"/>
    <xf numFmtId="4" fontId="0" fillId="0" borderId="0" xfId="0" applyNumberFormat="1" applyAlignment="1">
      <alignment horizontal="center"/>
    </xf>
    <xf numFmtId="15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4" borderId="0" xfId="0" applyNumberFormat="1" applyFill="1">
      <alignment vertical="center"/>
    </xf>
    <xf numFmtId="15" fontId="0" fillId="34" borderId="0" xfId="0" applyNumberFormat="1" applyFill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8" fontId="0" fillId="0" borderId="0" xfId="0" applyNumberFormat="1">
      <alignment vertical="center"/>
    </xf>
    <xf numFmtId="18" fontId="0" fillId="34" borderId="0" xfId="0" applyNumberFormat="1" applyFill="1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/>
    <xf numFmtId="14" fontId="0" fillId="0" borderId="0" xfId="0" applyNumberFormat="1" applyAlignment="1"/>
    <xf numFmtId="181" fontId="0" fillId="0" borderId="0" xfId="0" applyNumberFormat="1" applyAlignment="1"/>
    <xf numFmtId="182" fontId="0" fillId="0" borderId="0" xfId="0" applyNumberFormat="1" applyAlignment="1"/>
    <xf numFmtId="184" fontId="0" fillId="0" borderId="0" xfId="0" applyNumberFormat="1" applyAlignment="1"/>
    <xf numFmtId="0" fontId="0" fillId="0" borderId="0" xfId="0" applyNumberFormat="1" applyAlignment="1"/>
    <xf numFmtId="187" fontId="0" fillId="0" borderId="0" xfId="0" applyNumberFormat="1" applyAlignment="1"/>
    <xf numFmtId="15" fontId="0" fillId="0" borderId="0" xfId="0" applyNumberFormat="1" applyAlignment="1"/>
    <xf numFmtId="15" fontId="0" fillId="0" borderId="0" xfId="0" applyNumberFormat="1" applyAlignment="1">
      <alignment horizontal="center"/>
    </xf>
    <xf numFmtId="10" fontId="0" fillId="34" borderId="0" xfId="42" applyNumberFormat="1" applyFont="1" applyFill="1" applyAlignment="1"/>
    <xf numFmtId="0" fontId="20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36" borderId="0" xfId="0" applyFill="1" applyAlignment="1">
      <alignment horizontal="center" wrapText="1"/>
    </xf>
    <xf numFmtId="4" fontId="0" fillId="34" borderId="0" xfId="42" applyNumberFormat="1" applyFont="1" applyFill="1" applyAlignment="1"/>
    <xf numFmtId="0" fontId="20" fillId="0" borderId="0" xfId="43" applyFont="1" applyAlignment="1">
      <alignment horizontal="center"/>
    </xf>
    <xf numFmtId="0" fontId="22" fillId="0" borderId="0" xfId="43" applyFont="1"/>
    <xf numFmtId="9" fontId="22" fillId="0" borderId="0" xfId="43" applyNumberFormat="1" applyFont="1"/>
    <xf numFmtId="0" fontId="22" fillId="33" borderId="0" xfId="43" applyFont="1" applyFill="1"/>
    <xf numFmtId="4" fontId="22" fillId="0" borderId="0" xfId="43" applyNumberFormat="1" applyFont="1"/>
    <xf numFmtId="0" fontId="21" fillId="0" borderId="0" xfId="43" applyFont="1" applyAlignment="1">
      <alignment horizontal="center"/>
    </xf>
    <xf numFmtId="15" fontId="22" fillId="0" borderId="0" xfId="43" applyNumberFormat="1" applyFont="1" applyAlignment="1">
      <alignment horizontal="center"/>
    </xf>
    <xf numFmtId="3" fontId="22" fillId="0" borderId="0" xfId="43" applyNumberFormat="1" applyFont="1"/>
    <xf numFmtId="0" fontId="22" fillId="34" borderId="0" xfId="43" applyFont="1" applyFill="1"/>
    <xf numFmtId="9" fontId="22" fillId="34" borderId="0" xfId="43" applyNumberFormat="1" applyFont="1" applyFill="1"/>
    <xf numFmtId="0" fontId="21" fillId="0" borderId="0" xfId="43" applyFont="1"/>
    <xf numFmtId="9" fontId="22" fillId="0" borderId="0" xfId="43" applyNumberFormat="1" applyFont="1" applyAlignment="1">
      <alignment horizont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6" fontId="0" fillId="34" borderId="0" xfId="0" applyNumberFormat="1" applyFill="1" applyAlignment="1"/>
    <xf numFmtId="178" fontId="0" fillId="0" borderId="0" xfId="0" applyNumberFormat="1" applyAlignment="1"/>
    <xf numFmtId="0" fontId="24" fillId="0" borderId="0" xfId="44" applyFont="1" applyAlignment="1">
      <alignment horizontal="center" vertical="center" wrapText="1"/>
    </xf>
    <xf numFmtId="0" fontId="26" fillId="0" borderId="0" xfId="44" applyFont="1" applyAlignment="1">
      <alignment horizontal="center" vertical="center"/>
    </xf>
    <xf numFmtId="0" fontId="26" fillId="0" borderId="0" xfId="44" applyFont="1" applyAlignment="1">
      <alignment horizontal="center" vertical="center" wrapText="1"/>
    </xf>
    <xf numFmtId="0" fontId="27" fillId="0" borderId="0" xfId="44" applyFont="1"/>
    <xf numFmtId="189" fontId="27" fillId="0" borderId="0" xfId="44" applyNumberFormat="1" applyFont="1" applyAlignment="1">
      <alignment horizontal="center"/>
    </xf>
    <xf numFmtId="10" fontId="22" fillId="0" borderId="0" xfId="45" applyNumberFormat="1" applyFont="1"/>
    <xf numFmtId="10" fontId="22" fillId="0" borderId="0" xfId="45" applyNumberFormat="1" applyFont="1" applyFill="1"/>
    <xf numFmtId="192" fontId="22" fillId="0" borderId="0" xfId="45" applyNumberFormat="1" applyFont="1" applyFill="1"/>
    <xf numFmtId="192" fontId="27" fillId="0" borderId="0" xfId="44" applyNumberFormat="1" applyFont="1"/>
    <xf numFmtId="193" fontId="22" fillId="0" borderId="0" xfId="45" applyNumberFormat="1" applyFont="1" applyFill="1"/>
    <xf numFmtId="0" fontId="0" fillId="0" borderId="0" xfId="0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82" fontId="0" fillId="35" borderId="0" xfId="0" applyNumberFormat="1" applyFill="1" applyAlignment="1">
      <alignment horizontal="center"/>
    </xf>
    <xf numFmtId="2" fontId="0" fillId="0" borderId="0" xfId="0" applyNumberFormat="1" applyAlignment="1"/>
    <xf numFmtId="0" fontId="0" fillId="35" borderId="0" xfId="0" applyFill="1" applyAlignment="1"/>
    <xf numFmtId="10" fontId="0" fillId="0" borderId="0" xfId="42" applyNumberFormat="1" applyFont="1" applyAlignment="1"/>
    <xf numFmtId="194" fontId="0" fillId="0" borderId="0" xfId="0" applyNumberFormat="1" applyAlignment="1"/>
    <xf numFmtId="15" fontId="0" fillId="34" borderId="0" xfId="0" applyNumberFormat="1" applyFill="1" applyAlignment="1"/>
    <xf numFmtId="179" fontId="0" fillId="0" borderId="0" xfId="0" applyNumberFormat="1" applyAlignment="1"/>
    <xf numFmtId="0" fontId="28" fillId="0" borderId="0" xfId="44" applyFont="1" applyAlignment="1">
      <alignment horizontal="center" vertical="center"/>
    </xf>
    <xf numFmtId="0" fontId="28" fillId="0" borderId="0" xfId="44" applyFont="1" applyAlignment="1">
      <alignment horizontal="center" vertical="center" wrapText="1"/>
    </xf>
    <xf numFmtId="0" fontId="23" fillId="0" borderId="0" xfId="44"/>
    <xf numFmtId="189" fontId="23" fillId="0" borderId="0" xfId="44" applyNumberFormat="1" applyAlignment="1">
      <alignment horizontal="center"/>
    </xf>
    <xf numFmtId="10" fontId="0" fillId="0" borderId="0" xfId="45" applyNumberFormat="1" applyFont="1"/>
    <xf numFmtId="194" fontId="23" fillId="0" borderId="0" xfId="44" applyNumberFormat="1"/>
    <xf numFmtId="10" fontId="0" fillId="0" borderId="0" xfId="45" applyNumberFormat="1" applyFont="1" applyFill="1"/>
    <xf numFmtId="188" fontId="23" fillId="0" borderId="0" xfId="44" applyNumberFormat="1"/>
    <xf numFmtId="0" fontId="28" fillId="0" borderId="0" xfId="44" applyFont="1"/>
    <xf numFmtId="0" fontId="23" fillId="34" borderId="0" xfId="44" applyFill="1"/>
    <xf numFmtId="188" fontId="23" fillId="34" borderId="0" xfId="44" applyNumberFormat="1" applyFill="1"/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Continuous" vertical="center"/>
    </xf>
    <xf numFmtId="0" fontId="28" fillId="0" borderId="0" xfId="44" applyFont="1" applyAlignment="1">
      <alignment horizontal="center"/>
    </xf>
    <xf numFmtId="0" fontId="23" fillId="0" borderId="0" xfId="44" applyAlignment="1">
      <alignment horizontal="center"/>
    </xf>
    <xf numFmtId="0" fontId="23" fillId="0" borderId="0" xfId="44" applyAlignment="1">
      <alignment horizontal="right"/>
    </xf>
    <xf numFmtId="0" fontId="0" fillId="34" borderId="0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23" fillId="34" borderId="0" xfId="44" applyFill="1" applyAlignment="1">
      <alignment horizontal="center"/>
    </xf>
    <xf numFmtId="0" fontId="24" fillId="0" borderId="0" xfId="44" applyFont="1" applyAlignment="1">
      <alignment horizontal="center"/>
    </xf>
    <xf numFmtId="0" fontId="28" fillId="0" borderId="0" xfId="44" applyFont="1" applyAlignment="1">
      <alignment horizontal="center"/>
    </xf>
    <xf numFmtId="194" fontId="23" fillId="0" borderId="0" xfId="44" applyNumberFormat="1" applyAlignment="1">
      <alignment horizontal="right"/>
    </xf>
    <xf numFmtId="0" fontId="23" fillId="0" borderId="0" xfId="44" applyAlignment="1">
      <alignment horizontal="left"/>
    </xf>
    <xf numFmtId="194" fontId="23" fillId="34" borderId="13" xfId="44" applyNumberFormat="1" applyFill="1" applyBorder="1" applyAlignment="1">
      <alignment horizontal="right"/>
    </xf>
    <xf numFmtId="0" fontId="23" fillId="0" borderId="0" xfId="44" applyAlignment="1">
      <alignment horizontal="center" vertical="center" wrapText="1"/>
    </xf>
    <xf numFmtId="194" fontId="23" fillId="0" borderId="14" xfId="44" applyNumberFormat="1" applyBorder="1"/>
    <xf numFmtId="194" fontId="23" fillId="0" borderId="15" xfId="44" applyNumberFormat="1" applyBorder="1"/>
    <xf numFmtId="194" fontId="23" fillId="0" borderId="16" xfId="44" applyNumberFormat="1" applyBorder="1"/>
    <xf numFmtId="194" fontId="23" fillId="0" borderId="17" xfId="44" applyNumberFormat="1" applyBorder="1"/>
    <xf numFmtId="194" fontId="23" fillId="0" borderId="18" xfId="44" applyNumberFormat="1" applyBorder="1"/>
    <xf numFmtId="194" fontId="23" fillId="0" borderId="19" xfId="44" applyNumberFormat="1" applyBorder="1"/>
    <xf numFmtId="194" fontId="23" fillId="0" borderId="20" xfId="44" applyNumberFormat="1" applyBorder="1"/>
    <xf numFmtId="194" fontId="23" fillId="0" borderId="21" xfId="44" applyNumberFormat="1" applyBorder="1"/>
    <xf numFmtId="0" fontId="23" fillId="0" borderId="0" xfId="44" applyAlignment="1">
      <alignment vertical="center"/>
    </xf>
    <xf numFmtId="0" fontId="23" fillId="0" borderId="0" xfId="44" applyAlignment="1">
      <alignment vertical="center" wrapText="1"/>
    </xf>
    <xf numFmtId="3" fontId="0" fillId="0" borderId="0" xfId="46" applyNumberFormat="1" applyFont="1"/>
    <xf numFmtId="9" fontId="23" fillId="0" borderId="0" xfId="44" applyNumberFormat="1"/>
    <xf numFmtId="3" fontId="23" fillId="0" borderId="0" xfId="44" applyNumberFormat="1"/>
    <xf numFmtId="9" fontId="0" fillId="34" borderId="0" xfId="45" applyFont="1" applyFill="1"/>
    <xf numFmtId="9" fontId="23" fillId="0" borderId="0" xfId="44" applyNumberFormat="1" applyAlignment="1">
      <alignment horizontal="center"/>
    </xf>
    <xf numFmtId="0" fontId="28" fillId="0" borderId="0" xfId="44" applyFont="1" applyAlignment="1">
      <alignment horizontal="center" wrapText="1"/>
    </xf>
    <xf numFmtId="15" fontId="23" fillId="0" borderId="0" xfId="44" applyNumberFormat="1" applyAlignment="1">
      <alignment horizontal="center"/>
    </xf>
    <xf numFmtId="10" fontId="0" fillId="0" borderId="0" xfId="45" applyNumberFormat="1" applyFont="1" applyAlignment="1">
      <alignment horizontal="center"/>
    </xf>
    <xf numFmtId="0" fontId="23" fillId="37" borderId="0" xfId="44" applyFill="1"/>
    <xf numFmtId="9" fontId="23" fillId="37" borderId="0" xfId="44" applyNumberFormat="1" applyFill="1"/>
    <xf numFmtId="3" fontId="23" fillId="34" borderId="0" xfId="44" applyNumberFormat="1" applyFill="1"/>
    <xf numFmtId="15" fontId="23" fillId="0" borderId="0" xfId="44" applyNumberFormat="1"/>
    <xf numFmtId="10" fontId="23" fillId="0" borderId="0" xfId="44" applyNumberFormat="1"/>
    <xf numFmtId="0" fontId="23" fillId="34" borderId="0" xfId="44" applyFill="1" applyAlignment="1">
      <alignment wrapText="1"/>
    </xf>
    <xf numFmtId="10" fontId="0" fillId="34" borderId="0" xfId="45" applyNumberFormat="1" applyFont="1" applyFill="1"/>
    <xf numFmtId="0" fontId="23" fillId="0" borderId="0" xfId="44" applyAlignment="1">
      <alignment horizontal="left" indent="1"/>
    </xf>
    <xf numFmtId="0" fontId="28" fillId="0" borderId="0" xfId="44" applyFont="1" applyAlignment="1">
      <alignment horizontal="left"/>
    </xf>
    <xf numFmtId="0" fontId="23" fillId="34" borderId="0" xfId="44" applyFill="1" applyAlignment="1">
      <alignment horizontal="left"/>
    </xf>
    <xf numFmtId="0" fontId="28" fillId="34" borderId="0" xfId="44" applyFont="1" applyFill="1" applyAlignment="1">
      <alignment horizontal="left"/>
    </xf>
    <xf numFmtId="0" fontId="23" fillId="0" borderId="22" xfId="44" applyBorder="1"/>
    <xf numFmtId="0" fontId="23" fillId="0" borderId="10" xfId="44" applyBorder="1"/>
    <xf numFmtId="0" fontId="23" fillId="0" borderId="23" xfId="44" applyBorder="1"/>
    <xf numFmtId="0" fontId="23" fillId="0" borderId="24" xfId="44" applyBorder="1"/>
    <xf numFmtId="0" fontId="23" fillId="0" borderId="25" xfId="44" applyBorder="1"/>
    <xf numFmtId="0" fontId="23" fillId="0" borderId="26" xfId="44" applyBorder="1"/>
    <xf numFmtId="0" fontId="23" fillId="0" borderId="11" xfId="44" applyBorder="1"/>
    <xf numFmtId="0" fontId="23" fillId="0" borderId="27" xfId="44" applyBorder="1"/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omma 2" xfId="46" xr:uid="{AAB65095-BA91-4539-8741-4FCC4B5109FD}"/>
    <cellStyle name="Normal 2" xfId="43" xr:uid="{6E1583C1-994E-492B-BF1C-2F5353A85EB4}"/>
    <cellStyle name="Normal 3" xfId="44" xr:uid="{20010F84-F50F-41F0-A038-DD86831CEC71}"/>
    <cellStyle name="Percent 2" xfId="45" xr:uid="{AE495797-DE2E-4E35-A9BE-C6A4B70D71A9}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现金流净现值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Sheet4!$A$22:$A$38</c:f>
              <c:numCache>
                <c:formatCode>0.00%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numCache>
            </c:numRef>
          </c:xVal>
          <c:yVal>
            <c:numRef>
              <c:f>Sheet4!$B$22:$B$38</c:f>
              <c:numCache>
                <c:formatCode>#,##0.0000_ </c:formatCode>
                <c:ptCount val="17"/>
                <c:pt idx="0">
                  <c:v>-11000</c:v>
                </c:pt>
                <c:pt idx="1">
                  <c:v>23337.013171140497</c:v>
                </c:pt>
                <c:pt idx="2">
                  <c:v>27661.243849784718</c:v>
                </c:pt>
                <c:pt idx="3">
                  <c:v>24492.369942718855</c:v>
                </c:pt>
                <c:pt idx="4">
                  <c:v>20017.822556198549</c:v>
                </c:pt>
                <c:pt idx="5">
                  <c:v>15878.524615150131</c:v>
                </c:pt>
                <c:pt idx="6">
                  <c:v>12408.384271897376</c:v>
                </c:pt>
                <c:pt idx="7">
                  <c:v>9578.2287197448277</c:v>
                </c:pt>
                <c:pt idx="8">
                  <c:v>7277.3727798376713</c:v>
                </c:pt>
                <c:pt idx="9">
                  <c:v>5394.8270556453281</c:v>
                </c:pt>
                <c:pt idx="10">
                  <c:v>3838.8671875</c:v>
                </c:pt>
                <c:pt idx="11">
                  <c:v>2538.2596008191249</c:v>
                </c:pt>
                <c:pt idx="12">
                  <c:v>1438.8175932301729</c:v>
                </c:pt>
                <c:pt idx="13">
                  <c:v>499.4675568768107</c:v>
                </c:pt>
                <c:pt idx="14">
                  <c:v>-311.06219039495772</c:v>
                </c:pt>
                <c:pt idx="15">
                  <c:v>-1016.7772160000004</c:v>
                </c:pt>
                <c:pt idx="16">
                  <c:v>-1636.2898122088809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C-4B56-9A66-0DD8C3ADC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33919"/>
        <c:axId val="1806735359"/>
      </c:scatterChart>
      <c:valAx>
        <c:axId val="180673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折现率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735359"/>
        <c:crosses val="autoZero"/>
        <c:crossBetween val="midCat"/>
      </c:valAx>
      <c:valAx>
        <c:axId val="18067353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净现值</a:t>
                </a:r>
                <a:endParaRPr lang="en-US" altLang="zh-CN"/>
              </a:p>
              <a:p>
                <a:pPr>
                  <a:defRPr/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6E-2"/>
              <c:y val="0.39679389034703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73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两个</a:t>
            </a:r>
            <a:r>
              <a:rPr lang="en-US" altLang="zh-CN"/>
              <a:t>IRR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Sheet16!$F$7</c:f>
              <c:strCache>
                <c:ptCount val="1"/>
                <c:pt idx="0">
                  <c:v>65.09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Sheet16!$E$8:$E$22</c:f>
              <c:numCache>
                <c:formatCode>0%</c:formatCode>
                <c:ptCount val="15"/>
                <c:pt idx="0">
                  <c:v>0.01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</c:numCache>
            </c:numRef>
          </c:cat>
          <c:val>
            <c:numRef>
              <c:f>Sheet16!$F$8:$F$22</c:f>
              <c:numCache>
                <c:formatCode>#,##0.00</c:formatCode>
                <c:ptCount val="15"/>
                <c:pt idx="0">
                  <c:v>-75.003368084808699</c:v>
                </c:pt>
                <c:pt idx="1">
                  <c:v>-15.97359588866243</c:v>
                </c:pt>
                <c:pt idx="2">
                  <c:v>33.622434179759011</c:v>
                </c:pt>
                <c:pt idx="3">
                  <c:v>59.635603457340039</c:v>
                </c:pt>
                <c:pt idx="4">
                  <c:v>69.540099838990614</c:v>
                </c:pt>
                <c:pt idx="5">
                  <c:v>68.520647619970077</c:v>
                </c:pt>
                <c:pt idx="6">
                  <c:v>60.192484421013432</c:v>
                </c:pt>
                <c:pt idx="7">
                  <c:v>47.085322544012286</c:v>
                </c:pt>
                <c:pt idx="8">
                  <c:v>30.972202149364819</c:v>
                </c:pt>
                <c:pt idx="9">
                  <c:v>13.095162475018356</c:v>
                </c:pt>
                <c:pt idx="10">
                  <c:v>-5.6785002483921971</c:v>
                </c:pt>
                <c:pt idx="11">
                  <c:v>-24.747157061999786</c:v>
                </c:pt>
                <c:pt idx="12">
                  <c:v>-43.69814949550431</c:v>
                </c:pt>
                <c:pt idx="13">
                  <c:v>-62.253509535096839</c:v>
                </c:pt>
                <c:pt idx="14">
                  <c:v>-80.231325532242792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E-433A-B811-7ACDCFC86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058543"/>
        <c:axId val="1799059023"/>
      </c:lineChart>
      <c:catAx>
        <c:axId val="179905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折现率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004746281714784"/>
              <c:y val="0.61782407407407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59023"/>
        <c:crosses val="autoZero"/>
        <c:auto val="1"/>
        <c:lblAlgn val="ctr"/>
        <c:lblOffset val="100"/>
        <c:noMultiLvlLbl val="0"/>
      </c:catAx>
      <c:valAx>
        <c:axId val="1799059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净现值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5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通过</a:t>
            </a:r>
            <a:r>
              <a:rPr lang="en-US" altLang="zh-CN"/>
              <a:t>XY</a:t>
            </a:r>
            <a:r>
              <a:rPr lang="zh-CN" altLang="en-US"/>
              <a:t>散点图作回归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712970253718283"/>
                  <c:y val="-0.10349846894138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Sheet17!$B$3:$B$12</c:f>
              <c:numCache>
                <c:formatCode>#,##0.00</c:formatCode>
                <c:ptCount val="10"/>
                <c:pt idx="0">
                  <c:v>35.299999999999997</c:v>
                </c:pt>
                <c:pt idx="1">
                  <c:v>29.7</c:v>
                </c:pt>
                <c:pt idx="2">
                  <c:v>30.8</c:v>
                </c:pt>
                <c:pt idx="3">
                  <c:v>58.8</c:v>
                </c:pt>
                <c:pt idx="4">
                  <c:v>61.4</c:v>
                </c:pt>
                <c:pt idx="5">
                  <c:v>71.3</c:v>
                </c:pt>
                <c:pt idx="6">
                  <c:v>74.400000000000006</c:v>
                </c:pt>
                <c:pt idx="7">
                  <c:v>76.7</c:v>
                </c:pt>
                <c:pt idx="8">
                  <c:v>70.7</c:v>
                </c:pt>
                <c:pt idx="9">
                  <c:v>57.5</c:v>
                </c:pt>
              </c:numCache>
            </c:numRef>
          </c:xVal>
          <c:yVal>
            <c:numRef>
              <c:f>Sheet17!$C$3:$C$12</c:f>
              <c:numCache>
                <c:formatCode>#,##0.00</c:formatCode>
                <c:ptCount val="10"/>
                <c:pt idx="0">
                  <c:v>10.98</c:v>
                </c:pt>
                <c:pt idx="1">
                  <c:v>11.13</c:v>
                </c:pt>
                <c:pt idx="2">
                  <c:v>12.51</c:v>
                </c:pt>
                <c:pt idx="3">
                  <c:v>8.4</c:v>
                </c:pt>
                <c:pt idx="4">
                  <c:v>9.27</c:v>
                </c:pt>
                <c:pt idx="5">
                  <c:v>8.73</c:v>
                </c:pt>
                <c:pt idx="6">
                  <c:v>6.36</c:v>
                </c:pt>
                <c:pt idx="7">
                  <c:v>8.5</c:v>
                </c:pt>
                <c:pt idx="8">
                  <c:v>7.82</c:v>
                </c:pt>
                <c:pt idx="9">
                  <c:v>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2-4547-882F-FFFDB5BF6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50863"/>
        <c:axId val="1799044143"/>
      </c:scatterChart>
      <c:valAx>
        <c:axId val="1799050863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44143"/>
        <c:crosses val="autoZero"/>
        <c:crossBetween val="midCat"/>
      </c:valAx>
      <c:valAx>
        <c:axId val="1799044143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5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AAPL</a:t>
            </a:r>
            <a:r>
              <a:rPr lang="zh-CN" altLang="en-US"/>
              <a:t>收益</a:t>
            </a:r>
            <a:r>
              <a:rPr lang="en-US" altLang="zh-CN"/>
              <a:t>2001-2012</a:t>
            </a:r>
          </a:p>
        </c:rich>
      </c:tx>
      <c:layout>
        <c:manualLayout>
          <c:xMode val="edge"/>
          <c:yMode val="edge"/>
          <c:x val="0.3272777777777777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2108923884514429E-2"/>
          <c:y val="0.16650481189851271"/>
          <c:w val="0.82872440944881887"/>
          <c:h val="0.76868037328667249"/>
        </c:manualLayout>
      </c:layout>
      <c:lineChart>
        <c:grouping val="standard"/>
        <c:varyColors val="0"/>
        <c:ser>
          <c:idx val="0"/>
          <c:order val="0"/>
          <c:tx>
            <c:v>平均数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Sheet22!$F$14:$F$25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cat>
          <c:val>
            <c:numRef>
              <c:f>Sheet22!$G$14:$G$25</c:f>
              <c:numCache>
                <c:formatCode>0.00%</c:formatCode>
                <c:ptCount val="12"/>
                <c:pt idx="0">
                  <c:v>0.11474809882297198</c:v>
                </c:pt>
                <c:pt idx="1">
                  <c:v>-3.5339191328266559E-2</c:v>
                </c:pt>
                <c:pt idx="2">
                  <c:v>3.3317947963837129E-2</c:v>
                </c:pt>
                <c:pt idx="3">
                  <c:v>9.1943551080691063E-2</c:v>
                </c:pt>
                <c:pt idx="4">
                  <c:v>6.692519896634018E-2</c:v>
                </c:pt>
                <c:pt idx="5">
                  <c:v>1.3796041138926393E-2</c:v>
                </c:pt>
                <c:pt idx="6">
                  <c:v>7.0663349701630726E-2</c:v>
                </c:pt>
                <c:pt idx="7">
                  <c:v>-7.01594653043498E-2</c:v>
                </c:pt>
                <c:pt idx="8">
                  <c:v>7.5318804814891324E-2</c:v>
                </c:pt>
                <c:pt idx="9">
                  <c:v>3.5473807363912098E-2</c:v>
                </c:pt>
                <c:pt idx="10">
                  <c:v>1.8967705821691137E-2</c:v>
                </c:pt>
                <c:pt idx="11">
                  <c:v>2.3492075379237129E-2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405F-8985-86CA17C04B88}"/>
            </c:ext>
          </c:extLst>
        </c:ser>
        <c:ser>
          <c:idx val="1"/>
          <c:order val="1"/>
          <c:tx>
            <c:v>标准差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Sheet22!$F$14:$F$25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cat>
          <c:val>
            <c:numRef>
              <c:f>Sheet22!$H$14:$H$25</c:f>
              <c:numCache>
                <c:formatCode>0.00%</c:formatCode>
                <c:ptCount val="12"/>
                <c:pt idx="0">
                  <c:v>8.3665587085241314E-2</c:v>
                </c:pt>
                <c:pt idx="1">
                  <c:v>0.11421159447869059</c:v>
                </c:pt>
                <c:pt idx="2">
                  <c:v>9.1095594614649888E-2</c:v>
                </c:pt>
                <c:pt idx="3">
                  <c:v>0.10559052294720277</c:v>
                </c:pt>
                <c:pt idx="4">
                  <c:v>0.10752204242481647</c:v>
                </c:pt>
                <c:pt idx="5">
                  <c:v>0.10795116013126621</c:v>
                </c:pt>
                <c:pt idx="6">
                  <c:v>7.6904258586256977E-2</c:v>
                </c:pt>
                <c:pt idx="7">
                  <c:v>0.18291992867919715</c:v>
                </c:pt>
                <c:pt idx="8">
                  <c:v>5.8471445843082941E-2</c:v>
                </c:pt>
                <c:pt idx="9">
                  <c:v>7.5053443736460862E-2</c:v>
                </c:pt>
                <c:pt idx="10">
                  <c:v>5.6207948066194252E-2</c:v>
                </c:pt>
                <c:pt idx="11">
                  <c:v>8.5620829860391406E-2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C-405F-8985-86CA17C04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746143"/>
        <c:axId val="217748543"/>
      </c:lineChart>
      <c:catAx>
        <c:axId val="21774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7748543"/>
        <c:crosses val="autoZero"/>
        <c:auto val="1"/>
        <c:lblAlgn val="ctr"/>
        <c:lblOffset val="100"/>
        <c:noMultiLvlLbl val="0"/>
      </c:catAx>
      <c:valAx>
        <c:axId val="217748543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774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361111111111112"/>
          <c:y val="0.78753426655001446"/>
          <c:w val="0.1791666666666666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XY</a:t>
            </a:r>
            <a:r>
              <a:rPr lang="zh-CN" altLang="en-US"/>
              <a:t>散点图</a:t>
            </a:r>
            <a:r>
              <a:rPr lang="en-US" altLang="zh-CN"/>
              <a:t>:WEN</a:t>
            </a:r>
            <a:r>
              <a:rPr lang="zh-CN" altLang="en-US"/>
              <a:t>和</a:t>
            </a:r>
            <a:r>
              <a:rPr lang="en-US" altLang="zh-CN"/>
              <a:t>MCD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Sheet23!$C$2</c:f>
              <c:strCache>
                <c:ptCount val="1"/>
                <c:pt idx="0">
                  <c:v>WEN(y)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87117235345582"/>
                  <c:y val="-0.13241943715368912"/>
                </c:manualLayout>
              </c:layout>
              <c:numFmt formatCode="#,##0.0000_);[Red]\(#,##0.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Sheet23!$B$3:$B$26</c:f>
              <c:numCache>
                <c:formatCode>0.00%</c:formatCode>
                <c:ptCount val="24"/>
                <c:pt idx="0">
                  <c:v>4.0097385978425507E-2</c:v>
                </c:pt>
                <c:pt idx="1">
                  <c:v>3.1396268306048775E-2</c:v>
                </c:pt>
                <c:pt idx="2">
                  <c:v>-5.7838154829700089E-2</c:v>
                </c:pt>
                <c:pt idx="3">
                  <c:v>8.8884139861410597E-2</c:v>
                </c:pt>
                <c:pt idx="4">
                  <c:v>-3.63857284390818E-3</c:v>
                </c:pt>
                <c:pt idx="5">
                  <c:v>3.7560301878575605E-2</c:v>
                </c:pt>
                <c:pt idx="6">
                  <c:v>-2.9299757263299415E-3</c:v>
                </c:pt>
                <c:pt idx="7">
                  <c:v>-1.5971945566052113E-2</c:v>
                </c:pt>
                <c:pt idx="8">
                  <c:v>6.2416609234761337E-3</c:v>
                </c:pt>
                <c:pt idx="9">
                  <c:v>-4.1439469069049675E-2</c:v>
                </c:pt>
                <c:pt idx="10">
                  <c:v>1.288756714060884E-2</c:v>
                </c:pt>
                <c:pt idx="11">
                  <c:v>5.1979034823580954E-2</c:v>
                </c:pt>
                <c:pt idx="12">
                  <c:v>1.4082715854511953E-2</c:v>
                </c:pt>
                <c:pt idx="13">
                  <c:v>8.6083435169234043E-2</c:v>
                </c:pt>
                <c:pt idx="14">
                  <c:v>6.9045239846001E-2</c:v>
                </c:pt>
                <c:pt idx="15">
                  <c:v>2.5336136262073743E-2</c:v>
                </c:pt>
                <c:pt idx="16">
                  <c:v>5.4706571411462721E-2</c:v>
                </c:pt>
                <c:pt idx="17">
                  <c:v>4.5105999862642392E-4</c:v>
                </c:pt>
                <c:pt idx="18">
                  <c:v>-1.4993465792244113E-2</c:v>
                </c:pt>
                <c:pt idx="19">
                  <c:v>3.0653741091002305E-2</c:v>
                </c:pt>
                <c:pt idx="20">
                  <c:v>6.924441217498381E-2</c:v>
                </c:pt>
                <c:pt idx="21">
                  <c:v>4.5945549237149656E-2</c:v>
                </c:pt>
                <c:pt idx="22">
                  <c:v>4.1456973797065659E-3</c:v>
                </c:pt>
                <c:pt idx="23">
                  <c:v>3.3704526751391253E-2</c:v>
                </c:pt>
              </c:numCache>
            </c:numRef>
          </c:xVal>
          <c:yVal>
            <c:numRef>
              <c:f>Sheet23!$C$3:$C$26</c:f>
              <c:numCache>
                <c:formatCode>0.00%</c:formatCode>
                <c:ptCount val="24"/>
                <c:pt idx="0">
                  <c:v>-8.9704618585273316E-2</c:v>
                </c:pt>
                <c:pt idx="1">
                  <c:v>-4.2981822573685144E-2</c:v>
                </c:pt>
                <c:pt idx="2">
                  <c:v>3.4158918811319078E-2</c:v>
                </c:pt>
                <c:pt idx="3">
                  <c:v>8.7050244393486367E-2</c:v>
                </c:pt>
                <c:pt idx="4">
                  <c:v>8.4407162400444102E-2</c:v>
                </c:pt>
                <c:pt idx="5">
                  <c:v>6.4661303383412763E-2</c:v>
                </c:pt>
                <c:pt idx="6">
                  <c:v>-1.5216474706147332E-2</c:v>
                </c:pt>
                <c:pt idx="7">
                  <c:v>6.9690708221481407E-2</c:v>
                </c:pt>
                <c:pt idx="8">
                  <c:v>-4.5446678465881924E-3</c:v>
                </c:pt>
                <c:pt idx="9">
                  <c:v>-2.1963334154518552E-2</c:v>
                </c:pt>
                <c:pt idx="10">
                  <c:v>-3.3506411889842699E-2</c:v>
                </c:pt>
                <c:pt idx="11">
                  <c:v>3.1713975489527702E-2</c:v>
                </c:pt>
                <c:pt idx="12">
                  <c:v>6.2922576805322705E-2</c:v>
                </c:pt>
                <c:pt idx="13">
                  <c:v>4.7377281011011116E-2</c:v>
                </c:pt>
                <c:pt idx="14">
                  <c:v>9.7586157560167475E-2</c:v>
                </c:pt>
                <c:pt idx="15">
                  <c:v>-5.7895908620869282E-2</c:v>
                </c:pt>
                <c:pt idx="16">
                  <c:v>1.5931709521836937E-2</c:v>
                </c:pt>
                <c:pt idx="17">
                  <c:v>2.5804011956430211E-2</c:v>
                </c:pt>
                <c:pt idx="18">
                  <c:v>-5.5104488904212476E-2</c:v>
                </c:pt>
                <c:pt idx="19">
                  <c:v>-2.3754086008107144E-2</c:v>
                </c:pt>
                <c:pt idx="20">
                  <c:v>0.18605389916988255</c:v>
                </c:pt>
                <c:pt idx="21">
                  <c:v>6.5652190293506246E-2</c:v>
                </c:pt>
                <c:pt idx="22">
                  <c:v>-8.7985958619979751E-2</c:v>
                </c:pt>
                <c:pt idx="23">
                  <c:v>1.1094688286792071E-2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8-4F7A-941F-3CB771BF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47503"/>
        <c:axId val="1799037423"/>
      </c:scatterChart>
      <c:valAx>
        <c:axId val="179904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37423"/>
        <c:crosses val="autoZero"/>
        <c:crossBetween val="midCat"/>
      </c:valAx>
      <c:valAx>
        <c:axId val="1799037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4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Sheet28!$E$3:$E$12</c:f>
              <c:numCache>
                <c:formatCode>General</c:formatCode>
                <c:ptCount val="10"/>
                <c:pt idx="0">
                  <c:v>10.98</c:v>
                </c:pt>
                <c:pt idx="1">
                  <c:v>11.13</c:v>
                </c:pt>
                <c:pt idx="2">
                  <c:v>12.51</c:v>
                </c:pt>
                <c:pt idx="3">
                  <c:v>8.4</c:v>
                </c:pt>
                <c:pt idx="4">
                  <c:v>9.27</c:v>
                </c:pt>
                <c:pt idx="5">
                  <c:v>8.73</c:v>
                </c:pt>
                <c:pt idx="6">
                  <c:v>6.36</c:v>
                </c:pt>
                <c:pt idx="7">
                  <c:v>8.5</c:v>
                </c:pt>
                <c:pt idx="8">
                  <c:v>7.82</c:v>
                </c:pt>
                <c:pt idx="9">
                  <c:v>9.14</c:v>
                </c:pt>
              </c:numCache>
            </c:numRef>
          </c:xVal>
          <c:yVal>
            <c:numRef>
              <c:f>Sheet28!$H$3:$H$12</c:f>
              <c:numCache>
                <c:formatCode>0.0000</c:formatCode>
                <c:ptCount val="10"/>
                <c:pt idx="0">
                  <c:v>11.407106083996563</c:v>
                </c:pt>
                <c:pt idx="1">
                  <c:v>11.439360384282692</c:v>
                </c:pt>
                <c:pt idx="2">
                  <c:v>11.816570412707684</c:v>
                </c:pt>
                <c:pt idx="3">
                  <c:v>8.6769671095758358</c:v>
                </c:pt>
                <c:pt idx="4">
                  <c:v>8.6003548662253859</c:v>
                </c:pt>
                <c:pt idx="5">
                  <c:v>8.241306080322758</c:v>
                </c:pt>
                <c:pt idx="6">
                  <c:v>6.9931638226429671</c:v>
                </c:pt>
                <c:pt idx="7">
                  <c:v>8.6817412638302187</c:v>
                </c:pt>
                <c:pt idx="8">
                  <c:v>7.3937149825522503</c:v>
                </c:pt>
                <c:pt idx="9">
                  <c:v>9.5897149938636339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7-458F-AD33-B85968585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59983"/>
        <c:axId val="1799048463"/>
      </c:scatterChart>
      <c:valAx>
        <c:axId val="1799059983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</a:t>
                </a:r>
                <a:r>
                  <a:rPr lang="en-US" altLang="zh-CN"/>
                  <a:t>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48463"/>
        <c:crosses val="autoZero"/>
        <c:crossBetween val="midCat"/>
      </c:valAx>
      <c:valAx>
        <c:axId val="1799048463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预测</a:t>
                </a:r>
                <a:r>
                  <a:rPr lang="en-US" altLang="zh-CN"/>
                  <a:t>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059983"/>
        <c:crosses val="autoZero"/>
        <c:crossBetween val="midCat"/>
      </c:valAx>
      <c:spPr>
        <a:noFill/>
        <a:ln cmpd="sng">
          <a:solidFill>
            <a:schemeClr val="dk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645317</xdr:colOff>
      <xdr:row>2</xdr:row>
      <xdr:rowOff>88105</xdr:rowOff>
    </xdr:from>
    <xdr:to>
      <xdr:col>11</xdr:col>
      <xdr:colOff>35717</xdr:colOff>
      <xdr:row>18</xdr:row>
      <xdr:rowOff>11905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0A7F8A-0821-B56E-EF88-DBADD6F6B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632460</xdr:colOff>
      <xdr:row>3</xdr:row>
      <xdr:rowOff>7620</xdr:rowOff>
    </xdr:from>
    <xdr:to>
      <xdr:col>4</xdr:col>
      <xdr:colOff>586740</xdr:colOff>
      <xdr:row>8</xdr:row>
      <xdr:rowOff>38100</xdr:rowOff>
    </xdr:to>
    <xdr:cxnSp macro="">
      <xdr:nvCxnSpPr>
        <xdr:cNvPr id="2" name="Straight Arrow Connector 2">
          <a:extLst>
            <a:ext uri="{FF2B5EF4-FFF2-40B4-BE49-F238E27FC236}">
              <a16:creationId xmlns:a16="http://schemas.microsoft.com/office/drawing/2014/main" id="{0B376ED0-0C36-4DD8-B1F7-8522BFFA7536}"/>
            </a:ext>
          </a:extLst>
        </xdr:cNvPr>
        <xdr:cNvCxnSpPr/>
      </xdr:nvCxnSpPr>
      <xdr:spPr>
        <a:xfrm flipH="1">
          <a:off x="2623185" y="574358"/>
          <a:ext cx="1325880" cy="13020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</xdr:colOff>
      <xdr:row>8</xdr:row>
      <xdr:rowOff>93345</xdr:rowOff>
    </xdr:from>
    <xdr:to>
      <xdr:col>4</xdr:col>
      <xdr:colOff>340043</xdr:colOff>
      <xdr:row>18</xdr:row>
      <xdr:rowOff>162877</xdr:rowOff>
    </xdr:to>
    <xdr:cxnSp macro="">
      <xdr:nvCxnSpPr>
        <xdr:cNvPr id="3" name="Straight Arrow Connector 4">
          <a:extLst>
            <a:ext uri="{FF2B5EF4-FFF2-40B4-BE49-F238E27FC236}">
              <a16:creationId xmlns:a16="http://schemas.microsoft.com/office/drawing/2014/main" id="{9B61392F-86EC-4824-8EC9-FF0A6D6B4807}"/>
            </a:ext>
          </a:extLst>
        </xdr:cNvPr>
        <xdr:cNvCxnSpPr/>
      </xdr:nvCxnSpPr>
      <xdr:spPr>
        <a:xfrm flipH="1" flipV="1">
          <a:off x="3563303" y="2079308"/>
          <a:ext cx="296228" cy="183165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775335</xdr:colOff>
      <xdr:row>9</xdr:row>
      <xdr:rowOff>94298</xdr:rowOff>
    </xdr:from>
    <xdr:to>
      <xdr:col>1</xdr:col>
      <xdr:colOff>264795</xdr:colOff>
      <xdr:row>18</xdr:row>
      <xdr:rowOff>162878</xdr:rowOff>
    </xdr:to>
    <xdr:cxnSp macro="">
      <xdr:nvCxnSpPr>
        <xdr:cNvPr id="4" name="Straight Arrow Connector 6">
          <a:extLst>
            <a:ext uri="{FF2B5EF4-FFF2-40B4-BE49-F238E27FC236}">
              <a16:creationId xmlns:a16="http://schemas.microsoft.com/office/drawing/2014/main" id="{BA53E211-1DEA-4782-9D1E-E3B3780212C8}"/>
            </a:ext>
          </a:extLst>
        </xdr:cNvPr>
        <xdr:cNvCxnSpPr/>
      </xdr:nvCxnSpPr>
      <xdr:spPr>
        <a:xfrm flipV="1">
          <a:off x="775335" y="2256473"/>
          <a:ext cx="727710" cy="16544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3</xdr:row>
      <xdr:rowOff>57150</xdr:rowOff>
    </xdr:from>
    <xdr:to>
      <xdr:col>2</xdr:col>
      <xdr:colOff>447675</xdr:colOff>
      <xdr:row>17</xdr:row>
      <xdr:rowOff>52388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4319599-D6D9-3870-0FAB-85AC1BA8D8F5}"/>
            </a:ext>
          </a:extLst>
        </xdr:cNvPr>
        <xdr:cNvCxnSpPr/>
      </xdr:nvCxnSpPr>
      <xdr:spPr>
        <a:xfrm flipV="1">
          <a:off x="762000" y="809625"/>
          <a:ext cx="1457325" cy="2462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564355</xdr:colOff>
      <xdr:row>5</xdr:row>
      <xdr:rowOff>30955</xdr:rowOff>
    </xdr:from>
    <xdr:to>
      <xdr:col>15</xdr:col>
      <xdr:colOff>602455</xdr:colOff>
      <xdr:row>20</xdr:row>
      <xdr:rowOff>130968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B688D5-5A0B-0F23-BDAB-0BF3F4044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174166</xdr:colOff>
      <xdr:row>29</xdr:row>
      <xdr:rowOff>95249</xdr:rowOff>
    </xdr:from>
    <xdr:to>
      <xdr:col>3</xdr:col>
      <xdr:colOff>984614</xdr:colOff>
      <xdr:row>41</xdr:row>
      <xdr:rowOff>147112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D9357D3-1022-8C7C-8670-EE5A51E2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66" y="5253037"/>
          <a:ext cx="5068123" cy="216641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128740</xdr:rowOff>
    </xdr:from>
    <xdr:to>
      <xdr:col>4</xdr:col>
      <xdr:colOff>46131</xdr:colOff>
      <xdr:row>57</xdr:row>
      <xdr:rowOff>137720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13F5C3-97BD-1C5F-3065-63CB4B459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7577290"/>
          <a:ext cx="5689694" cy="2652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39116</xdr:rowOff>
    </xdr:from>
    <xdr:to>
      <xdr:col>5</xdr:col>
      <xdr:colOff>1145887</xdr:colOff>
      <xdr:row>68</xdr:row>
      <xdr:rowOff>99537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71C506C-B64E-7F03-BC47-05EB28EF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07066"/>
          <a:ext cx="7194262" cy="1822546"/>
        </a:xfrm>
        <a:prstGeom prst="rect">
          <a:avLst/>
        </a:prstGeom>
      </xdr:spPr>
    </xdr:pic>
    <xdr:clientData/>
  </xdr:twoCellAnchor>
  <xdr:twoCellAnchor>
    <xdr:from>
      <xdr:col>3</xdr:col>
      <xdr:colOff>1083468</xdr:colOff>
      <xdr:row>0</xdr:row>
      <xdr:rowOff>211931</xdr:rowOff>
    </xdr:from>
    <xdr:to>
      <xdr:col>9</xdr:col>
      <xdr:colOff>83343</xdr:colOff>
      <xdr:row>16</xdr:row>
      <xdr:rowOff>88106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01C202D-1922-E99B-6386-92ED64691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631032</xdr:colOff>
      <xdr:row>9</xdr:row>
      <xdr:rowOff>116680</xdr:rowOff>
    </xdr:from>
    <xdr:to>
      <xdr:col>16</xdr:col>
      <xdr:colOff>21432</xdr:colOff>
      <xdr:row>25</xdr:row>
      <xdr:rowOff>40480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631904B-F807-78ED-D958-AFC3B3772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192881</xdr:colOff>
      <xdr:row>1</xdr:row>
      <xdr:rowOff>111917</xdr:rowOff>
    </xdr:from>
    <xdr:to>
      <xdr:col>10</xdr:col>
      <xdr:colOff>230981</xdr:colOff>
      <xdr:row>17</xdr:row>
      <xdr:rowOff>35717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CA181D-F550-097D-D6DC-EA0DA004B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909638</xdr:colOff>
      <xdr:row>13</xdr:row>
      <xdr:rowOff>66675</xdr:rowOff>
    </xdr:from>
    <xdr:to>
      <xdr:col>4</xdr:col>
      <xdr:colOff>38100</xdr:colOff>
      <xdr:row>15</xdr:row>
      <xdr:rowOff>23812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649D718-F6D5-5238-AB39-EAA7439E67A7}"/>
            </a:ext>
          </a:extLst>
        </xdr:cNvPr>
        <xdr:cNvCxnSpPr/>
      </xdr:nvCxnSpPr>
      <xdr:spPr>
        <a:xfrm flipV="1">
          <a:off x="6157913" y="2405063"/>
          <a:ext cx="833437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328613</xdr:colOff>
      <xdr:row>19</xdr:row>
      <xdr:rowOff>33338</xdr:rowOff>
    </xdr:from>
    <xdr:to>
      <xdr:col>2</xdr:col>
      <xdr:colOff>328613</xdr:colOff>
      <xdr:row>21</xdr:row>
      <xdr:rowOff>14288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C9C46B5-02C8-ABF5-6913-2193AA2812C3}"/>
            </a:ext>
          </a:extLst>
        </xdr:cNvPr>
        <xdr:cNvCxnSpPr/>
      </xdr:nvCxnSpPr>
      <xdr:spPr>
        <a:xfrm>
          <a:off x="1624013" y="3438526"/>
          <a:ext cx="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7144</xdr:colOff>
      <xdr:row>6</xdr:row>
      <xdr:rowOff>135730</xdr:rowOff>
    </xdr:from>
    <xdr:to>
      <xdr:col>16</xdr:col>
      <xdr:colOff>45244</xdr:colOff>
      <xdr:row>22</xdr:row>
      <xdr:rowOff>7142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55826EDA-4534-2D79-C5A2-4E4C62252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\Desktop\&#36130;&#21153;&#37329;&#34701;&#24314;&#27169;_excel&amp;vba\&#27599;&#31456;&#27491;&#25991;&#20869;&#23481;&#37197;&#22871;&#25968;&#25454;&#21253;\FM4,%20Chapter%2033,%20functions.xlsm" TargetMode="External"/><Relationship Id="rId1" Type="http://schemas.openxmlformats.org/officeDocument/2006/relationships/externalLinkPath" Target="/Users/jay/Desktop/&#36130;&#21153;&#37329;&#34701;&#24314;&#27169;_excel&amp;vba/&#27599;&#31456;&#27491;&#25991;&#20869;&#23481;&#37197;&#22871;&#25968;&#25454;&#21253;/FM4,%20Chapter%2033,%20fun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 856"/>
      <sheetName val="Page 856 (中文)"/>
      <sheetName val="Page 856, bottom"/>
      <sheetName val="Page 856, bottom (中文)"/>
      <sheetName val="Page 857"/>
      <sheetName val="Page 857 (中文)"/>
      <sheetName val="Page 858"/>
      <sheetName val="Page 858 (中文)"/>
      <sheetName val="Page 859"/>
      <sheetName val="Page 859 (中文)"/>
      <sheetName val="Page 861"/>
      <sheetName val="Page 861 (中文)"/>
      <sheetName val="Page 862"/>
      <sheetName val="Page 862 (中文)"/>
      <sheetName val="Page 863"/>
      <sheetName val="Page 863 (中文)"/>
      <sheetName val="Page 864(中文）"/>
      <sheetName val="Page 865"/>
      <sheetName val="Page 865 (中文)"/>
      <sheetName val="Page 865 middle(中文)"/>
      <sheetName val="Page 866(中文)"/>
      <sheetName val="Total hours"/>
      <sheetName val="Total hours (中文)"/>
      <sheetName val="Page 868"/>
      <sheetName val="Page 868 (中文)"/>
      <sheetName val="Page 869"/>
      <sheetName val="Page 869 (中文)"/>
      <sheetName val="Page 870"/>
      <sheetName val="Page 870 (中文)"/>
      <sheetName val="Page 871"/>
      <sheetName val="Page 871 (中文)"/>
      <sheetName val="Page 872"/>
      <sheetName val="Page 872 (中文)"/>
      <sheetName val="Page 873, top"/>
      <sheetName val="Page 873, top (中文)"/>
      <sheetName val="Page 873, bottom"/>
      <sheetName val="Page 873, bottom (中文)"/>
      <sheetName val="Page 874, top"/>
      <sheetName val="Page 874, top (中文)"/>
      <sheetName val="Page 874, bottom"/>
      <sheetName val="Page 874, bottom (中文)"/>
      <sheetName val="Page 875"/>
      <sheetName val="Page 875 (中文)"/>
      <sheetName val="Page 876"/>
      <sheetName val="Page 876 (中文)"/>
      <sheetName val="Page 877, top"/>
      <sheetName val="Page 877, top (中文)"/>
      <sheetName val="Page 877, bottom"/>
      <sheetName val="Page 877, bottom (中文)"/>
      <sheetName val="Page 878"/>
      <sheetName val="Page 878 (中文)"/>
      <sheetName val="Page 879"/>
      <sheetName val="Page 879 (中文)"/>
      <sheetName val="Page 880"/>
      <sheetName val="Page 880 (中文)"/>
      <sheetName val="Page 882"/>
      <sheetName val="Page 882 (中文)"/>
      <sheetName val="Page 883"/>
      <sheetName val="Page 883 (中文)"/>
      <sheetName val="Page 884"/>
      <sheetName val="Page 884 (中文)"/>
      <sheetName val="Page 885, top"/>
      <sheetName val="Page 885, top (中文)"/>
      <sheetName val="Page 886, 887"/>
      <sheetName val="Page 886, 887 (中文)"/>
      <sheetName val="Page 888, 889"/>
      <sheetName val="Page 888, 889 (中文)"/>
      <sheetName val="Page 889, bottom"/>
      <sheetName val="Page 889, bottom (中文)"/>
      <sheetName val="Page 890"/>
      <sheetName val="Page 890 (中文)"/>
      <sheetName val="Page 891"/>
      <sheetName val="Page 891 (中文)"/>
      <sheetName val="Page 892, top"/>
      <sheetName val="Page 892, top (中文)"/>
      <sheetName val="Page 892, 893"/>
      <sheetName val="Page 892, 893 (中文)"/>
      <sheetName val="Page 894, top"/>
      <sheetName val="Page 894, top (中文)"/>
      <sheetName val="Page 894, bottom"/>
      <sheetName val="Page 894, bottom (中文)"/>
      <sheetName val="Page 895, top"/>
      <sheetName val="Page 895, top (中文)"/>
      <sheetName val="Page 895, bottom"/>
      <sheetName val="Page 895, bottom (中文)"/>
      <sheetName val="Page 897"/>
      <sheetName val="Page 897 (中文)"/>
      <sheetName val="Page 898"/>
      <sheetName val="Page 898 (中文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3">
          <cell r="B3">
            <v>4.0097385978425507E-2</v>
          </cell>
          <cell r="C3">
            <v>-8.9704618585273316E-2</v>
          </cell>
        </row>
        <row r="4">
          <cell r="B4">
            <v>3.1396268306048775E-2</v>
          </cell>
          <cell r="C4">
            <v>-4.2981822573685144E-2</v>
          </cell>
        </row>
        <row r="5">
          <cell r="B5">
            <v>-5.7838154829700089E-2</v>
          </cell>
          <cell r="C5">
            <v>3.4158918811319078E-2</v>
          </cell>
        </row>
        <row r="6">
          <cell r="B6">
            <v>8.8884139861410597E-2</v>
          </cell>
          <cell r="C6">
            <v>8.7050244393486367E-2</v>
          </cell>
        </row>
        <row r="7">
          <cell r="B7">
            <v>-3.63857284390818E-3</v>
          </cell>
          <cell r="C7">
            <v>8.4407162400444102E-2</v>
          </cell>
        </row>
        <row r="8">
          <cell r="B8">
            <v>3.7560301878575605E-2</v>
          </cell>
          <cell r="C8">
            <v>6.4661303383412763E-2</v>
          </cell>
        </row>
        <row r="9">
          <cell r="B9">
            <v>-2.9299757263299415E-3</v>
          </cell>
          <cell r="C9">
            <v>-1.5216474706147332E-2</v>
          </cell>
        </row>
        <row r="10">
          <cell r="B10">
            <v>-1.5971945566052113E-2</v>
          </cell>
          <cell r="C10">
            <v>6.9690708221481407E-2</v>
          </cell>
        </row>
        <row r="11">
          <cell r="B11">
            <v>6.2416609234761337E-3</v>
          </cell>
          <cell r="C11">
            <v>-4.5446678465881924E-3</v>
          </cell>
        </row>
        <row r="12">
          <cell r="B12">
            <v>-4.1439469069049675E-2</v>
          </cell>
          <cell r="C12">
            <v>-2.1963334154518552E-2</v>
          </cell>
        </row>
        <row r="13">
          <cell r="B13">
            <v>1.288756714060884E-2</v>
          </cell>
          <cell r="C13">
            <v>-3.3506411889842699E-2</v>
          </cell>
        </row>
        <row r="14">
          <cell r="B14">
            <v>5.1979034823580954E-2</v>
          </cell>
          <cell r="C14">
            <v>3.1713975489527702E-2</v>
          </cell>
        </row>
        <row r="15">
          <cell r="B15">
            <v>1.4082715854511953E-2</v>
          </cell>
          <cell r="C15">
            <v>6.2922576805322705E-2</v>
          </cell>
        </row>
        <row r="16">
          <cell r="B16">
            <v>8.6083435169234043E-2</v>
          </cell>
          <cell r="C16">
            <v>4.7377281011011116E-2</v>
          </cell>
        </row>
        <row r="17">
          <cell r="B17">
            <v>6.9045239846001E-2</v>
          </cell>
          <cell r="C17">
            <v>9.7586157560167475E-2</v>
          </cell>
        </row>
        <row r="18">
          <cell r="B18">
            <v>2.5336136262073743E-2</v>
          </cell>
          <cell r="C18">
            <v>-5.7895908620869282E-2</v>
          </cell>
        </row>
        <row r="19">
          <cell r="B19">
            <v>5.4706571411462721E-2</v>
          </cell>
          <cell r="C19">
            <v>1.5931709521836937E-2</v>
          </cell>
        </row>
        <row r="20">
          <cell r="B20">
            <v>4.5105999862642392E-4</v>
          </cell>
          <cell r="C20">
            <v>2.5804011956430211E-2</v>
          </cell>
        </row>
        <row r="21">
          <cell r="B21">
            <v>-1.4993465792244113E-2</v>
          </cell>
          <cell r="C21">
            <v>-5.5104488904212476E-2</v>
          </cell>
        </row>
        <row r="22">
          <cell r="B22">
            <v>3.0653741091002305E-2</v>
          </cell>
          <cell r="C22">
            <v>-2.3754086008107144E-2</v>
          </cell>
        </row>
        <row r="23">
          <cell r="B23">
            <v>6.924441217498381E-2</v>
          </cell>
          <cell r="C23">
            <v>0.18605389916988255</v>
          </cell>
        </row>
        <row r="24">
          <cell r="B24">
            <v>4.5945549237149656E-2</v>
          </cell>
          <cell r="C24">
            <v>6.5652190293506246E-2</v>
          </cell>
        </row>
        <row r="25">
          <cell r="B25">
            <v>4.1456973797065659E-3</v>
          </cell>
          <cell r="C25">
            <v>-8.7985958619979751E-2</v>
          </cell>
        </row>
        <row r="26">
          <cell r="B26">
            <v>3.3704526751391253E-2</v>
          </cell>
          <cell r="C26">
            <v>1.1094688286792071E-2</v>
          </cell>
        </row>
      </sheetData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3">
          <cell r="E3">
            <v>10.98</v>
          </cell>
          <cell r="H3">
            <v>11.407106083996563</v>
          </cell>
        </row>
        <row r="4">
          <cell r="E4">
            <v>11.13</v>
          </cell>
          <cell r="H4">
            <v>11.439360384282692</v>
          </cell>
        </row>
        <row r="5">
          <cell r="E5">
            <v>12.51</v>
          </cell>
          <cell r="H5">
            <v>11.816570412707684</v>
          </cell>
        </row>
        <row r="6">
          <cell r="E6">
            <v>8.4</v>
          </cell>
          <cell r="H6">
            <v>8.6769671095758376</v>
          </cell>
        </row>
        <row r="7">
          <cell r="E7">
            <v>9.27</v>
          </cell>
          <cell r="H7">
            <v>8.6003548662253859</v>
          </cell>
        </row>
        <row r="8">
          <cell r="E8">
            <v>8.73</v>
          </cell>
          <cell r="H8">
            <v>8.241306080322758</v>
          </cell>
        </row>
        <row r="9">
          <cell r="E9">
            <v>6.36</v>
          </cell>
          <cell r="H9">
            <v>6.9931638226429662</v>
          </cell>
        </row>
        <row r="10">
          <cell r="E10">
            <v>8.5</v>
          </cell>
          <cell r="H10">
            <v>8.6817412638302169</v>
          </cell>
        </row>
        <row r="11">
          <cell r="E11">
            <v>7.82</v>
          </cell>
          <cell r="H11">
            <v>7.3937149825522503</v>
          </cell>
        </row>
        <row r="12">
          <cell r="E12">
            <v>9.14</v>
          </cell>
          <cell r="H12">
            <v>9.5897149938636339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DB0D-976A-4FF6-8ADD-7FBCE754AC5D}">
  <dimension ref="A1:D14"/>
  <sheetViews>
    <sheetView workbookViewId="0">
      <selection activeCell="F9" sqref="F9"/>
    </sheetView>
  </sheetViews>
  <sheetFormatPr defaultRowHeight="13.9" x14ac:dyDescent="0.4"/>
  <cols>
    <col min="1" max="1" width="15.1328125" customWidth="1"/>
  </cols>
  <sheetData>
    <row r="1" spans="1:4" ht="17.649999999999999" x14ac:dyDescent="0.5">
      <c r="A1" s="1" t="s">
        <v>0</v>
      </c>
      <c r="B1" s="1"/>
      <c r="C1" s="1"/>
      <c r="D1" s="1"/>
    </row>
    <row r="2" spans="1:4" x14ac:dyDescent="0.4">
      <c r="A2" s="2" t="s">
        <v>1</v>
      </c>
      <c r="B2" s="3">
        <v>0.1</v>
      </c>
      <c r="C2" s="2"/>
      <c r="D2" s="2"/>
    </row>
    <row r="3" spans="1:4" x14ac:dyDescent="0.4">
      <c r="A3" s="2"/>
      <c r="B3" s="2"/>
      <c r="C3" s="2"/>
      <c r="D3" s="2"/>
    </row>
    <row r="4" spans="1:4" ht="27.75" x14ac:dyDescent="0.4">
      <c r="A4" s="4" t="s">
        <v>2</v>
      </c>
      <c r="B4" s="4" t="s">
        <v>3</v>
      </c>
      <c r="C4" s="5" t="s">
        <v>4</v>
      </c>
      <c r="D4" s="2"/>
    </row>
    <row r="5" spans="1:4" x14ac:dyDescent="0.4">
      <c r="A5" s="6">
        <v>0</v>
      </c>
      <c r="B5" s="7">
        <v>-100</v>
      </c>
      <c r="C5" s="7">
        <f>B5/(1+$B$2)^A5</f>
        <v>-100</v>
      </c>
      <c r="D5" s="2" t="str">
        <f ca="1">_xlfn.FORMULATEXT(C5)</f>
        <v>=B5/(1+$B$2)^A5</v>
      </c>
    </row>
    <row r="6" spans="1:4" x14ac:dyDescent="0.4">
      <c r="A6" s="6">
        <v>1</v>
      </c>
      <c r="B6" s="7">
        <v>35</v>
      </c>
      <c r="C6" s="7">
        <f t="shared" ref="C6:C10" si="0">B6/(1+$B$2)^A6</f>
        <v>31.818181818181817</v>
      </c>
      <c r="D6" s="2"/>
    </row>
    <row r="7" spans="1:4" x14ac:dyDescent="0.4">
      <c r="A7" s="6">
        <v>2</v>
      </c>
      <c r="B7" s="7">
        <v>33</v>
      </c>
      <c r="C7" s="7">
        <f t="shared" si="0"/>
        <v>27.27272727272727</v>
      </c>
      <c r="D7" s="2"/>
    </row>
    <row r="8" spans="1:4" x14ac:dyDescent="0.4">
      <c r="A8" s="6">
        <v>3</v>
      </c>
      <c r="B8" s="7">
        <v>34</v>
      </c>
      <c r="C8" s="7">
        <f t="shared" si="0"/>
        <v>25.544703230653635</v>
      </c>
      <c r="D8" s="2"/>
    </row>
    <row r="9" spans="1:4" x14ac:dyDescent="0.4">
      <c r="A9" s="6">
        <v>4</v>
      </c>
      <c r="B9" s="7">
        <v>25</v>
      </c>
      <c r="C9" s="7">
        <f t="shared" si="0"/>
        <v>17.075336384126764</v>
      </c>
      <c r="D9" s="2"/>
    </row>
    <row r="10" spans="1:4" x14ac:dyDescent="0.4">
      <c r="A10" s="6">
        <v>5</v>
      </c>
      <c r="B10" s="7">
        <v>16</v>
      </c>
      <c r="C10" s="7">
        <f t="shared" si="0"/>
        <v>9.9347411689464789</v>
      </c>
      <c r="D10" s="2"/>
    </row>
    <row r="11" spans="1:4" ht="5.65" customHeight="1" x14ac:dyDescent="0.4">
      <c r="A11" s="2"/>
      <c r="B11" s="2"/>
      <c r="C11" s="2"/>
      <c r="D11" s="2"/>
    </row>
    <row r="12" spans="1:4" ht="27.75" customHeight="1" x14ac:dyDescent="0.4">
      <c r="A12" s="8" t="s">
        <v>5</v>
      </c>
      <c r="B12" s="9">
        <f>SUM(C6:C10)</f>
        <v>111.64568987463595</v>
      </c>
      <c r="C12" s="7" t="str">
        <f ca="1">_xlfn.FORMULATEXT(B12)</f>
        <v>=SUM(C6:C10)</v>
      </c>
      <c r="D12" s="2"/>
    </row>
    <row r="13" spans="1:4" ht="17.25" customHeight="1" x14ac:dyDescent="0.4">
      <c r="A13" s="8"/>
      <c r="B13" s="9">
        <f>NPV(B2,B6:B10)</f>
        <v>111.64568987463596</v>
      </c>
      <c r="C13" s="7" t="str">
        <f t="shared" ref="C13:C14" ca="1" si="1">_xlfn.FORMULATEXT(B13)</f>
        <v>=NPV(B2,B6:B10)</v>
      </c>
      <c r="D13" s="2"/>
    </row>
    <row r="14" spans="1:4" x14ac:dyDescent="0.4">
      <c r="A14" s="10" t="s">
        <v>6</v>
      </c>
      <c r="B14" s="9">
        <f>B5+NPV(B2,B6:B10)</f>
        <v>11.645689874635963</v>
      </c>
      <c r="C14" s="7" t="str">
        <f t="shared" ca="1" si="1"/>
        <v>=B5+NPV(B2,B6:B10)</v>
      </c>
      <c r="D14" s="2"/>
    </row>
  </sheetData>
  <mergeCells count="2">
    <mergeCell ref="A1:D1"/>
    <mergeCell ref="A12:A1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5571-3195-4D65-AE0C-EBA269FFA2B0}">
  <dimension ref="A1:C15"/>
  <sheetViews>
    <sheetView workbookViewId="0">
      <selection activeCell="G17" sqref="G17"/>
    </sheetView>
  </sheetViews>
  <sheetFormatPr defaultRowHeight="13.9" x14ac:dyDescent="0.4"/>
  <cols>
    <col min="1" max="1" width="20.73046875" customWidth="1"/>
    <col min="2" max="2" width="13.33203125" customWidth="1"/>
    <col min="3" max="3" width="11.46484375" customWidth="1"/>
  </cols>
  <sheetData>
    <row r="1" spans="1:3" ht="17.649999999999999" x14ac:dyDescent="0.5">
      <c r="A1" s="1" t="s">
        <v>7</v>
      </c>
      <c r="B1" s="1"/>
      <c r="C1" s="1"/>
    </row>
    <row r="2" spans="1:3" x14ac:dyDescent="0.4">
      <c r="A2" s="2" t="s">
        <v>1</v>
      </c>
      <c r="B2" s="3">
        <v>0.15</v>
      </c>
      <c r="C2" s="2"/>
    </row>
    <row r="3" spans="1:3" x14ac:dyDescent="0.4">
      <c r="A3" s="2"/>
      <c r="B3" s="2"/>
      <c r="C3" s="2"/>
    </row>
    <row r="4" spans="1:3" x14ac:dyDescent="0.4">
      <c r="A4" s="4" t="s">
        <v>2</v>
      </c>
      <c r="B4" s="4" t="s">
        <v>3</v>
      </c>
      <c r="C4" s="2"/>
    </row>
    <row r="5" spans="1:3" x14ac:dyDescent="0.4">
      <c r="A5" s="6">
        <v>1</v>
      </c>
      <c r="B5" s="11">
        <v>0</v>
      </c>
      <c r="C5" s="2"/>
    </row>
    <row r="6" spans="1:3" x14ac:dyDescent="0.4">
      <c r="A6" s="6">
        <v>2</v>
      </c>
      <c r="B6" s="11">
        <v>0</v>
      </c>
      <c r="C6" s="2"/>
    </row>
    <row r="7" spans="1:3" x14ac:dyDescent="0.4">
      <c r="A7" s="6">
        <v>3</v>
      </c>
      <c r="B7" s="11">
        <v>100</v>
      </c>
      <c r="C7" s="2"/>
    </row>
    <row r="8" spans="1:3" x14ac:dyDescent="0.4">
      <c r="A8" s="10" t="s">
        <v>4</v>
      </c>
      <c r="B8" s="12">
        <f>NPV(B2,B5:B7)</f>
        <v>65.751623243198836</v>
      </c>
      <c r="C8" s="12">
        <f>100/(1+B2)^3</f>
        <v>65.751623243198836</v>
      </c>
    </row>
    <row r="9" spans="1:3" x14ac:dyDescent="0.4">
      <c r="A9" s="2"/>
      <c r="B9" s="2" t="str">
        <f ca="1">_xlfn.FORMULATEXT(B8)</f>
        <v>=NPV(B2,B5:B7)</v>
      </c>
      <c r="C9" s="2" t="str">
        <f ca="1">_xlfn.FORMULATEXT(C8)</f>
        <v>=100/(1+B2)^3</v>
      </c>
    </row>
    <row r="10" spans="1:3" x14ac:dyDescent="0.4">
      <c r="A10" s="4" t="s">
        <v>2</v>
      </c>
      <c r="B10" s="4" t="s">
        <v>3</v>
      </c>
      <c r="C10" s="2"/>
    </row>
    <row r="11" spans="1:3" x14ac:dyDescent="0.4">
      <c r="A11" s="6">
        <v>1</v>
      </c>
      <c r="B11" s="11"/>
      <c r="C11" s="2"/>
    </row>
    <row r="12" spans="1:3" x14ac:dyDescent="0.4">
      <c r="A12" s="6">
        <v>2</v>
      </c>
      <c r="B12" s="11"/>
      <c r="C12" s="2"/>
    </row>
    <row r="13" spans="1:3" x14ac:dyDescent="0.4">
      <c r="A13" s="6">
        <v>3</v>
      </c>
      <c r="B13" s="11">
        <v>100</v>
      </c>
      <c r="C13" s="2"/>
    </row>
    <row r="14" spans="1:3" x14ac:dyDescent="0.4">
      <c r="A14" s="10" t="s">
        <v>4</v>
      </c>
      <c r="B14" s="12">
        <f>NPV(B2,B11:B13)</f>
        <v>86.956521739130437</v>
      </c>
      <c r="C14" s="12">
        <f>100/(1+B2)</f>
        <v>86.956521739130437</v>
      </c>
    </row>
    <row r="15" spans="1:3" x14ac:dyDescent="0.4">
      <c r="B15" t="str">
        <f ca="1">_xlfn.FORMULATEXT(B14)</f>
        <v>=NPV(B2,B11:B13)</v>
      </c>
      <c r="C15" t="str">
        <f ca="1">_xlfn.FORMULATEXT(C14)</f>
        <v>=100/(1+B2)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683A-5233-4952-BC52-A591967C5196}">
  <dimension ref="A1:C11"/>
  <sheetViews>
    <sheetView workbookViewId="0">
      <selection activeCell="E7" sqref="E7"/>
    </sheetView>
  </sheetViews>
  <sheetFormatPr defaultRowHeight="13.9" x14ac:dyDescent="0.4"/>
  <cols>
    <col min="1" max="1" width="14.9296875" customWidth="1"/>
    <col min="2" max="2" width="12.796875" customWidth="1"/>
  </cols>
  <sheetData>
    <row r="1" spans="1:3" ht="17.649999999999999" x14ac:dyDescent="0.5">
      <c r="A1" s="1" t="s">
        <v>8</v>
      </c>
      <c r="B1" s="1"/>
      <c r="C1" s="1"/>
    </row>
    <row r="2" spans="1:3" x14ac:dyDescent="0.4">
      <c r="A2" s="6" t="s">
        <v>2</v>
      </c>
      <c r="B2" s="6" t="s">
        <v>3</v>
      </c>
      <c r="C2" s="2"/>
    </row>
    <row r="3" spans="1:3" x14ac:dyDescent="0.4">
      <c r="A3" s="6">
        <v>0</v>
      </c>
      <c r="B3" s="2">
        <v>-100</v>
      </c>
      <c r="C3" s="2"/>
    </row>
    <row r="4" spans="1:3" x14ac:dyDescent="0.4">
      <c r="A4" s="6">
        <v>1</v>
      </c>
      <c r="B4" s="2">
        <v>35</v>
      </c>
      <c r="C4" s="2"/>
    </row>
    <row r="5" spans="1:3" x14ac:dyDescent="0.4">
      <c r="A5" s="6">
        <v>2</v>
      </c>
      <c r="B5" s="2">
        <v>33</v>
      </c>
      <c r="C5" s="2"/>
    </row>
    <row r="6" spans="1:3" x14ac:dyDescent="0.4">
      <c r="A6" s="6">
        <v>3</v>
      </c>
      <c r="B6" s="2">
        <v>34</v>
      </c>
      <c r="C6" s="2"/>
    </row>
    <row r="7" spans="1:3" x14ac:dyDescent="0.4">
      <c r="A7" s="6">
        <v>4</v>
      </c>
      <c r="B7" s="2">
        <v>25</v>
      </c>
      <c r="C7" s="2"/>
    </row>
    <row r="8" spans="1:3" x14ac:dyDescent="0.4">
      <c r="A8" s="6">
        <v>5</v>
      </c>
      <c r="B8" s="2">
        <v>16</v>
      </c>
      <c r="C8" s="2"/>
    </row>
    <row r="9" spans="1:3" x14ac:dyDescent="0.4">
      <c r="A9" s="2"/>
      <c r="B9" s="2"/>
      <c r="C9" s="2"/>
    </row>
    <row r="10" spans="1:3" x14ac:dyDescent="0.4">
      <c r="A10" s="10" t="s">
        <v>9</v>
      </c>
      <c r="B10" s="14">
        <f>IRR(B3:B8)</f>
        <v>0.14996110296982978</v>
      </c>
      <c r="C10" s="10" t="str">
        <f ca="1">_xlfn.FORMULATEXT(B10)</f>
        <v>=IRR(B3:B8)</v>
      </c>
    </row>
    <row r="11" spans="1:3" x14ac:dyDescent="0.4">
      <c r="A11" s="10"/>
      <c r="B11" s="14">
        <f>IRR(B3:B8,5%)</f>
        <v>0.14996110296975873</v>
      </c>
      <c r="C11" s="10" t="str">
        <f ca="1">_xlfn.FORMULATEXT(B11)</f>
        <v>=IRR(B3:B8,5%)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EA8-66A6-41F1-AF46-4E6AA7A49145}">
  <dimension ref="A1:I38"/>
  <sheetViews>
    <sheetView workbookViewId="0">
      <selection activeCell="I28" sqref="I28"/>
    </sheetView>
  </sheetViews>
  <sheetFormatPr defaultRowHeight="13.9" x14ac:dyDescent="0.4"/>
  <cols>
    <col min="2" max="2" width="12.59765625" bestFit="1" customWidth="1"/>
  </cols>
  <sheetData>
    <row r="1" spans="1:9" ht="17.649999999999999" x14ac:dyDescent="0.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ht="27.75" x14ac:dyDescent="0.4">
      <c r="A2" s="4" t="s">
        <v>2</v>
      </c>
      <c r="B2" s="5" t="s">
        <v>11</v>
      </c>
    </row>
    <row r="3" spans="1:9" x14ac:dyDescent="0.4">
      <c r="A3" s="6">
        <v>0</v>
      </c>
      <c r="B3" s="15">
        <v>-11000</v>
      </c>
    </row>
    <row r="4" spans="1:9" x14ac:dyDescent="0.4">
      <c r="A4" s="6">
        <v>1</v>
      </c>
      <c r="B4" s="15">
        <v>15000</v>
      </c>
    </row>
    <row r="5" spans="1:9" x14ac:dyDescent="0.4">
      <c r="A5" s="6">
        <v>2</v>
      </c>
      <c r="B5" s="15">
        <v>15000</v>
      </c>
    </row>
    <row r="6" spans="1:9" x14ac:dyDescent="0.4">
      <c r="A6" s="6">
        <v>3</v>
      </c>
      <c r="B6" s="15">
        <v>15000</v>
      </c>
    </row>
    <row r="7" spans="1:9" x14ac:dyDescent="0.4">
      <c r="A7" s="6">
        <v>4</v>
      </c>
      <c r="B7" s="15">
        <v>15000</v>
      </c>
    </row>
    <row r="8" spans="1:9" x14ac:dyDescent="0.4">
      <c r="A8" s="6">
        <v>5</v>
      </c>
      <c r="B8" s="15">
        <v>15000</v>
      </c>
    </row>
    <row r="9" spans="1:9" x14ac:dyDescent="0.4">
      <c r="A9" s="6">
        <v>6</v>
      </c>
      <c r="B9" s="15">
        <v>15000</v>
      </c>
    </row>
    <row r="10" spans="1:9" x14ac:dyDescent="0.4">
      <c r="A10" s="6">
        <v>7</v>
      </c>
      <c r="B10" s="15">
        <v>15000</v>
      </c>
    </row>
    <row r="11" spans="1:9" x14ac:dyDescent="0.4">
      <c r="A11" s="6">
        <v>8</v>
      </c>
      <c r="B11" s="15">
        <v>15000</v>
      </c>
    </row>
    <row r="12" spans="1:9" x14ac:dyDescent="0.4">
      <c r="A12" s="6">
        <v>9</v>
      </c>
      <c r="B12" s="15">
        <v>15000</v>
      </c>
    </row>
    <row r="13" spans="1:9" x14ac:dyDescent="0.4">
      <c r="A13" s="6">
        <v>10</v>
      </c>
      <c r="B13" s="15">
        <v>-135000</v>
      </c>
    </row>
    <row r="14" spans="1:9" x14ac:dyDescent="0.4">
      <c r="A14" s="2"/>
      <c r="B14" s="2"/>
    </row>
    <row r="15" spans="1:9" x14ac:dyDescent="0.4">
      <c r="A15" s="10" t="s">
        <v>9</v>
      </c>
      <c r="B15" s="14">
        <f>IRR(B3:B13,0)</f>
        <v>1.8644788898824149E-2</v>
      </c>
      <c r="C15" t="str">
        <f ca="1">_xlfn.FORMULATEXT(B15)</f>
        <v>=IRR(B3:B13,0)</v>
      </c>
    </row>
    <row r="16" spans="1:9" x14ac:dyDescent="0.4">
      <c r="A16" s="10"/>
      <c r="B16" s="14">
        <f>IRR(B3:B13,3)</f>
        <v>1.3599205495612057</v>
      </c>
      <c r="C16" t="str">
        <f t="shared" ref="C16:C21" ca="1" si="0">_xlfn.FORMULATEXT(B16)</f>
        <v>=IRR(B3:B13,3)</v>
      </c>
    </row>
    <row r="17" spans="1:3" x14ac:dyDescent="0.4">
      <c r="A17" s="2"/>
      <c r="B17" s="2"/>
    </row>
    <row r="18" spans="1:3" x14ac:dyDescent="0.4">
      <c r="A18" s="2"/>
      <c r="B18" s="2"/>
    </row>
    <row r="19" spans="1:3" x14ac:dyDescent="0.4">
      <c r="A19" s="16" t="s">
        <v>12</v>
      </c>
      <c r="B19" s="2"/>
    </row>
    <row r="20" spans="1:3" x14ac:dyDescent="0.4">
      <c r="A20" s="6" t="s">
        <v>13</v>
      </c>
      <c r="B20" s="6" t="s">
        <v>14</v>
      </c>
    </row>
    <row r="21" spans="1:3" x14ac:dyDescent="0.4">
      <c r="A21" s="6"/>
      <c r="B21" s="20">
        <f>NPV(A21,$B$4:$B$13)+$B$3</f>
        <v>-11000</v>
      </c>
      <c r="C21" t="str">
        <f t="shared" ca="1" si="0"/>
        <v>=NPV(A21,$B$4:$B$13)+$B$3</v>
      </c>
    </row>
    <row r="22" spans="1:3" x14ac:dyDescent="0.4">
      <c r="A22" s="17">
        <v>0</v>
      </c>
      <c r="B22" s="18">
        <f t="dataTable" ref="B22:B38" dt2D="0" dtr="0" r1="A21"/>
        <v>-11000</v>
      </c>
    </row>
    <row r="23" spans="1:3" x14ac:dyDescent="0.4">
      <c r="A23" s="17">
        <v>0.1</v>
      </c>
      <c r="B23" s="18">
        <v>23337.013171140497</v>
      </c>
    </row>
    <row r="24" spans="1:3" x14ac:dyDescent="0.4">
      <c r="A24" s="17">
        <v>0.2</v>
      </c>
      <c r="B24" s="18">
        <v>27661.243849784718</v>
      </c>
    </row>
    <row r="25" spans="1:3" x14ac:dyDescent="0.4">
      <c r="A25" s="17">
        <v>0.3</v>
      </c>
      <c r="B25" s="18">
        <v>24492.369942718855</v>
      </c>
    </row>
    <row r="26" spans="1:3" x14ac:dyDescent="0.4">
      <c r="A26" s="17">
        <v>0.4</v>
      </c>
      <c r="B26" s="18">
        <v>20017.822556198549</v>
      </c>
    </row>
    <row r="27" spans="1:3" x14ac:dyDescent="0.4">
      <c r="A27" s="17">
        <v>0.5</v>
      </c>
      <c r="B27" s="18">
        <v>15878.524615150131</v>
      </c>
    </row>
    <row r="28" spans="1:3" x14ac:dyDescent="0.4">
      <c r="A28" s="17">
        <v>0.6</v>
      </c>
      <c r="B28" s="18">
        <v>12408.384271897376</v>
      </c>
    </row>
    <row r="29" spans="1:3" x14ac:dyDescent="0.4">
      <c r="A29" s="17">
        <v>0.7</v>
      </c>
      <c r="B29" s="18">
        <v>9578.2287197448277</v>
      </c>
    </row>
    <row r="30" spans="1:3" x14ac:dyDescent="0.4">
      <c r="A30" s="17">
        <v>0.8</v>
      </c>
      <c r="B30" s="18">
        <v>7277.3727798376713</v>
      </c>
    </row>
    <row r="31" spans="1:3" x14ac:dyDescent="0.4">
      <c r="A31" s="17">
        <v>0.9</v>
      </c>
      <c r="B31" s="18">
        <v>5394.8270556453281</v>
      </c>
    </row>
    <row r="32" spans="1:3" x14ac:dyDescent="0.4">
      <c r="A32" s="17">
        <v>1</v>
      </c>
      <c r="B32" s="18">
        <v>3838.8671875</v>
      </c>
    </row>
    <row r="33" spans="1:2" x14ac:dyDescent="0.4">
      <c r="A33" s="17">
        <v>1.1000000000000001</v>
      </c>
      <c r="B33" s="18">
        <v>2538.2596008191249</v>
      </c>
    </row>
    <row r="34" spans="1:2" x14ac:dyDescent="0.4">
      <c r="A34" s="17">
        <v>1.2</v>
      </c>
      <c r="B34" s="18">
        <v>1438.8175932301729</v>
      </c>
    </row>
    <row r="35" spans="1:2" x14ac:dyDescent="0.4">
      <c r="A35" s="17">
        <v>1.3</v>
      </c>
      <c r="B35" s="18">
        <v>499.4675568768107</v>
      </c>
    </row>
    <row r="36" spans="1:2" x14ac:dyDescent="0.4">
      <c r="A36" s="17">
        <v>1.4</v>
      </c>
      <c r="B36" s="18">
        <v>-311.06219039495772</v>
      </c>
    </row>
    <row r="37" spans="1:2" x14ac:dyDescent="0.4">
      <c r="A37" s="17">
        <v>1.5</v>
      </c>
      <c r="B37" s="18">
        <v>-1016.7772160000004</v>
      </c>
    </row>
    <row r="38" spans="1:2" x14ac:dyDescent="0.4">
      <c r="A38" s="17">
        <v>1.6</v>
      </c>
      <c r="B38" s="18">
        <v>-1636.2898122088809</v>
      </c>
    </row>
  </sheetData>
  <mergeCells count="1">
    <mergeCell ref="A1:I1"/>
  </mergeCells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B7BD-49B9-47FF-8EC1-30288BEC6318}">
  <dimension ref="A1:C13"/>
  <sheetViews>
    <sheetView workbookViewId="0">
      <selection activeCell="G22" sqref="G22"/>
    </sheetView>
  </sheetViews>
  <sheetFormatPr defaultRowHeight="13.9" x14ac:dyDescent="0.4"/>
  <cols>
    <col min="1" max="1" width="18.46484375" customWidth="1"/>
    <col min="2" max="2" width="17.19921875" customWidth="1"/>
  </cols>
  <sheetData>
    <row r="1" spans="1:3" ht="17.649999999999999" x14ac:dyDescent="0.5">
      <c r="A1" s="1" t="s">
        <v>15</v>
      </c>
      <c r="B1" s="1"/>
      <c r="C1" s="1"/>
    </row>
    <row r="2" spans="1:3" x14ac:dyDescent="0.4">
      <c r="A2" s="21" t="s">
        <v>16</v>
      </c>
      <c r="B2" s="21"/>
      <c r="C2" s="21"/>
    </row>
    <row r="3" spans="1:3" x14ac:dyDescent="0.4">
      <c r="A3" s="2" t="s">
        <v>13</v>
      </c>
      <c r="B3" s="3">
        <v>0.1</v>
      </c>
      <c r="C3" s="2"/>
    </row>
    <row r="4" spans="1:3" x14ac:dyDescent="0.4">
      <c r="A4" s="2" t="s">
        <v>17</v>
      </c>
      <c r="B4" s="7">
        <v>10</v>
      </c>
      <c r="C4" s="2"/>
    </row>
    <row r="5" spans="1:3" x14ac:dyDescent="0.4">
      <c r="A5" s="2" t="s">
        <v>18</v>
      </c>
      <c r="B5" s="7">
        <v>100</v>
      </c>
      <c r="C5" s="2"/>
    </row>
    <row r="6" spans="1:3" x14ac:dyDescent="0.4">
      <c r="A6" s="10" t="s">
        <v>4</v>
      </c>
      <c r="B6" s="9">
        <f>-PV(B3,B4,B5,,0)</f>
        <v>614.45671057046854</v>
      </c>
      <c r="C6" s="2" t="str">
        <f ca="1">_xlfn.FORMULATEXT(B6)</f>
        <v>=-PV(B3,B4,B5,,0)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1" t="s">
        <v>19</v>
      </c>
      <c r="B9" s="21"/>
      <c r="C9" s="21"/>
    </row>
    <row r="10" spans="1:3" x14ac:dyDescent="0.4">
      <c r="A10" s="2" t="s">
        <v>13</v>
      </c>
      <c r="B10" s="3">
        <v>0.1</v>
      </c>
      <c r="C10" s="2"/>
    </row>
    <row r="11" spans="1:3" x14ac:dyDescent="0.4">
      <c r="A11" s="2" t="s">
        <v>17</v>
      </c>
      <c r="B11" s="7">
        <v>10</v>
      </c>
      <c r="C11" s="2"/>
    </row>
    <row r="12" spans="1:3" x14ac:dyDescent="0.4">
      <c r="A12" s="2" t="s">
        <v>18</v>
      </c>
      <c r="B12" s="7">
        <v>100</v>
      </c>
      <c r="C12" s="2"/>
    </row>
    <row r="13" spans="1:3" x14ac:dyDescent="0.4">
      <c r="A13" s="10" t="s">
        <v>4</v>
      </c>
      <c r="B13" s="9">
        <f>-PV(B10,B11,B12,,1)</f>
        <v>675.90238162751541</v>
      </c>
      <c r="C13" s="2" t="str">
        <f ca="1">_xlfn.FORMULATEXT(B13)</f>
        <v>=-PV(B10,B11,B12,,1)</v>
      </c>
    </row>
  </sheetData>
  <mergeCells count="3">
    <mergeCell ref="A1:C1"/>
    <mergeCell ref="A2:C2"/>
    <mergeCell ref="A9:C9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1DE-E319-4236-996A-AD318957F1AF}">
  <dimension ref="A1:C12"/>
  <sheetViews>
    <sheetView workbookViewId="0">
      <selection activeCell="B7" sqref="B7"/>
    </sheetView>
  </sheetViews>
  <sheetFormatPr defaultRowHeight="13.9" x14ac:dyDescent="0.4"/>
  <cols>
    <col min="1" max="1" width="17.3984375" bestFit="1" customWidth="1"/>
    <col min="2" max="2" width="13.06640625" customWidth="1"/>
    <col min="3" max="3" width="12.46484375" customWidth="1"/>
  </cols>
  <sheetData>
    <row r="1" spans="1:3" ht="17.649999999999999" x14ac:dyDescent="0.5">
      <c r="A1" s="1" t="s">
        <v>20</v>
      </c>
      <c r="B1" s="1"/>
      <c r="C1" s="1"/>
    </row>
    <row r="2" spans="1:3" x14ac:dyDescent="0.4">
      <c r="A2" s="19" t="s">
        <v>16</v>
      </c>
      <c r="B2" s="19"/>
      <c r="C2" s="19"/>
    </row>
    <row r="3" spans="1:3" x14ac:dyDescent="0.4">
      <c r="A3" s="2" t="s">
        <v>13</v>
      </c>
      <c r="B3" s="3">
        <v>0.08</v>
      </c>
      <c r="C3" s="2"/>
    </row>
    <row r="4" spans="1:3" x14ac:dyDescent="0.4">
      <c r="A4" s="2" t="s">
        <v>17</v>
      </c>
      <c r="B4" s="7">
        <v>10</v>
      </c>
      <c r="C4" s="2"/>
    </row>
    <row r="5" spans="1:3" x14ac:dyDescent="0.4">
      <c r="A5" s="2" t="s">
        <v>21</v>
      </c>
      <c r="B5" s="7">
        <v>1000</v>
      </c>
      <c r="C5" s="2"/>
    </row>
    <row r="6" spans="1:3" x14ac:dyDescent="0.4">
      <c r="A6" s="10" t="s">
        <v>22</v>
      </c>
      <c r="B6" s="9">
        <f>-PMT(B3,B4,B5,,0)</f>
        <v>149.02948869707541</v>
      </c>
      <c r="C6" s="2" t="str">
        <f ca="1">_xlfn.FORMULATEXT(B6)</f>
        <v>=-PMT(B3,B4,B5,,0)</v>
      </c>
    </row>
    <row r="7" spans="1:3" x14ac:dyDescent="0.4">
      <c r="A7" s="2"/>
      <c r="B7" s="2"/>
      <c r="C7" s="2"/>
    </row>
    <row r="8" spans="1:3" x14ac:dyDescent="0.4">
      <c r="A8" s="19" t="s">
        <v>19</v>
      </c>
      <c r="B8" s="19"/>
      <c r="C8" s="19"/>
    </row>
    <row r="9" spans="1:3" x14ac:dyDescent="0.4">
      <c r="A9" s="2" t="s">
        <v>13</v>
      </c>
      <c r="B9" s="3">
        <v>0.08</v>
      </c>
      <c r="C9" s="2"/>
    </row>
    <row r="10" spans="1:3" x14ac:dyDescent="0.4">
      <c r="A10" s="2" t="s">
        <v>17</v>
      </c>
      <c r="B10" s="7">
        <v>10</v>
      </c>
      <c r="C10" s="2"/>
    </row>
    <row r="11" spans="1:3" x14ac:dyDescent="0.4">
      <c r="A11" s="2" t="s">
        <v>21</v>
      </c>
      <c r="B11" s="7">
        <v>1000</v>
      </c>
      <c r="C11" s="2"/>
    </row>
    <row r="12" spans="1:3" x14ac:dyDescent="0.4">
      <c r="A12" s="10" t="s">
        <v>22</v>
      </c>
      <c r="B12" s="9">
        <f>-PMT(B9,B10,B11,,1)</f>
        <v>137.99026731210685</v>
      </c>
      <c r="C12" s="2" t="str">
        <f ca="1">_xlfn.FORMULATEXT(B12)</f>
        <v>=-PMT(B9,B10,B11,,1)</v>
      </c>
    </row>
  </sheetData>
  <mergeCells count="3">
    <mergeCell ref="A1:C1"/>
    <mergeCell ref="A2:C2"/>
    <mergeCell ref="A8:C8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FF18-4365-4DD6-994F-FBD6AA343BEF}">
  <dimension ref="A1:F20"/>
  <sheetViews>
    <sheetView workbookViewId="0">
      <selection activeCell="E18" sqref="E18"/>
    </sheetView>
  </sheetViews>
  <sheetFormatPr defaultRowHeight="13.9" x14ac:dyDescent="0.4"/>
  <cols>
    <col min="1" max="1" width="17.33203125" customWidth="1"/>
    <col min="2" max="2" width="13.796875" customWidth="1"/>
    <col min="5" max="5" width="12.19921875" customWidth="1"/>
  </cols>
  <sheetData>
    <row r="1" spans="1:6" ht="17.649999999999999" x14ac:dyDescent="0.5">
      <c r="A1" s="1" t="s">
        <v>23</v>
      </c>
      <c r="B1" s="1"/>
      <c r="C1" s="1"/>
      <c r="D1" s="1"/>
      <c r="E1" s="1"/>
      <c r="F1" s="1"/>
    </row>
    <row r="2" spans="1:6" x14ac:dyDescent="0.4">
      <c r="A2" s="2" t="s">
        <v>24</v>
      </c>
      <c r="B2" s="3">
        <v>0.08</v>
      </c>
      <c r="C2" s="2"/>
      <c r="D2" s="2"/>
      <c r="E2" s="2"/>
      <c r="F2" s="2"/>
    </row>
    <row r="3" spans="1:6" x14ac:dyDescent="0.4">
      <c r="A3" s="2" t="s">
        <v>17</v>
      </c>
      <c r="B3" s="2">
        <v>10</v>
      </c>
      <c r="C3" s="2"/>
      <c r="D3" s="2"/>
      <c r="E3" s="19" t="str">
        <f ca="1">_xlfn.FORMULATEXT(C9)</f>
        <v>=$B$5</v>
      </c>
      <c r="F3" s="19"/>
    </row>
    <row r="4" spans="1:6" x14ac:dyDescent="0.4">
      <c r="A4" s="2" t="s">
        <v>21</v>
      </c>
      <c r="B4" s="15">
        <v>1000</v>
      </c>
      <c r="C4" s="2"/>
      <c r="D4" s="2"/>
      <c r="E4" s="2"/>
      <c r="F4" s="2"/>
    </row>
    <row r="5" spans="1:6" x14ac:dyDescent="0.4">
      <c r="A5" s="10" t="s">
        <v>25</v>
      </c>
      <c r="B5" s="9">
        <f>-PMT(B2,B3,B4,,0)</f>
        <v>149.02948869707541</v>
      </c>
      <c r="C5" s="2"/>
      <c r="D5" s="2"/>
      <c r="E5" s="2"/>
      <c r="F5" s="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19" t="s">
        <v>26</v>
      </c>
      <c r="E7" s="19"/>
      <c r="F7" s="2" t="s">
        <v>29</v>
      </c>
    </row>
    <row r="8" spans="1:6" ht="55.5" x14ac:dyDescent="0.4">
      <c r="A8" s="5" t="s">
        <v>2</v>
      </c>
      <c r="B8" s="5" t="s">
        <v>27</v>
      </c>
      <c r="C8" s="5" t="s">
        <v>22</v>
      </c>
      <c r="D8" s="5" t="s">
        <v>24</v>
      </c>
      <c r="E8" s="5" t="s">
        <v>28</v>
      </c>
      <c r="F8" s="5"/>
    </row>
    <row r="9" spans="1:6" x14ac:dyDescent="0.4">
      <c r="A9" s="6">
        <v>1</v>
      </c>
      <c r="B9" s="7">
        <f>B4</f>
        <v>1000</v>
      </c>
      <c r="C9" s="7">
        <f>$B$5</f>
        <v>149.02948869707541</v>
      </c>
      <c r="D9" s="7">
        <f>B9*$B$2</f>
        <v>80</v>
      </c>
      <c r="E9" s="7">
        <f>C9-D9</f>
        <v>69.029488697075408</v>
      </c>
      <c r="F9" s="2" t="str">
        <f ca="1">_xlfn.FORMULATEXT(E9)</f>
        <v>=C9-D9</v>
      </c>
    </row>
    <row r="10" spans="1:6" x14ac:dyDescent="0.4">
      <c r="A10" s="6">
        <v>2</v>
      </c>
      <c r="B10" s="7">
        <f>B9-E9</f>
        <v>930.97051130292459</v>
      </c>
      <c r="C10" s="7">
        <f t="shared" ref="C10:C18" si="0">$B$5</f>
        <v>149.02948869707541</v>
      </c>
      <c r="D10" s="7">
        <f t="shared" ref="D10:D18" si="1">B10*$B$2</f>
        <v>74.477640904233965</v>
      </c>
      <c r="E10" s="7">
        <f t="shared" ref="E10:E18" si="2">C10-D10</f>
        <v>74.551847792841443</v>
      </c>
      <c r="F10" s="2"/>
    </row>
    <row r="11" spans="1:6" x14ac:dyDescent="0.4">
      <c r="A11" s="6">
        <v>3</v>
      </c>
      <c r="B11" s="7">
        <f t="shared" ref="B11:B18" si="3">B10-E10</f>
        <v>856.41866351008321</v>
      </c>
      <c r="C11" s="7">
        <f t="shared" si="0"/>
        <v>149.02948869707541</v>
      </c>
      <c r="D11" s="7">
        <f t="shared" si="1"/>
        <v>68.513493080806654</v>
      </c>
      <c r="E11" s="7">
        <f t="shared" si="2"/>
        <v>80.515995616268754</v>
      </c>
      <c r="F11" s="2"/>
    </row>
    <row r="12" spans="1:6" x14ac:dyDescent="0.4">
      <c r="A12" s="6">
        <v>4</v>
      </c>
      <c r="B12" s="7">
        <f t="shared" si="3"/>
        <v>775.9026678938144</v>
      </c>
      <c r="C12" s="7">
        <f t="shared" si="0"/>
        <v>149.02948869707541</v>
      </c>
      <c r="D12" s="7">
        <f t="shared" si="1"/>
        <v>62.072213431505155</v>
      </c>
      <c r="E12" s="7">
        <f t="shared" si="2"/>
        <v>86.957275265570246</v>
      </c>
      <c r="F12" s="2"/>
    </row>
    <row r="13" spans="1:6" x14ac:dyDescent="0.4">
      <c r="A13" s="6">
        <v>5</v>
      </c>
      <c r="B13" s="7">
        <f t="shared" si="3"/>
        <v>688.94539262824412</v>
      </c>
      <c r="C13" s="7">
        <f t="shared" si="0"/>
        <v>149.02948869707541</v>
      </c>
      <c r="D13" s="7">
        <f t="shared" si="1"/>
        <v>55.115631410259532</v>
      </c>
      <c r="E13" s="7">
        <f t="shared" si="2"/>
        <v>93.913857286815869</v>
      </c>
      <c r="F13" s="2"/>
    </row>
    <row r="14" spans="1:6" x14ac:dyDescent="0.4">
      <c r="A14" s="6">
        <v>6</v>
      </c>
      <c r="B14" s="7">
        <f t="shared" si="3"/>
        <v>595.03153534142825</v>
      </c>
      <c r="C14" s="7">
        <f t="shared" si="0"/>
        <v>149.02948869707541</v>
      </c>
      <c r="D14" s="7">
        <f t="shared" si="1"/>
        <v>47.60252282731426</v>
      </c>
      <c r="E14" s="7">
        <f t="shared" si="2"/>
        <v>101.42696586976115</v>
      </c>
      <c r="F14" s="2"/>
    </row>
    <row r="15" spans="1:6" x14ac:dyDescent="0.4">
      <c r="A15" s="6">
        <v>7</v>
      </c>
      <c r="B15" s="7">
        <f t="shared" si="3"/>
        <v>493.60456947166711</v>
      </c>
      <c r="C15" s="7">
        <f t="shared" si="0"/>
        <v>149.02948869707541</v>
      </c>
      <c r="D15" s="7">
        <f t="shared" si="1"/>
        <v>39.488365557733367</v>
      </c>
      <c r="E15" s="7">
        <f t="shared" si="2"/>
        <v>109.54112313934203</v>
      </c>
      <c r="F15" s="2"/>
    </row>
    <row r="16" spans="1:6" x14ac:dyDescent="0.4">
      <c r="A16" s="6">
        <v>8</v>
      </c>
      <c r="B16" s="7">
        <f t="shared" si="3"/>
        <v>384.06344633232504</v>
      </c>
      <c r="C16" s="7">
        <f t="shared" si="0"/>
        <v>149.02948869707541</v>
      </c>
      <c r="D16" s="7">
        <f t="shared" si="1"/>
        <v>30.725075706586004</v>
      </c>
      <c r="E16" s="7">
        <f t="shared" si="2"/>
        <v>118.3044129904894</v>
      </c>
      <c r="F16" s="2"/>
    </row>
    <row r="17" spans="1:6" x14ac:dyDescent="0.4">
      <c r="A17" s="6">
        <v>9</v>
      </c>
      <c r="B17" s="7">
        <f t="shared" si="3"/>
        <v>265.75903334183567</v>
      </c>
      <c r="C17" s="7">
        <f t="shared" si="0"/>
        <v>149.02948869707541</v>
      </c>
      <c r="D17" s="7">
        <f t="shared" si="1"/>
        <v>21.260722667346855</v>
      </c>
      <c r="E17" s="7">
        <f t="shared" si="2"/>
        <v>127.76876602972855</v>
      </c>
      <c r="F17" s="2"/>
    </row>
    <row r="18" spans="1:6" x14ac:dyDescent="0.4">
      <c r="A18" s="6">
        <v>10</v>
      </c>
      <c r="B18" s="9">
        <f t="shared" si="3"/>
        <v>137.99026731210711</v>
      </c>
      <c r="C18" s="7">
        <f t="shared" si="0"/>
        <v>149.02948869707541</v>
      </c>
      <c r="D18" s="7">
        <f t="shared" si="1"/>
        <v>11.039221384968569</v>
      </c>
      <c r="E18" s="9">
        <f t="shared" si="2"/>
        <v>137.99026731210685</v>
      </c>
      <c r="F18" s="2"/>
    </row>
    <row r="19" spans="1:6" x14ac:dyDescent="0.4">
      <c r="A19" s="2"/>
      <c r="B19" s="2"/>
      <c r="C19" s="2"/>
      <c r="D19" s="2"/>
      <c r="E19" s="2"/>
      <c r="F19" s="2"/>
    </row>
    <row r="20" spans="1:6" x14ac:dyDescent="0.4">
      <c r="A20" s="22" t="str">
        <f ca="1">_xlfn.FORMULATEXT(B10)</f>
        <v>=B9-E9</v>
      </c>
      <c r="B20" s="2"/>
      <c r="C20" s="2"/>
      <c r="D20" s="2"/>
      <c r="E20" s="23" t="str">
        <f ca="1">_xlfn.FORMULATEXT(D9)</f>
        <v>=B9*$B$2</v>
      </c>
      <c r="F20" s="2"/>
    </row>
  </sheetData>
  <mergeCells count="3">
    <mergeCell ref="A1:F1"/>
    <mergeCell ref="E3:F3"/>
    <mergeCell ref="D7:E7"/>
  </mergeCells>
  <phoneticPr fontId="1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88C-FD15-47F0-8E72-DC8005212048}">
  <dimension ref="A1:E16"/>
  <sheetViews>
    <sheetView workbookViewId="0">
      <selection activeCell="E18" sqref="E18"/>
    </sheetView>
  </sheetViews>
  <sheetFormatPr defaultRowHeight="13.9" x14ac:dyDescent="0.4"/>
  <cols>
    <col min="1" max="1" width="19.53125" customWidth="1"/>
    <col min="2" max="2" width="13.1328125" customWidth="1"/>
    <col min="3" max="3" width="26.6640625" customWidth="1"/>
    <col min="4" max="4" width="12.265625" customWidth="1"/>
  </cols>
  <sheetData>
    <row r="1" spans="1:5" ht="17.649999999999999" x14ac:dyDescent="0.5">
      <c r="A1" s="1" t="s">
        <v>30</v>
      </c>
      <c r="B1" s="1"/>
      <c r="C1" s="1"/>
      <c r="D1" s="1"/>
      <c r="E1" s="1"/>
    </row>
    <row r="2" spans="1:5" x14ac:dyDescent="0.4">
      <c r="A2" s="2" t="s">
        <v>24</v>
      </c>
      <c r="B2" s="3">
        <v>0.08</v>
      </c>
      <c r="C2" s="2"/>
      <c r="D2" s="2"/>
      <c r="E2" s="2"/>
    </row>
    <row r="3" spans="1:5" x14ac:dyDescent="0.4">
      <c r="A3" s="2" t="s">
        <v>17</v>
      </c>
      <c r="B3" s="2">
        <v>10</v>
      </c>
      <c r="C3" s="2"/>
      <c r="D3" s="2"/>
      <c r="E3" s="2"/>
    </row>
    <row r="4" spans="1:5" x14ac:dyDescent="0.4">
      <c r="A4" s="2" t="s">
        <v>21</v>
      </c>
      <c r="B4" s="15">
        <v>1000</v>
      </c>
      <c r="C4" s="2"/>
      <c r="D4" s="2"/>
      <c r="E4" s="2"/>
    </row>
    <row r="5" spans="1:5" x14ac:dyDescent="0.4">
      <c r="A5" s="2"/>
      <c r="B5" s="2"/>
      <c r="C5" s="2"/>
      <c r="D5" s="2"/>
      <c r="E5" s="2"/>
    </row>
    <row r="6" spans="1:5" ht="55.5" x14ac:dyDescent="0.4">
      <c r="A6" s="4" t="s">
        <v>2</v>
      </c>
      <c r="B6" s="5" t="s">
        <v>31</v>
      </c>
      <c r="C6" s="4"/>
      <c r="D6" s="5" t="s">
        <v>32</v>
      </c>
      <c r="E6" s="4"/>
    </row>
    <row r="7" spans="1:5" x14ac:dyDescent="0.4">
      <c r="A7" s="6">
        <v>1</v>
      </c>
      <c r="B7" s="24">
        <f>-PPMT($B$2,A7,$B$3,$B$4,,0)</f>
        <v>69.029488697075422</v>
      </c>
      <c r="C7" s="2" t="str">
        <f ca="1">_xlfn.FORMULATEXT(B7)</f>
        <v>=-PPMT($B$2,A7,$B$3,$B$4,,0)</v>
      </c>
      <c r="D7" s="24">
        <f>-IPMT($B$2,A7,$B$3,$B$4,,0)</f>
        <v>80</v>
      </c>
      <c r="E7" s="2" t="str">
        <f ca="1">_xlfn.FORMULATEXT(D7)</f>
        <v>=-IPMT($B$2,A7,$B$3,$B$4,,0)</v>
      </c>
    </row>
    <row r="8" spans="1:5" x14ac:dyDescent="0.4">
      <c r="A8" s="6">
        <v>2</v>
      </c>
      <c r="B8" s="24">
        <f t="shared" ref="B8:B16" si="0">-PPMT($B$2,A8,$B$3,$B$4,,0)</f>
        <v>74.551847792841471</v>
      </c>
      <c r="C8" s="2" t="str">
        <f ca="1">_xlfn.FORMULATEXT(B8)</f>
        <v>=-PPMT($B$2,A8,$B$3,$B$4,,0)</v>
      </c>
      <c r="D8" s="24">
        <f t="shared" ref="D8:D16" si="1">-IPMT($B$2,A8,$B$3,$B$4,,0)</f>
        <v>74.477640904233965</v>
      </c>
      <c r="E8" s="2" t="str">
        <f ca="1">_xlfn.FORMULATEXT(D8)</f>
        <v>=-IPMT($B$2,A8,$B$3,$B$4,,0)</v>
      </c>
    </row>
    <row r="9" spans="1:5" x14ac:dyDescent="0.4">
      <c r="A9" s="6">
        <v>3</v>
      </c>
      <c r="B9" s="24">
        <f t="shared" si="0"/>
        <v>80.515995616268768</v>
      </c>
      <c r="C9" s="2"/>
      <c r="D9" s="24">
        <f t="shared" si="1"/>
        <v>68.513493080806654</v>
      </c>
      <c r="E9" s="2"/>
    </row>
    <row r="10" spans="1:5" x14ac:dyDescent="0.4">
      <c r="A10" s="6">
        <v>4</v>
      </c>
      <c r="B10" s="24">
        <f t="shared" si="0"/>
        <v>86.957275265570274</v>
      </c>
      <c r="C10" s="2"/>
      <c r="D10" s="24">
        <f t="shared" si="1"/>
        <v>62.072213431505133</v>
      </c>
      <c r="E10" s="2"/>
    </row>
    <row r="11" spans="1:5" x14ac:dyDescent="0.4">
      <c r="A11" s="6">
        <v>5</v>
      </c>
      <c r="B11" s="24">
        <f t="shared" si="0"/>
        <v>93.913857286815912</v>
      </c>
      <c r="C11" s="2"/>
      <c r="D11" s="24">
        <f t="shared" si="1"/>
        <v>55.115631410259525</v>
      </c>
      <c r="E11" s="2"/>
    </row>
    <row r="12" spans="1:5" x14ac:dyDescent="0.4">
      <c r="A12" s="6">
        <v>6</v>
      </c>
      <c r="B12" s="24">
        <f t="shared" si="0"/>
        <v>101.42696586976118</v>
      </c>
      <c r="C12" s="2"/>
      <c r="D12" s="24">
        <f t="shared" si="1"/>
        <v>47.602522827314253</v>
      </c>
      <c r="E12" s="2"/>
    </row>
    <row r="13" spans="1:5" x14ac:dyDescent="0.4">
      <c r="A13" s="6">
        <v>7</v>
      </c>
      <c r="B13" s="24">
        <f t="shared" si="0"/>
        <v>109.54112313934206</v>
      </c>
      <c r="C13" s="2"/>
      <c r="D13" s="24">
        <f t="shared" si="1"/>
        <v>39.488365557733353</v>
      </c>
      <c r="E13" s="2"/>
    </row>
    <row r="14" spans="1:5" x14ac:dyDescent="0.4">
      <c r="A14" s="6">
        <v>8</v>
      </c>
      <c r="B14" s="24">
        <f t="shared" si="0"/>
        <v>118.30441299048942</v>
      </c>
      <c r="C14" s="2"/>
      <c r="D14" s="24">
        <f t="shared" si="1"/>
        <v>30.72507570658599</v>
      </c>
      <c r="E14" s="2"/>
    </row>
    <row r="15" spans="1:5" x14ac:dyDescent="0.4">
      <c r="A15" s="6">
        <v>9</v>
      </c>
      <c r="B15" s="24">
        <f t="shared" si="0"/>
        <v>127.76876602972858</v>
      </c>
      <c r="C15" s="2"/>
      <c r="D15" s="24">
        <f t="shared" si="1"/>
        <v>21.260722667346837</v>
      </c>
      <c r="E15" s="2"/>
    </row>
    <row r="16" spans="1:5" x14ac:dyDescent="0.4">
      <c r="A16" s="6">
        <v>10</v>
      </c>
      <c r="B16" s="24">
        <f t="shared" si="0"/>
        <v>137.99026731210685</v>
      </c>
      <c r="C16" s="2"/>
      <c r="D16" s="24">
        <f t="shared" si="1"/>
        <v>11.039221384968549</v>
      </c>
      <c r="E16" s="2"/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DAA1-3459-4AA7-866D-4F4BA10FC48C}">
  <dimension ref="A2:L11"/>
  <sheetViews>
    <sheetView workbookViewId="0">
      <selection activeCell="O4" sqref="O4"/>
    </sheetView>
  </sheetViews>
  <sheetFormatPr defaultRowHeight="13.9" x14ac:dyDescent="0.4"/>
  <cols>
    <col min="1" max="1" width="10.59765625" bestFit="1" customWidth="1"/>
    <col min="2" max="2" width="10.53125" bestFit="1" customWidth="1"/>
    <col min="5" max="5" width="9.53125" bestFit="1" customWidth="1"/>
    <col min="12" max="12" width="15.796875" bestFit="1" customWidth="1"/>
  </cols>
  <sheetData>
    <row r="2" spans="1:12" x14ac:dyDescent="0.4">
      <c r="A2" s="25">
        <v>42038</v>
      </c>
      <c r="E2" s="30">
        <v>36965</v>
      </c>
      <c r="G2" s="31">
        <v>0.34861111111111109</v>
      </c>
    </row>
    <row r="3" spans="1:12" x14ac:dyDescent="0.4">
      <c r="A3" s="26">
        <v>42038</v>
      </c>
      <c r="E3" s="30">
        <v>37149</v>
      </c>
      <c r="I3" s="32">
        <v>0.65833333333333333</v>
      </c>
      <c r="L3" s="34">
        <v>5040.7416666666668</v>
      </c>
    </row>
    <row r="4" spans="1:12" x14ac:dyDescent="0.4">
      <c r="E4" s="30">
        <v>37330</v>
      </c>
      <c r="G4" s="33">
        <v>0.62361111111111112</v>
      </c>
      <c r="I4" s="32">
        <v>0.34444444444444444</v>
      </c>
    </row>
    <row r="5" spans="1:12" x14ac:dyDescent="0.4">
      <c r="A5" t="s">
        <v>33</v>
      </c>
      <c r="B5" s="25">
        <v>14838</v>
      </c>
      <c r="E5" s="30">
        <v>37514</v>
      </c>
      <c r="I5" s="32">
        <f>I3-I4</f>
        <v>0.31388888888888888</v>
      </c>
      <c r="J5" s="32" t="str">
        <f ca="1">_xlfn.FORMULATEXT(I5)</f>
        <v>=I3-I4</v>
      </c>
      <c r="L5" s="26">
        <v>5040.7416666666668</v>
      </c>
    </row>
    <row r="6" spans="1:12" x14ac:dyDescent="0.4">
      <c r="A6" t="s">
        <v>34</v>
      </c>
      <c r="B6" s="25">
        <v>19265</v>
      </c>
      <c r="E6" s="30">
        <v>37695</v>
      </c>
    </row>
    <row r="7" spans="1:12" x14ac:dyDescent="0.4">
      <c r="A7" s="27" t="s">
        <v>35</v>
      </c>
      <c r="B7" s="28">
        <f>B6-B5</f>
        <v>4427</v>
      </c>
      <c r="C7" t="str">
        <f ca="1">_xlfn.FORMULATEXT(B7)</f>
        <v>=B6-B5</v>
      </c>
      <c r="E7" s="30">
        <v>37879</v>
      </c>
      <c r="G7" s="31">
        <v>0.64097222222222228</v>
      </c>
    </row>
    <row r="8" spans="1:12" x14ac:dyDescent="0.4">
      <c r="E8" s="30">
        <v>38061</v>
      </c>
      <c r="I8" s="26">
        <v>0.65833333333333333</v>
      </c>
    </row>
    <row r="9" spans="1:12" x14ac:dyDescent="0.4">
      <c r="A9" s="25">
        <v>17487</v>
      </c>
      <c r="E9" s="30">
        <v>38245</v>
      </c>
      <c r="I9" s="26">
        <v>0.34444444444444444</v>
      </c>
    </row>
    <row r="10" spans="1:12" x14ac:dyDescent="0.4">
      <c r="A10" s="29">
        <f>A9+165</f>
        <v>17652</v>
      </c>
      <c r="B10" t="str">
        <f ca="1">_xlfn.FORMULATEXT(A10)</f>
        <v>=A9+165</v>
      </c>
      <c r="E10" s="30"/>
      <c r="I10" s="26">
        <f>I8-I9</f>
        <v>0.31388888888888888</v>
      </c>
      <c r="J10" t="str">
        <f ca="1">_xlfn.FORMULATEXT(I10)</f>
        <v>=I8-I9</v>
      </c>
    </row>
    <row r="11" spans="1:12" x14ac:dyDescent="0.4">
      <c r="E11" s="30"/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5B93-69D4-4CD4-AA1E-4C57CB6D7F92}">
  <dimension ref="A1:C17"/>
  <sheetViews>
    <sheetView workbookViewId="0">
      <selection activeCell="G9" sqref="G9"/>
    </sheetView>
  </sheetViews>
  <sheetFormatPr defaultRowHeight="13.9" x14ac:dyDescent="0.4"/>
  <cols>
    <col min="1" max="1" width="17.53125" customWidth="1"/>
    <col min="2" max="2" width="14.73046875" customWidth="1"/>
    <col min="3" max="3" width="12.6640625" customWidth="1"/>
  </cols>
  <sheetData>
    <row r="1" spans="1:3" ht="41.65" x14ac:dyDescent="0.4">
      <c r="A1" s="5" t="s">
        <v>36</v>
      </c>
      <c r="B1" s="5" t="s">
        <v>37</v>
      </c>
      <c r="C1" s="2"/>
    </row>
    <row r="2" spans="1:3" x14ac:dyDescent="0.4">
      <c r="A2" s="40">
        <f ca="1">NOW()</f>
        <v>45794.993895717591</v>
      </c>
      <c r="B2" s="35">
        <f ca="1">NOW()</f>
        <v>45794.993895717591</v>
      </c>
      <c r="C2" s="2" t="str">
        <f ca="1">_xlfn.FORMULATEXT(B2)</f>
        <v>=NOW()</v>
      </c>
    </row>
    <row r="3" spans="1:3" x14ac:dyDescent="0.4">
      <c r="A3" s="40">
        <f ca="1">TODAY()</f>
        <v>45794</v>
      </c>
      <c r="B3" s="36">
        <f ca="1">TODAY()</f>
        <v>45794</v>
      </c>
      <c r="C3" s="2" t="str">
        <f t="shared" ref="C3:C17" ca="1" si="0">_xlfn.FORMULATEXT(B3)</f>
        <v>=TODAY()</v>
      </c>
    </row>
    <row r="4" spans="1:3" x14ac:dyDescent="0.4">
      <c r="A4" s="40">
        <f>DATE(2020,4,3)</f>
        <v>43924</v>
      </c>
      <c r="B4" s="37">
        <f>DATE(2020,4,3)</f>
        <v>43924</v>
      </c>
      <c r="C4" s="2" t="str">
        <f t="shared" ca="1" si="0"/>
        <v>=DATE(2020,4,3)</v>
      </c>
    </row>
    <row r="5" spans="1:3" x14ac:dyDescent="0.4">
      <c r="A5" s="2"/>
      <c r="B5" s="2"/>
      <c r="C5" s="2"/>
    </row>
    <row r="6" spans="1:3" x14ac:dyDescent="0.4">
      <c r="A6" s="16" t="s">
        <v>38</v>
      </c>
      <c r="B6" s="2"/>
      <c r="C6" s="2"/>
    </row>
    <row r="7" spans="1:3" x14ac:dyDescent="0.4">
      <c r="A7" s="2"/>
      <c r="B7" s="38">
        <f ca="1">NOW()</f>
        <v>45794.993895717591</v>
      </c>
      <c r="C7" s="2" t="str">
        <f t="shared" ca="1" si="0"/>
        <v>=NOW()</v>
      </c>
    </row>
    <row r="8" spans="1:3" x14ac:dyDescent="0.4">
      <c r="A8" s="2"/>
      <c r="B8" s="41">
        <f ca="1">NOW()</f>
        <v>45794.993895717591</v>
      </c>
      <c r="C8" s="2" t="str">
        <f t="shared" ca="1" si="0"/>
        <v>=NOW()</v>
      </c>
    </row>
    <row r="9" spans="1:3" x14ac:dyDescent="0.4">
      <c r="A9" s="2"/>
      <c r="B9" s="39">
        <f ca="1">NOW()</f>
        <v>45794.993895717591</v>
      </c>
      <c r="C9" s="2" t="str">
        <f t="shared" ca="1" si="0"/>
        <v>=NOW()</v>
      </c>
    </row>
    <row r="10" spans="1:3" x14ac:dyDescent="0.4">
      <c r="A10" s="2"/>
      <c r="B10" s="39"/>
      <c r="C10" s="2"/>
    </row>
    <row r="11" spans="1:3" x14ac:dyDescent="0.4">
      <c r="A11" s="16" t="s">
        <v>39</v>
      </c>
      <c r="B11" s="2"/>
      <c r="C11" s="2"/>
    </row>
    <row r="12" spans="1:3" x14ac:dyDescent="0.4">
      <c r="A12" s="2"/>
      <c r="B12" s="2">
        <f ca="1">WEEKDAY(NOW())</f>
        <v>7</v>
      </c>
      <c r="C12" s="2" t="str">
        <f t="shared" ca="1" si="0"/>
        <v>=WEEKDAY(NOW())</v>
      </c>
    </row>
    <row r="13" spans="1:3" x14ac:dyDescent="0.4">
      <c r="A13" s="2"/>
      <c r="B13" s="2">
        <f>WEEKDAY("3apr1947")</f>
        <v>5</v>
      </c>
      <c r="C13" s="2" t="str">
        <f t="shared" ca="1" si="0"/>
        <v>=WEEKDAY("3apr1947")</v>
      </c>
    </row>
    <row r="14" spans="1:3" x14ac:dyDescent="0.4">
      <c r="A14" s="2"/>
      <c r="B14" s="2">
        <f>MONTH(B4)</f>
        <v>4</v>
      </c>
      <c r="C14" s="2" t="str">
        <f t="shared" ca="1" si="0"/>
        <v>=MONTH(B4)</v>
      </c>
    </row>
    <row r="15" spans="1:3" x14ac:dyDescent="0.4">
      <c r="A15" s="2"/>
      <c r="B15" s="2">
        <f ca="1">MONTH(NOW())</f>
        <v>5</v>
      </c>
      <c r="C15" s="2" t="str">
        <f t="shared" ca="1" si="0"/>
        <v>=MONTH(NOW())</v>
      </c>
    </row>
    <row r="16" spans="1:3" x14ac:dyDescent="0.4">
      <c r="A16" s="2"/>
      <c r="B16" s="2">
        <f ca="1">WEEKNUM(NOW())</f>
        <v>20</v>
      </c>
      <c r="C16" s="2" t="str">
        <f t="shared" ca="1" si="0"/>
        <v>=WEEKNUM(NOW())</v>
      </c>
    </row>
    <row r="17" spans="1:3" x14ac:dyDescent="0.4">
      <c r="A17" s="2"/>
      <c r="B17" s="2">
        <f ca="1">DAY(NOW())</f>
        <v>17</v>
      </c>
      <c r="C17" s="2" t="str">
        <f t="shared" ca="1" si="0"/>
        <v>=DAY(NOW())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4DF8-D7B4-4A21-8AEA-426392B8646C}">
  <dimension ref="A1:D10"/>
  <sheetViews>
    <sheetView workbookViewId="0">
      <selection activeCell="C5" sqref="C5:C10"/>
    </sheetView>
  </sheetViews>
  <sheetFormatPr defaultRowHeight="13.9" x14ac:dyDescent="0.4"/>
  <cols>
    <col min="1" max="1" width="12.86328125" customWidth="1"/>
    <col min="2" max="2" width="15.53125" customWidth="1"/>
    <col min="3" max="4" width="33.3984375" customWidth="1"/>
  </cols>
  <sheetData>
    <row r="1" spans="1:4" ht="17.649999999999999" x14ac:dyDescent="0.5">
      <c r="A1" s="1" t="s">
        <v>40</v>
      </c>
      <c r="B1" s="1"/>
      <c r="C1" s="1"/>
      <c r="D1" s="1"/>
    </row>
    <row r="2" spans="1:4" x14ac:dyDescent="0.4">
      <c r="A2" s="2" t="s">
        <v>41</v>
      </c>
      <c r="B2" s="42">
        <v>17260</v>
      </c>
      <c r="C2" s="2"/>
      <c r="D2" s="2"/>
    </row>
    <row r="3" spans="1:4" x14ac:dyDescent="0.4">
      <c r="A3" s="2" t="s">
        <v>42</v>
      </c>
      <c r="B3" s="42">
        <v>41289</v>
      </c>
      <c r="C3" s="2"/>
      <c r="D3" s="2"/>
    </row>
    <row r="4" spans="1:4" x14ac:dyDescent="0.4">
      <c r="A4" s="2"/>
      <c r="B4" s="2"/>
      <c r="C4" s="2"/>
      <c r="D4" s="2"/>
    </row>
    <row r="5" spans="1:4" x14ac:dyDescent="0.4">
      <c r="A5" s="2"/>
      <c r="B5" s="2">
        <f>DATEDIF($B$2,$B$3,"y")</f>
        <v>65</v>
      </c>
      <c r="C5" s="2" t="str">
        <f ca="1">_xlfn.FORMULATEXT(B5)</f>
        <v>=DATEDIF($B$2,$B$3,"y")</v>
      </c>
      <c r="D5" s="2" t="s">
        <v>43</v>
      </c>
    </row>
    <row r="6" spans="1:4" x14ac:dyDescent="0.4">
      <c r="A6" s="2"/>
      <c r="B6" s="2">
        <f>DATEDIF($B$2,$B$3,"m")</f>
        <v>789</v>
      </c>
      <c r="C6" s="2" t="str">
        <f t="shared" ref="C6:C10" ca="1" si="0">_xlfn.FORMULATEXT(B6)</f>
        <v>=DATEDIF($B$2,$B$3,"m")</v>
      </c>
      <c r="D6" s="2" t="s">
        <v>44</v>
      </c>
    </row>
    <row r="7" spans="1:4" x14ac:dyDescent="0.4">
      <c r="A7" s="2"/>
      <c r="B7" s="2">
        <f>DATEDIF($B$2,$B$3,"d")</f>
        <v>24029</v>
      </c>
      <c r="C7" s="2" t="str">
        <f t="shared" ca="1" si="0"/>
        <v>=DATEDIF($B$2,$B$3,"d")</v>
      </c>
      <c r="D7" s="2" t="s">
        <v>45</v>
      </c>
    </row>
    <row r="8" spans="1:4" x14ac:dyDescent="0.4">
      <c r="A8" s="2"/>
      <c r="B8" s="2">
        <f>DATEDIF($B$2,$B$3,"md")</f>
        <v>12</v>
      </c>
      <c r="C8" s="2" t="str">
        <f t="shared" ca="1" si="0"/>
        <v>=DATEDIF($B$2,$B$3,"md")</v>
      </c>
      <c r="D8" s="2" t="s">
        <v>46</v>
      </c>
    </row>
    <row r="9" spans="1:4" x14ac:dyDescent="0.4">
      <c r="A9" s="2"/>
      <c r="B9" s="2">
        <f>DATEDIF($B$2,$B$3,"ym")</f>
        <v>9</v>
      </c>
      <c r="C9" s="2" t="str">
        <f t="shared" ca="1" si="0"/>
        <v>=DATEDIF($B$2,$B$3,"ym")</v>
      </c>
      <c r="D9" s="2" t="s">
        <v>47</v>
      </c>
    </row>
    <row r="10" spans="1:4" x14ac:dyDescent="0.4">
      <c r="A10" s="2"/>
      <c r="B10" s="2">
        <f>DATEDIF($B$2,$B$3,"yd")</f>
        <v>287</v>
      </c>
      <c r="C10" s="2" t="str">
        <f t="shared" ca="1" si="0"/>
        <v>=DATEDIF($B$2,$B$3,"yd")</v>
      </c>
      <c r="D10" s="2" t="s">
        <v>48</v>
      </c>
    </row>
  </sheetData>
  <mergeCells count="1">
    <mergeCell ref="A1:D1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0106-7AA6-437F-927B-31B7E4FE684B}">
  <dimension ref="A1:C16"/>
  <sheetViews>
    <sheetView workbookViewId="0">
      <selection activeCell="E19" sqref="E19"/>
    </sheetView>
  </sheetViews>
  <sheetFormatPr defaultRowHeight="13.9" x14ac:dyDescent="0.4"/>
  <cols>
    <col min="1" max="1" width="17.06640625" customWidth="1"/>
    <col min="2" max="2" width="13.06640625" customWidth="1"/>
  </cols>
  <sheetData>
    <row r="1" spans="1:3" ht="17.649999999999999" x14ac:dyDescent="0.5">
      <c r="A1" s="1" t="s">
        <v>49</v>
      </c>
      <c r="B1" s="1"/>
      <c r="C1" s="1"/>
    </row>
    <row r="2" spans="1:3" x14ac:dyDescent="0.4">
      <c r="A2" s="4" t="s">
        <v>50</v>
      </c>
      <c r="B2" s="4" t="s">
        <v>22</v>
      </c>
      <c r="C2" s="2"/>
    </row>
    <row r="3" spans="1:3" x14ac:dyDescent="0.4">
      <c r="A3" s="43">
        <v>36938</v>
      </c>
      <c r="B3" s="2">
        <v>-600</v>
      </c>
      <c r="C3" s="2"/>
    </row>
    <row r="4" spans="1:3" x14ac:dyDescent="0.4">
      <c r="A4" s="43">
        <v>36986</v>
      </c>
      <c r="B4" s="2">
        <v>100</v>
      </c>
      <c r="C4" s="2"/>
    </row>
    <row r="5" spans="1:3" x14ac:dyDescent="0.4">
      <c r="A5" s="43">
        <v>37087</v>
      </c>
      <c r="B5" s="2">
        <v>100</v>
      </c>
      <c r="C5" s="2"/>
    </row>
    <row r="6" spans="1:3" x14ac:dyDescent="0.4">
      <c r="A6" s="43">
        <v>37156</v>
      </c>
      <c r="B6" s="2">
        <v>100</v>
      </c>
      <c r="C6" s="2"/>
    </row>
    <row r="7" spans="1:3" x14ac:dyDescent="0.4">
      <c r="A7" s="43">
        <v>37521</v>
      </c>
      <c r="B7" s="2">
        <v>100</v>
      </c>
      <c r="C7" s="2"/>
    </row>
    <row r="8" spans="1:3" x14ac:dyDescent="0.4">
      <c r="A8" s="43">
        <v>37886</v>
      </c>
      <c r="B8" s="2">
        <v>100</v>
      </c>
      <c r="C8" s="2"/>
    </row>
    <row r="9" spans="1:3" x14ac:dyDescent="0.4">
      <c r="A9" s="43">
        <v>38252</v>
      </c>
      <c r="B9" s="2">
        <v>100</v>
      </c>
      <c r="C9" s="2"/>
    </row>
    <row r="10" spans="1:3" x14ac:dyDescent="0.4">
      <c r="A10" s="43">
        <v>38617</v>
      </c>
      <c r="B10" s="2">
        <v>100</v>
      </c>
      <c r="C10" s="2"/>
    </row>
    <row r="11" spans="1:3" x14ac:dyDescent="0.4">
      <c r="A11" s="43">
        <v>38982</v>
      </c>
      <c r="B11" s="2">
        <v>100</v>
      </c>
      <c r="C11" s="2"/>
    </row>
    <row r="12" spans="1:3" x14ac:dyDescent="0.4">
      <c r="A12" s="43">
        <v>39347</v>
      </c>
      <c r="B12" s="2">
        <v>100</v>
      </c>
      <c r="C12" s="2"/>
    </row>
    <row r="13" spans="1:3" x14ac:dyDescent="0.4">
      <c r="A13" s="43">
        <v>39713</v>
      </c>
      <c r="B13" s="2">
        <v>100</v>
      </c>
      <c r="C13" s="2"/>
    </row>
    <row r="14" spans="1:3" x14ac:dyDescent="0.4">
      <c r="A14" s="43">
        <v>40078</v>
      </c>
      <c r="B14" s="2">
        <v>100</v>
      </c>
      <c r="C14" s="2"/>
    </row>
    <row r="15" spans="1:3" x14ac:dyDescent="0.4">
      <c r="A15" s="2"/>
      <c r="B15" s="2"/>
      <c r="C15" s="2"/>
    </row>
    <row r="16" spans="1:3" x14ac:dyDescent="0.4">
      <c r="A16" s="10" t="s">
        <v>51</v>
      </c>
      <c r="B16" s="44">
        <f>XIRR(B3:B14,A3:A14,0)</f>
        <v>0.21973858886718756</v>
      </c>
      <c r="C16" s="2" t="str">
        <f ca="1">_xlfn.FORMULATEXT(B16)</f>
        <v>=XIRR(B3:B14,A3:A14,0)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FC3-6257-43A7-A479-FAA912438AB5}">
  <dimension ref="A1:E18"/>
  <sheetViews>
    <sheetView workbookViewId="0">
      <selection activeCell="C24" sqref="C24"/>
    </sheetView>
  </sheetViews>
  <sheetFormatPr defaultRowHeight="13.9" x14ac:dyDescent="0.4"/>
  <cols>
    <col min="1" max="1" width="15.9296875" customWidth="1"/>
    <col min="2" max="2" width="8.86328125" customWidth="1"/>
    <col min="3" max="3" width="20.265625" customWidth="1"/>
    <col min="4" max="4" width="14.9296875" customWidth="1"/>
  </cols>
  <sheetData>
    <row r="1" spans="1:5" ht="17.649999999999999" x14ac:dyDescent="0.5">
      <c r="A1" s="45" t="s">
        <v>52</v>
      </c>
      <c r="B1" s="45"/>
      <c r="C1" s="45"/>
      <c r="D1" s="45"/>
      <c r="E1" s="45"/>
    </row>
    <row r="2" spans="1:5" ht="27.75" x14ac:dyDescent="0.4">
      <c r="A2" s="4" t="s">
        <v>50</v>
      </c>
      <c r="B2" s="4" t="s">
        <v>22</v>
      </c>
      <c r="C2" s="4" t="s">
        <v>53</v>
      </c>
      <c r="D2" s="5" t="s">
        <v>4</v>
      </c>
      <c r="E2" s="2"/>
    </row>
    <row r="3" spans="1:5" x14ac:dyDescent="0.4">
      <c r="A3" s="43">
        <v>36938</v>
      </c>
      <c r="B3" s="2">
        <v>-600</v>
      </c>
      <c r="C3" s="2"/>
      <c r="D3" s="7">
        <f>B3</f>
        <v>-600</v>
      </c>
      <c r="E3" s="2"/>
    </row>
    <row r="4" spans="1:5" x14ac:dyDescent="0.4">
      <c r="A4" s="43">
        <v>36986</v>
      </c>
      <c r="B4" s="2">
        <v>100</v>
      </c>
      <c r="C4" s="46">
        <f>A4-$A$3</f>
        <v>48</v>
      </c>
      <c r="D4" s="7">
        <f>B4/(1+$B$16)^(C4/365)</f>
        <v>97.421616144412823</v>
      </c>
      <c r="E4" s="2"/>
    </row>
    <row r="5" spans="1:5" x14ac:dyDescent="0.4">
      <c r="A5" s="43">
        <v>37087</v>
      </c>
      <c r="B5" s="2">
        <v>100</v>
      </c>
      <c r="C5" s="46">
        <f t="shared" ref="C5:C14" si="0">A5-$A$3</f>
        <v>149</v>
      </c>
      <c r="D5" s="7">
        <f t="shared" ref="D5:D14" si="1">B5/(1+$B$16)^(C5/365)</f>
        <v>92.2113230173955</v>
      </c>
      <c r="E5" s="2"/>
    </row>
    <row r="6" spans="1:5" x14ac:dyDescent="0.4">
      <c r="A6" s="43">
        <v>37156</v>
      </c>
      <c r="B6" s="2">
        <v>100</v>
      </c>
      <c r="C6" s="46">
        <f t="shared" si="0"/>
        <v>218</v>
      </c>
      <c r="D6" s="7">
        <f t="shared" si="1"/>
        <v>88.812948796414645</v>
      </c>
      <c r="E6" s="2"/>
    </row>
    <row r="7" spans="1:5" x14ac:dyDescent="0.4">
      <c r="A7" s="43">
        <v>37521</v>
      </c>
      <c r="B7" s="2">
        <v>100</v>
      </c>
      <c r="C7" s="46">
        <f t="shared" si="0"/>
        <v>583</v>
      </c>
      <c r="D7" s="7">
        <f t="shared" si="1"/>
        <v>72.813101025347208</v>
      </c>
      <c r="E7" s="2"/>
    </row>
    <row r="8" spans="1:5" x14ac:dyDescent="0.4">
      <c r="A8" s="43">
        <v>37886</v>
      </c>
      <c r="B8" s="2">
        <v>100</v>
      </c>
      <c r="C8" s="46">
        <f t="shared" si="0"/>
        <v>948</v>
      </c>
      <c r="D8" s="7">
        <f t="shared" si="1"/>
        <v>59.695660968093534</v>
      </c>
      <c r="E8" s="2"/>
    </row>
    <row r="9" spans="1:5" x14ac:dyDescent="0.4">
      <c r="A9" s="43">
        <v>38252</v>
      </c>
      <c r="B9" s="2">
        <v>100</v>
      </c>
      <c r="C9" s="46">
        <f t="shared" si="0"/>
        <v>1314</v>
      </c>
      <c r="D9" s="7">
        <f t="shared" si="1"/>
        <v>48.914729427162897</v>
      </c>
      <c r="E9" s="2"/>
    </row>
    <row r="10" spans="1:5" x14ac:dyDescent="0.4">
      <c r="A10" s="43">
        <v>38617</v>
      </c>
      <c r="B10" s="2">
        <v>100</v>
      </c>
      <c r="C10" s="46">
        <f t="shared" si="0"/>
        <v>1679</v>
      </c>
      <c r="D10" s="7">
        <f t="shared" si="1"/>
        <v>40.102633497417656</v>
      </c>
      <c r="E10" s="2"/>
    </row>
    <row r="11" spans="1:5" x14ac:dyDescent="0.4">
      <c r="A11" s="43">
        <v>38982</v>
      </c>
      <c r="B11" s="2">
        <v>100</v>
      </c>
      <c r="C11" s="46">
        <f t="shared" si="0"/>
        <v>2044</v>
      </c>
      <c r="D11" s="7">
        <f t="shared" si="1"/>
        <v>32.87805600198498</v>
      </c>
      <c r="E11" s="2"/>
    </row>
    <row r="12" spans="1:5" x14ac:dyDescent="0.4">
      <c r="A12" s="43">
        <v>39347</v>
      </c>
      <c r="B12" s="2">
        <v>100</v>
      </c>
      <c r="C12" s="46">
        <f t="shared" si="0"/>
        <v>2409</v>
      </c>
      <c r="D12" s="7">
        <f t="shared" si="1"/>
        <v>26.955002008515663</v>
      </c>
      <c r="E12" s="2"/>
    </row>
    <row r="13" spans="1:5" x14ac:dyDescent="0.4">
      <c r="A13" s="43">
        <v>39713</v>
      </c>
      <c r="B13" s="2">
        <v>100</v>
      </c>
      <c r="C13" s="46">
        <f t="shared" si="0"/>
        <v>2775</v>
      </c>
      <c r="D13" s="7">
        <f t="shared" si="1"/>
        <v>22.086975980714801</v>
      </c>
      <c r="E13" s="2"/>
    </row>
    <row r="14" spans="1:5" x14ac:dyDescent="0.4">
      <c r="A14" s="43">
        <v>40078</v>
      </c>
      <c r="B14" s="2">
        <v>100</v>
      </c>
      <c r="C14" s="46">
        <f t="shared" si="0"/>
        <v>3140</v>
      </c>
      <c r="D14" s="7">
        <f t="shared" si="1"/>
        <v>18.107958751766247</v>
      </c>
      <c r="E14" s="2"/>
    </row>
    <row r="15" spans="1:5" x14ac:dyDescent="0.4">
      <c r="A15" s="2"/>
      <c r="B15" s="2"/>
      <c r="C15" s="2"/>
      <c r="D15" s="7"/>
      <c r="E15" s="2"/>
    </row>
    <row r="16" spans="1:5" x14ac:dyDescent="0.4">
      <c r="A16" s="10" t="s">
        <v>51</v>
      </c>
      <c r="B16" s="44">
        <f>XIRR(B3:B14,A3:A14)</f>
        <v>0.21973858475685118</v>
      </c>
      <c r="C16" s="2" t="str">
        <f ca="1">_xlfn.FORMULATEXT(B16)</f>
        <v>=XIRR(B3:B14,A3:A14)</v>
      </c>
      <c r="D16" s="7">
        <f>SUM(D3:D14)</f>
        <v>5.6192259911824749E-6</v>
      </c>
      <c r="E16" s="2" t="str">
        <f ca="1">_xlfn.FORMULATEXT(D16)</f>
        <v>=SUM(D3:D14)</v>
      </c>
    </row>
    <row r="17" spans="1:5" x14ac:dyDescent="0.4">
      <c r="A17" s="2"/>
      <c r="B17" s="2"/>
      <c r="C17" s="2"/>
      <c r="D17" s="2"/>
      <c r="E17" s="2"/>
    </row>
    <row r="18" spans="1:5" x14ac:dyDescent="0.4">
      <c r="A18" s="47" t="str">
        <f ca="1">_xlfn.FORMULATEXT(C4)</f>
        <v>=A4-$A$3</v>
      </c>
      <c r="B18" s="47"/>
      <c r="C18" s="2"/>
      <c r="D18" s="2"/>
      <c r="E18" s="2"/>
    </row>
  </sheetData>
  <mergeCells count="2">
    <mergeCell ref="A1:E1"/>
    <mergeCell ref="A18:B18"/>
  </mergeCells>
  <phoneticPr fontId="1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9687-355B-43B9-A29A-C2183E6BAC5B}">
  <dimension ref="A1:C17"/>
  <sheetViews>
    <sheetView workbookViewId="0">
      <selection activeCell="H16" sqref="H16"/>
    </sheetView>
  </sheetViews>
  <sheetFormatPr defaultRowHeight="13.9" x14ac:dyDescent="0.4"/>
  <cols>
    <col min="1" max="1" width="19.9296875" customWidth="1"/>
  </cols>
  <sheetData>
    <row r="1" spans="1:3" ht="17.649999999999999" x14ac:dyDescent="0.5">
      <c r="A1" s="1" t="s">
        <v>54</v>
      </c>
      <c r="B1" s="1"/>
      <c r="C1" s="1"/>
    </row>
    <row r="2" spans="1:3" x14ac:dyDescent="0.4">
      <c r="A2" s="4" t="s">
        <v>50</v>
      </c>
      <c r="B2" s="4" t="s">
        <v>22</v>
      </c>
      <c r="C2" s="2"/>
    </row>
    <row r="3" spans="1:3" x14ac:dyDescent="0.4">
      <c r="A3" s="43">
        <v>36938</v>
      </c>
      <c r="B3" s="2">
        <v>-600</v>
      </c>
      <c r="C3" s="2"/>
    </row>
    <row r="4" spans="1:3" x14ac:dyDescent="0.4">
      <c r="A4" s="43">
        <v>36986</v>
      </c>
      <c r="B4" s="2">
        <v>100</v>
      </c>
      <c r="C4" s="2"/>
    </row>
    <row r="5" spans="1:3" x14ac:dyDescent="0.4">
      <c r="A5" s="43">
        <v>37087</v>
      </c>
      <c r="B5" s="2">
        <v>100</v>
      </c>
      <c r="C5" s="2"/>
    </row>
    <row r="6" spans="1:3" x14ac:dyDescent="0.4">
      <c r="A6" s="43">
        <v>37156</v>
      </c>
      <c r="B6" s="2">
        <v>100</v>
      </c>
      <c r="C6" s="2"/>
    </row>
    <row r="7" spans="1:3" x14ac:dyDescent="0.4">
      <c r="A7" s="43">
        <v>37521</v>
      </c>
      <c r="B7" s="2">
        <v>100</v>
      </c>
      <c r="C7" s="2"/>
    </row>
    <row r="8" spans="1:3" x14ac:dyDescent="0.4">
      <c r="A8" s="43">
        <v>37886</v>
      </c>
      <c r="B8" s="2">
        <v>100</v>
      </c>
      <c r="C8" s="2"/>
    </row>
    <row r="9" spans="1:3" x14ac:dyDescent="0.4">
      <c r="A9" s="43">
        <v>38252</v>
      </c>
      <c r="B9" s="2">
        <v>100</v>
      </c>
      <c r="C9" s="2"/>
    </row>
    <row r="10" spans="1:3" x14ac:dyDescent="0.4">
      <c r="A10" s="43">
        <v>38617</v>
      </c>
      <c r="B10" s="2">
        <v>100</v>
      </c>
      <c r="C10" s="2"/>
    </row>
    <row r="11" spans="1:3" x14ac:dyDescent="0.4">
      <c r="A11" s="43">
        <v>38982</v>
      </c>
      <c r="B11" s="2">
        <v>100</v>
      </c>
      <c r="C11" s="2"/>
    </row>
    <row r="12" spans="1:3" x14ac:dyDescent="0.4">
      <c r="A12" s="43">
        <v>39347</v>
      </c>
      <c r="B12" s="2">
        <v>100</v>
      </c>
      <c r="C12" s="2"/>
    </row>
    <row r="13" spans="1:3" x14ac:dyDescent="0.4">
      <c r="A13" s="43">
        <v>39713</v>
      </c>
      <c r="B13" s="2">
        <v>100</v>
      </c>
      <c r="C13" s="2"/>
    </row>
    <row r="14" spans="1:3" x14ac:dyDescent="0.4">
      <c r="A14" s="43">
        <v>40078</v>
      </c>
      <c r="B14" s="2">
        <v>100</v>
      </c>
      <c r="C14" s="2"/>
    </row>
    <row r="15" spans="1:3" x14ac:dyDescent="0.4">
      <c r="A15" s="43"/>
      <c r="B15" s="2"/>
      <c r="C15" s="2"/>
    </row>
    <row r="16" spans="1:3" x14ac:dyDescent="0.4">
      <c r="A16" s="2" t="s">
        <v>1</v>
      </c>
      <c r="B16" s="3">
        <v>0.15</v>
      </c>
      <c r="C16" s="2"/>
    </row>
    <row r="17" spans="1:3" x14ac:dyDescent="0.4">
      <c r="A17" s="10" t="s">
        <v>55</v>
      </c>
      <c r="B17" s="48">
        <f>XNPV(B16,B3:B14,A3:A14)</f>
        <v>97.29446266657078</v>
      </c>
      <c r="C17" s="2" t="str">
        <f ca="1">_xlfn.FORMULATEXT(B17)</f>
        <v>=XNPV(B16,B3:B14,A3:A14)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0D3F-21C5-4BF1-A9E5-201CE83933B0}">
  <sheetPr>
    <tabColor rgb="FFFFFF00"/>
  </sheetPr>
  <dimension ref="A1:F11"/>
  <sheetViews>
    <sheetView workbookViewId="0">
      <selection activeCell="K28" sqref="K28"/>
    </sheetView>
  </sheetViews>
  <sheetFormatPr defaultRowHeight="13.9" x14ac:dyDescent="0.4"/>
  <cols>
    <col min="1" max="1" width="20.3984375" customWidth="1"/>
    <col min="3" max="3" width="27.73046875" customWidth="1"/>
    <col min="4" max="4" width="15.1328125" customWidth="1"/>
    <col min="5" max="5" width="12.06640625" customWidth="1"/>
  </cols>
  <sheetData>
    <row r="1" spans="1:6" ht="17.649999999999999" x14ac:dyDescent="0.5">
      <c r="A1" s="49" t="s">
        <v>56</v>
      </c>
      <c r="B1" s="49"/>
      <c r="C1" s="49"/>
      <c r="D1" s="49"/>
      <c r="E1" s="49"/>
      <c r="F1" s="49"/>
    </row>
    <row r="2" spans="1:6" x14ac:dyDescent="0.35">
      <c r="A2" s="50" t="s">
        <v>1</v>
      </c>
      <c r="B2" s="51">
        <v>0.03</v>
      </c>
      <c r="C2" s="50"/>
      <c r="D2" s="57" t="s">
        <v>1</v>
      </c>
      <c r="E2" s="58">
        <v>0</v>
      </c>
      <c r="F2" s="50"/>
    </row>
    <row r="3" spans="1:6" x14ac:dyDescent="0.35">
      <c r="A3" s="50" t="s">
        <v>55</v>
      </c>
      <c r="B3" s="53">
        <f>XNPV(B2,B6:B11,A6:A11)</f>
        <v>578.99651042527807</v>
      </c>
      <c r="C3" s="50" t="str">
        <f ca="1">_xlfn.FORMULATEXT(B3)</f>
        <v>=XNPV(B2,B6:B11,A6:A11)</v>
      </c>
      <c r="D3" s="57" t="s">
        <v>55</v>
      </c>
      <c r="E3" s="52" t="e">
        <f>XNPV(E2,E6:E11,D6:D11)</f>
        <v>#NUM!</v>
      </c>
      <c r="F3" s="50" t="str">
        <f ca="1">_xlfn.FORMULATEXT(E3)</f>
        <v>=XNPV(E2,E6:E11,D6:D11)</v>
      </c>
    </row>
    <row r="4" spans="1:6" x14ac:dyDescent="0.35">
      <c r="A4" s="50"/>
      <c r="B4" s="50"/>
      <c r="C4" s="50"/>
      <c r="D4" s="50"/>
      <c r="E4" s="50"/>
      <c r="F4" s="50"/>
    </row>
    <row r="5" spans="1:6" x14ac:dyDescent="0.4">
      <c r="A5" s="54" t="s">
        <v>50</v>
      </c>
      <c r="B5" s="54" t="s">
        <v>3</v>
      </c>
      <c r="C5" s="54"/>
      <c r="D5" s="54" t="s">
        <v>50</v>
      </c>
      <c r="E5" s="54" t="s">
        <v>3</v>
      </c>
      <c r="F5" s="50"/>
    </row>
    <row r="6" spans="1:6" x14ac:dyDescent="0.35">
      <c r="A6" s="55">
        <v>40921</v>
      </c>
      <c r="B6" s="56">
        <v>-1000</v>
      </c>
      <c r="C6" s="50"/>
      <c r="D6" s="55">
        <v>40921</v>
      </c>
      <c r="E6" s="56">
        <v>-1000</v>
      </c>
      <c r="F6" s="50"/>
    </row>
    <row r="7" spans="1:6" x14ac:dyDescent="0.35">
      <c r="A7" s="55">
        <v>41139</v>
      </c>
      <c r="B7" s="56">
        <v>115</v>
      </c>
      <c r="C7" s="50"/>
      <c r="D7" s="55">
        <v>41139</v>
      </c>
      <c r="E7" s="56">
        <v>115</v>
      </c>
      <c r="F7" s="50"/>
    </row>
    <row r="8" spans="1:6" x14ac:dyDescent="0.35">
      <c r="A8" s="55">
        <v>41294</v>
      </c>
      <c r="B8" s="56">
        <v>121</v>
      </c>
      <c r="C8" s="50"/>
      <c r="D8" s="55">
        <v>41294</v>
      </c>
      <c r="E8" s="56">
        <v>121</v>
      </c>
      <c r="F8" s="50"/>
    </row>
    <row r="9" spans="1:6" x14ac:dyDescent="0.35">
      <c r="A9" s="55">
        <v>41470</v>
      </c>
      <c r="B9" s="56">
        <v>100</v>
      </c>
      <c r="C9" s="50"/>
      <c r="D9" s="55">
        <v>41470</v>
      </c>
      <c r="E9" s="56">
        <v>100</v>
      </c>
      <c r="F9" s="50"/>
    </row>
    <row r="10" spans="1:6" x14ac:dyDescent="0.35">
      <c r="A10" s="55">
        <v>41640</v>
      </c>
      <c r="B10" s="56">
        <v>333</v>
      </c>
      <c r="C10" s="50"/>
      <c r="D10" s="55">
        <v>41640</v>
      </c>
      <c r="E10" s="56">
        <v>333</v>
      </c>
      <c r="F10" s="50"/>
    </row>
    <row r="11" spans="1:6" x14ac:dyDescent="0.35">
      <c r="A11" s="55">
        <v>41836</v>
      </c>
      <c r="B11" s="56">
        <v>1011</v>
      </c>
      <c r="C11" s="50"/>
      <c r="D11" s="55">
        <v>41836</v>
      </c>
      <c r="E11" s="56">
        <v>1011</v>
      </c>
      <c r="F11" s="50"/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3DD3-6199-4940-BFCD-5E9B58F22B2D}">
  <sheetPr>
    <tabColor rgb="FFFFFF00"/>
  </sheetPr>
  <dimension ref="A1:G22"/>
  <sheetViews>
    <sheetView workbookViewId="0">
      <selection activeCell="K28" sqref="K28"/>
    </sheetView>
  </sheetViews>
  <sheetFormatPr defaultRowHeight="13.9" x14ac:dyDescent="0.4"/>
  <cols>
    <col min="1" max="1" width="17.6640625" customWidth="1"/>
    <col min="2" max="2" width="12.19921875" customWidth="1"/>
    <col min="4" max="4" width="17.796875" customWidth="1"/>
  </cols>
  <sheetData>
    <row r="1" spans="1:7" ht="17.649999999999999" x14ac:dyDescent="0.5">
      <c r="A1" s="49" t="s">
        <v>57</v>
      </c>
      <c r="B1" s="49"/>
      <c r="C1" s="49"/>
      <c r="D1" s="49"/>
      <c r="E1" s="49"/>
      <c r="F1" s="49"/>
      <c r="G1" s="49"/>
    </row>
    <row r="2" spans="1:7" x14ac:dyDescent="0.35">
      <c r="A2" s="50" t="s">
        <v>1</v>
      </c>
      <c r="B2" s="51">
        <v>0.22</v>
      </c>
      <c r="C2" s="50"/>
      <c r="D2" s="50"/>
      <c r="E2" s="50"/>
      <c r="F2" s="50"/>
      <c r="G2" s="50"/>
    </row>
    <row r="3" spans="1:7" x14ac:dyDescent="0.35">
      <c r="A3" s="50" t="s">
        <v>6</v>
      </c>
      <c r="B3" s="53">
        <f>XNPV(B2,B9:B15,A9:A15)</f>
        <v>65.091066314329737</v>
      </c>
      <c r="C3" s="50" t="str">
        <f ca="1">_xlfn.FORMULATEXT(B3)</f>
        <v>=XNPV(B2,B9:B15,A9:A15)</v>
      </c>
      <c r="D3" s="50"/>
      <c r="E3" s="50"/>
      <c r="F3" s="50"/>
      <c r="G3" s="50"/>
    </row>
    <row r="4" spans="1:7" x14ac:dyDescent="0.35">
      <c r="A4" s="50" t="s">
        <v>9</v>
      </c>
      <c r="B4" s="52" t="e">
        <f>XIRR(B9:B15,A9:A15)</f>
        <v>#NUM!</v>
      </c>
      <c r="C4" s="50" t="str">
        <f ca="1">_xlfn.FORMULATEXT(B4)</f>
        <v>=XIRR(B9:B15,A9:A15)</v>
      </c>
      <c r="D4" s="50"/>
      <c r="E4" s="50"/>
      <c r="F4" s="50"/>
      <c r="G4" s="50"/>
    </row>
    <row r="5" spans="1:7" x14ac:dyDescent="0.4">
      <c r="A5" s="50"/>
      <c r="B5" s="52" t="e">
        <f>XIRR(B9:B15,A9:A15,35%)</f>
        <v>#NUM!</v>
      </c>
      <c r="C5" s="50" t="str">
        <f t="shared" ref="C5:C6" ca="1" si="0">_xlfn.FORMULATEXT(B5)</f>
        <v>=XIRR(B9:B15,A9:A15,35%)</v>
      </c>
      <c r="D5" s="50"/>
      <c r="E5" s="59" t="s">
        <v>58</v>
      </c>
      <c r="F5" s="50"/>
      <c r="G5" s="50"/>
    </row>
    <row r="6" spans="1:7" x14ac:dyDescent="0.35">
      <c r="A6" s="50"/>
      <c r="B6" s="52" t="e">
        <f>XIRR(B9:B15,A9:A15,5%)</f>
        <v>#NUM!</v>
      </c>
      <c r="C6" s="50" t="str">
        <f t="shared" ca="1" si="0"/>
        <v>=XIRR(B9:B15,A9:A15,5%)</v>
      </c>
      <c r="D6" s="50"/>
      <c r="E6" s="50" t="s">
        <v>59</v>
      </c>
      <c r="F6" s="50" t="s">
        <v>14</v>
      </c>
      <c r="G6" s="50"/>
    </row>
    <row r="7" spans="1:7" x14ac:dyDescent="0.35">
      <c r="A7" s="50"/>
      <c r="B7" s="50"/>
      <c r="C7" s="50"/>
      <c r="D7" s="50"/>
      <c r="E7" s="50"/>
      <c r="F7" s="53">
        <f>B3</f>
        <v>65.091066314329737</v>
      </c>
      <c r="G7" s="53" t="str">
        <f ca="1">_xlfn.FORMULATEXT(F7)</f>
        <v>=B3</v>
      </c>
    </row>
    <row r="8" spans="1:7" x14ac:dyDescent="0.4">
      <c r="A8" s="54" t="s">
        <v>50</v>
      </c>
      <c r="B8" s="59" t="s">
        <v>3</v>
      </c>
      <c r="C8" s="50"/>
      <c r="D8" s="50"/>
      <c r="E8" s="60">
        <v>0.01</v>
      </c>
      <c r="F8" s="53">
        <f t="dataTable" ref="F8:F22" dt2D="0" dtr="0" r1="B2"/>
        <v>-75.003368084808699</v>
      </c>
      <c r="G8" s="50"/>
    </row>
    <row r="9" spans="1:7" x14ac:dyDescent="0.35">
      <c r="A9" s="55">
        <v>41455</v>
      </c>
      <c r="B9" s="50">
        <v>-500</v>
      </c>
      <c r="C9" s="50"/>
      <c r="D9" s="50"/>
      <c r="E9" s="60">
        <v>0.04</v>
      </c>
      <c r="F9" s="53">
        <v>-15.97359588866243</v>
      </c>
      <c r="G9" s="50"/>
    </row>
    <row r="10" spans="1:7" x14ac:dyDescent="0.35">
      <c r="A10" s="55">
        <v>41684</v>
      </c>
      <c r="B10" s="50">
        <v>100</v>
      </c>
      <c r="C10" s="50"/>
      <c r="D10" s="50"/>
      <c r="E10" s="60">
        <v>0.08</v>
      </c>
      <c r="F10" s="53">
        <v>33.622434179759011</v>
      </c>
      <c r="G10" s="50"/>
    </row>
    <row r="11" spans="1:7" x14ac:dyDescent="0.35">
      <c r="A11" s="55">
        <v>42049</v>
      </c>
      <c r="B11" s="50">
        <v>300</v>
      </c>
      <c r="C11" s="50"/>
      <c r="D11" s="50"/>
      <c r="E11" s="60">
        <v>0.12</v>
      </c>
      <c r="F11" s="53">
        <v>59.635603457340039</v>
      </c>
      <c r="G11" s="50"/>
    </row>
    <row r="12" spans="1:7" x14ac:dyDescent="0.35">
      <c r="A12" s="55">
        <v>42414</v>
      </c>
      <c r="B12" s="50">
        <v>400</v>
      </c>
      <c r="C12" s="50"/>
      <c r="D12" s="50"/>
      <c r="E12" s="60">
        <v>0.16</v>
      </c>
      <c r="F12" s="53">
        <v>69.540099838990614</v>
      </c>
      <c r="G12" s="50"/>
    </row>
    <row r="13" spans="1:7" x14ac:dyDescent="0.35">
      <c r="A13" s="55">
        <v>42780</v>
      </c>
      <c r="B13" s="50">
        <v>600</v>
      </c>
      <c r="C13" s="50"/>
      <c r="D13" s="50"/>
      <c r="E13" s="60">
        <v>0.2</v>
      </c>
      <c r="F13" s="53">
        <v>68.520647619970077</v>
      </c>
      <c r="G13" s="50"/>
    </row>
    <row r="14" spans="1:7" x14ac:dyDescent="0.35">
      <c r="A14" s="55">
        <v>43145</v>
      </c>
      <c r="B14" s="50">
        <v>800</v>
      </c>
      <c r="C14" s="50"/>
      <c r="D14" s="50"/>
      <c r="E14" s="60">
        <v>0.24</v>
      </c>
      <c r="F14" s="53">
        <v>60.192484421013432</v>
      </c>
      <c r="G14" s="50"/>
    </row>
    <row r="15" spans="1:7" x14ac:dyDescent="0.35">
      <c r="A15" s="55">
        <v>43510</v>
      </c>
      <c r="B15" s="50">
        <v>-1800</v>
      </c>
      <c r="C15" s="50"/>
      <c r="D15" s="50"/>
      <c r="E15" s="60">
        <v>0.28000000000000003</v>
      </c>
      <c r="F15" s="53">
        <v>47.085322544012286</v>
      </c>
      <c r="G15" s="50"/>
    </row>
    <row r="16" spans="1:7" x14ac:dyDescent="0.35">
      <c r="E16" s="60">
        <v>0.32</v>
      </c>
      <c r="F16" s="53">
        <v>30.972202149364819</v>
      </c>
    </row>
    <row r="17" spans="5:6" x14ac:dyDescent="0.35">
      <c r="E17" s="60">
        <v>0.36</v>
      </c>
      <c r="F17" s="53">
        <v>13.095162475018356</v>
      </c>
    </row>
    <row r="18" spans="5:6" x14ac:dyDescent="0.35">
      <c r="E18" s="60">
        <v>0.4</v>
      </c>
      <c r="F18" s="53">
        <v>-5.6785002483921971</v>
      </c>
    </row>
    <row r="19" spans="5:6" x14ac:dyDescent="0.35">
      <c r="E19" s="60">
        <v>0.44</v>
      </c>
      <c r="F19" s="53">
        <v>-24.747157061999786</v>
      </c>
    </row>
    <row r="20" spans="5:6" x14ac:dyDescent="0.35">
      <c r="E20" s="60">
        <v>0.48</v>
      </c>
      <c r="F20" s="53">
        <v>-43.69814949550431</v>
      </c>
    </row>
    <row r="21" spans="5:6" x14ac:dyDescent="0.35">
      <c r="E21" s="60">
        <v>0.52</v>
      </c>
      <c r="F21" s="53">
        <v>-62.253509535096839</v>
      </c>
    </row>
    <row r="22" spans="5:6" x14ac:dyDescent="0.35">
      <c r="E22" s="60">
        <v>0.56000000000000005</v>
      </c>
      <c r="F22" s="53">
        <v>-80.231325532242792</v>
      </c>
    </row>
  </sheetData>
  <mergeCells count="1">
    <mergeCell ref="A1:G1"/>
  </mergeCells>
  <phoneticPr fontId="19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CDBF-1A8F-4279-9F93-63F1C75BA602}">
  <dimension ref="A1:H30"/>
  <sheetViews>
    <sheetView topLeftCell="A16" workbookViewId="0">
      <selection activeCell="K10" sqref="K10"/>
    </sheetView>
  </sheetViews>
  <sheetFormatPr defaultRowHeight="13.9" x14ac:dyDescent="0.4"/>
  <cols>
    <col min="1" max="1" width="27.06640625" customWidth="1"/>
    <col min="2" max="2" width="11.9296875" customWidth="1"/>
    <col min="3" max="3" width="20.59765625" customWidth="1"/>
    <col min="4" max="4" width="20.19921875" customWidth="1"/>
    <col min="5" max="5" width="4.86328125" customWidth="1"/>
    <col min="6" max="6" width="22.86328125" customWidth="1"/>
    <col min="7" max="7" width="11.9296875" customWidth="1"/>
  </cols>
  <sheetData>
    <row r="1" spans="1:4" ht="17.649999999999999" x14ac:dyDescent="0.5">
      <c r="A1" s="1" t="s">
        <v>60</v>
      </c>
      <c r="B1" s="1"/>
      <c r="C1" s="1"/>
      <c r="D1" s="1"/>
    </row>
    <row r="2" spans="1:4" x14ac:dyDescent="0.4">
      <c r="A2" s="4" t="s">
        <v>61</v>
      </c>
      <c r="B2" s="4" t="s">
        <v>62</v>
      </c>
      <c r="C2" s="4" t="s">
        <v>63</v>
      </c>
      <c r="D2" s="4"/>
    </row>
    <row r="3" spans="1:4" x14ac:dyDescent="0.4">
      <c r="A3" s="6">
        <v>1</v>
      </c>
      <c r="B3" s="7">
        <v>35.299999999999997</v>
      </c>
      <c r="C3" s="7">
        <v>10.98</v>
      </c>
      <c r="D3" s="2"/>
    </row>
    <row r="4" spans="1:4" x14ac:dyDescent="0.4">
      <c r="A4" s="6">
        <v>2</v>
      </c>
      <c r="B4" s="7">
        <v>29.7</v>
      </c>
      <c r="C4" s="7">
        <v>11.13</v>
      </c>
      <c r="D4" s="2"/>
    </row>
    <row r="5" spans="1:4" x14ac:dyDescent="0.4">
      <c r="A5" s="6">
        <v>3</v>
      </c>
      <c r="B5" s="7">
        <v>30.8</v>
      </c>
      <c r="C5" s="7">
        <v>12.51</v>
      </c>
      <c r="D5" s="2"/>
    </row>
    <row r="6" spans="1:4" x14ac:dyDescent="0.4">
      <c r="A6" s="6">
        <v>4</v>
      </c>
      <c r="B6" s="7">
        <v>58.8</v>
      </c>
      <c r="C6" s="7">
        <v>8.4</v>
      </c>
      <c r="D6" s="2"/>
    </row>
    <row r="7" spans="1:4" x14ac:dyDescent="0.4">
      <c r="A7" s="6">
        <v>5</v>
      </c>
      <c r="B7" s="7">
        <v>61.4</v>
      </c>
      <c r="C7" s="7">
        <v>9.27</v>
      </c>
      <c r="D7" s="2"/>
    </row>
    <row r="8" spans="1:4" x14ac:dyDescent="0.4">
      <c r="A8" s="6">
        <v>6</v>
      </c>
      <c r="B8" s="7">
        <v>71.3</v>
      </c>
      <c r="C8" s="7">
        <v>8.73</v>
      </c>
      <c r="D8" s="2"/>
    </row>
    <row r="9" spans="1:4" x14ac:dyDescent="0.4">
      <c r="A9" s="6">
        <v>7</v>
      </c>
      <c r="B9" s="7">
        <v>74.400000000000006</v>
      </c>
      <c r="C9" s="7">
        <v>6.36</v>
      </c>
      <c r="D9" s="2"/>
    </row>
    <row r="10" spans="1:4" x14ac:dyDescent="0.4">
      <c r="A10" s="6">
        <v>8</v>
      </c>
      <c r="B10" s="7">
        <v>76.7</v>
      </c>
      <c r="C10" s="7">
        <v>8.5</v>
      </c>
      <c r="D10" s="2"/>
    </row>
    <row r="11" spans="1:4" x14ac:dyDescent="0.4">
      <c r="A11" s="6">
        <v>9</v>
      </c>
      <c r="B11" s="7">
        <v>70.7</v>
      </c>
      <c r="C11" s="7">
        <v>7.82</v>
      </c>
      <c r="D11" s="2"/>
    </row>
    <row r="12" spans="1:4" x14ac:dyDescent="0.4">
      <c r="A12" s="6">
        <v>10</v>
      </c>
      <c r="B12" s="7">
        <v>57.5</v>
      </c>
      <c r="C12" s="7">
        <v>9.14</v>
      </c>
      <c r="D12" s="2"/>
    </row>
    <row r="13" spans="1:4" x14ac:dyDescent="0.4">
      <c r="A13" s="2"/>
      <c r="B13" s="2"/>
      <c r="C13" s="2"/>
      <c r="D13" s="2"/>
    </row>
    <row r="14" spans="1:4" x14ac:dyDescent="0.4">
      <c r="A14" s="2"/>
      <c r="B14" s="2"/>
      <c r="C14" s="2"/>
      <c r="D14" s="2"/>
    </row>
    <row r="15" spans="1:4" x14ac:dyDescent="0.4">
      <c r="A15" s="2"/>
      <c r="B15" s="2"/>
      <c r="C15" s="2"/>
      <c r="D15" s="2"/>
    </row>
    <row r="16" spans="1:4" x14ac:dyDescent="0.4">
      <c r="A16" s="2"/>
      <c r="B16" s="2"/>
      <c r="C16" s="2"/>
      <c r="D16" s="2"/>
    </row>
    <row r="17" spans="1:8" x14ac:dyDescent="0.4">
      <c r="A17" s="2"/>
      <c r="B17" s="2"/>
      <c r="C17" s="2"/>
      <c r="D17" s="2"/>
    </row>
    <row r="18" spans="1:8" x14ac:dyDescent="0.4">
      <c r="A18" s="2"/>
      <c r="B18" s="2"/>
      <c r="C18" s="2"/>
      <c r="D18" s="2"/>
    </row>
    <row r="19" spans="1:8" x14ac:dyDescent="0.4">
      <c r="A19" s="2" t="s">
        <v>64</v>
      </c>
      <c r="B19" s="61">
        <f>AVERAGE(B3:B12)</f>
        <v>56.660000000000004</v>
      </c>
      <c r="C19" s="61">
        <f>AVERAGE(C3:C12)</f>
        <v>9.2839999999999989</v>
      </c>
      <c r="D19" s="2" t="str">
        <f ca="1">_xlfn.FORMULATEXT(C19)</f>
        <v>=AVERAGE(C3:C12)</v>
      </c>
      <c r="F19" s="2" t="s">
        <v>69</v>
      </c>
      <c r="G19" s="64">
        <f>CORREL(B3:B12,C3:C12)</f>
        <v>-0.90494901667597971</v>
      </c>
      <c r="H19" s="2" t="str">
        <f ca="1">_xlfn.FORMULATEXT(G19)</f>
        <v>=CORREL(B3:B12,C3:C12)</v>
      </c>
    </row>
    <row r="20" spans="1:8" x14ac:dyDescent="0.4">
      <c r="A20" s="2" t="s">
        <v>65</v>
      </c>
      <c r="B20" s="61">
        <f>_xlfn.VAR.S(B3:B12)</f>
        <v>334.14933333333346</v>
      </c>
      <c r="C20" s="61">
        <f>_xlfn.VAR.S(C3:C12)</f>
        <v>3.2342488888889167</v>
      </c>
      <c r="D20" s="2" t="str">
        <f t="shared" ref="D20:D29" ca="1" si="0">_xlfn.FORMULATEXT(C20)</f>
        <v>=VAR.S(C3:C12)</v>
      </c>
      <c r="F20" s="2" t="s">
        <v>70</v>
      </c>
      <c r="G20" s="64">
        <f>COVAR(B3:B12,C3:C12)</f>
        <v>-26.774640000000005</v>
      </c>
      <c r="H20" s="2" t="str">
        <f t="shared" ref="H20:H26" ca="1" si="1">_xlfn.FORMULATEXT(G20)</f>
        <v>=COVAR(B3:B12,C3:C12)</v>
      </c>
    </row>
    <row r="21" spans="1:8" x14ac:dyDescent="0.4">
      <c r="A21" s="2"/>
      <c r="B21" s="63">
        <f>VAR(B3:B12)</f>
        <v>334.14933333333346</v>
      </c>
      <c r="C21" s="63">
        <f>VAR(C3:C12)</f>
        <v>3.2342488888889167</v>
      </c>
      <c r="D21" s="2" t="str">
        <f t="shared" ca="1" si="0"/>
        <v>=VAR(C3:C12)</v>
      </c>
      <c r="F21" s="2"/>
      <c r="G21" s="64">
        <f>_xlfn.COVARIANCE.S(B3:B12,C3:C12)</f>
        <v>-29.749600000000004</v>
      </c>
      <c r="H21" s="2" t="str">
        <f t="shared" ca="1" si="1"/>
        <v>=COVARIANCE.S(B3:B12,C3:C12)</v>
      </c>
    </row>
    <row r="22" spans="1:8" x14ac:dyDescent="0.4">
      <c r="A22" s="2" t="s">
        <v>66</v>
      </c>
      <c r="B22" s="61">
        <f>VARP(B3:B12)</f>
        <v>300.73440000000005</v>
      </c>
      <c r="C22" s="61">
        <f>VARP(C3:C12)</f>
        <v>2.9108240000000296</v>
      </c>
      <c r="D22" s="2" t="str">
        <f t="shared" ca="1" si="0"/>
        <v>=VARP(C3:C12)</v>
      </c>
      <c r="F22" s="2"/>
      <c r="G22" s="64">
        <f>_xlfn.COVARIANCE.P(B3:B12,C3:C12)</f>
        <v>-26.774640000000005</v>
      </c>
      <c r="H22" s="2" t="str">
        <f t="shared" ca="1" si="1"/>
        <v>=COVARIANCE.P(B3:B12,C3:C12)</v>
      </c>
    </row>
    <row r="23" spans="1:8" x14ac:dyDescent="0.4">
      <c r="A23" s="2"/>
      <c r="B23" s="63">
        <f>_xlfn.VAR.P(B3:B12)</f>
        <v>300.73440000000005</v>
      </c>
      <c r="C23" s="63">
        <f>_xlfn.VAR.P(C3:C12)</f>
        <v>2.9108240000000296</v>
      </c>
      <c r="D23" s="2" t="str">
        <f t="shared" ca="1" si="0"/>
        <v>=VAR.P(C3:C12)</v>
      </c>
      <c r="F23" s="2"/>
      <c r="G23" s="64"/>
      <c r="H23" s="2"/>
    </row>
    <row r="24" spans="1:8" x14ac:dyDescent="0.4">
      <c r="A24" s="2" t="s">
        <v>67</v>
      </c>
      <c r="B24" s="61">
        <f>_xlfn.STDEV.S(B3:B12)</f>
        <v>18.27975200415294</v>
      </c>
      <c r="C24" s="61">
        <f>_xlfn.STDEV.S(C3:C12)</f>
        <v>1.7984017595879171</v>
      </c>
      <c r="D24" s="2" t="str">
        <f t="shared" ca="1" si="0"/>
        <v>=STDEV.S(C3:C12)</v>
      </c>
      <c r="F24" s="2" t="s">
        <v>71</v>
      </c>
      <c r="G24" s="64">
        <f>INTERCEPT(C3:C12,B3:B12)</f>
        <v>14.328488101128436</v>
      </c>
      <c r="H24" s="2" t="str">
        <f t="shared" ca="1" si="1"/>
        <v>=INTERCEPT(C3:C12,B3:B12)</v>
      </c>
    </row>
    <row r="25" spans="1:8" x14ac:dyDescent="0.4">
      <c r="A25" s="2"/>
      <c r="B25" s="61">
        <f>SQRT(B20)</f>
        <v>18.27975200415294</v>
      </c>
      <c r="C25" s="61">
        <f>SQRT(C20)</f>
        <v>1.7984017595879171</v>
      </c>
      <c r="D25" s="2" t="str">
        <f t="shared" ca="1" si="0"/>
        <v>=SQRT(C20)</v>
      </c>
      <c r="F25" s="2" t="s">
        <v>72</v>
      </c>
      <c r="G25" s="64">
        <f>SLOPE(C3:C12,B3:B12)</f>
        <v>-8.9030852473145738E-2</v>
      </c>
      <c r="H25" s="2" t="str">
        <f t="shared" ca="1" si="1"/>
        <v>=SLOPE(C3:C12,B3:B12)</v>
      </c>
    </row>
    <row r="26" spans="1:8" x14ac:dyDescent="0.4">
      <c r="A26" s="2"/>
      <c r="B26" s="63">
        <f>STDEV(B3:B12)</f>
        <v>18.27975200415294</v>
      </c>
      <c r="C26" s="63">
        <f>STDEV(C3:C12)</f>
        <v>1.7984017595879171</v>
      </c>
      <c r="D26" s="2" t="str">
        <f t="shared" ca="1" si="0"/>
        <v>=STDEV(C3:C12)</v>
      </c>
      <c r="F26" s="2" t="s">
        <v>73</v>
      </c>
      <c r="G26" s="64">
        <f>RSQ(C3:C12,B3:B12)</f>
        <v>0.81893272278282259</v>
      </c>
      <c r="H26" s="2" t="str">
        <f t="shared" ca="1" si="1"/>
        <v>=RSQ(C3:C12,B3:B12)</v>
      </c>
    </row>
    <row r="27" spans="1:8" x14ac:dyDescent="0.4">
      <c r="A27" s="2" t="s">
        <v>68</v>
      </c>
      <c r="B27" s="61">
        <f>_xlfn.STDEV.P(B3:B12)</f>
        <v>17.341695418845301</v>
      </c>
      <c r="C27" s="61">
        <f>_xlfn.STDEV.P(C3:C12)</f>
        <v>1.7061137125057138</v>
      </c>
      <c r="D27" s="2" t="str">
        <f t="shared" ca="1" si="0"/>
        <v>=STDEV.P(C3:C12)</v>
      </c>
      <c r="G27" s="62"/>
    </row>
    <row r="28" spans="1:8" x14ac:dyDescent="0.4">
      <c r="A28" s="2"/>
      <c r="B28" s="61">
        <f>STDEVP(B3:B12)</f>
        <v>17.341695418845301</v>
      </c>
      <c r="C28" s="61">
        <f>STDEVP(C3:C12)</f>
        <v>1.7061137125057138</v>
      </c>
      <c r="D28" s="2" t="str">
        <f t="shared" ca="1" si="0"/>
        <v>=STDEVP(C3:C12)</v>
      </c>
      <c r="G28" s="62"/>
    </row>
    <row r="29" spans="1:8" x14ac:dyDescent="0.4">
      <c r="A29" s="2"/>
      <c r="B29" s="63">
        <f>SQRT(B22)</f>
        <v>17.341695418845301</v>
      </c>
      <c r="C29" s="63">
        <f>SQRT(C22)</f>
        <v>1.7061137125057138</v>
      </c>
      <c r="D29" s="2" t="str">
        <f t="shared" ca="1" si="0"/>
        <v>=SQRT(C22)</v>
      </c>
      <c r="G29" s="62"/>
    </row>
    <row r="30" spans="1:8" x14ac:dyDescent="0.4">
      <c r="B30" s="61"/>
      <c r="C30" s="61"/>
    </row>
  </sheetData>
  <mergeCells count="1">
    <mergeCell ref="A1:D1"/>
  </mergeCells>
  <phoneticPr fontId="19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5DF6-FB11-4314-8DA0-8D8DB19BEAD0}">
  <dimension ref="A1:F26"/>
  <sheetViews>
    <sheetView workbookViewId="0">
      <selection activeCell="J14" sqref="J14"/>
    </sheetView>
  </sheetViews>
  <sheetFormatPr defaultRowHeight="13.9" x14ac:dyDescent="0.4"/>
  <cols>
    <col min="1" max="1" width="18.46484375" customWidth="1"/>
    <col min="3" max="3" width="14.33203125" customWidth="1"/>
  </cols>
  <sheetData>
    <row r="1" spans="1:6" ht="82.5" customHeight="1" x14ac:dyDescent="0.4">
      <c r="A1" s="65" t="s">
        <v>74</v>
      </c>
      <c r="B1" s="65"/>
      <c r="C1" s="65"/>
      <c r="D1" s="65"/>
      <c r="E1" s="65"/>
      <c r="F1" s="65"/>
    </row>
    <row r="2" spans="1:6" x14ac:dyDescent="0.35">
      <c r="A2" s="66" t="s">
        <v>50</v>
      </c>
      <c r="B2" s="67" t="s">
        <v>75</v>
      </c>
      <c r="C2" s="67" t="s">
        <v>76</v>
      </c>
      <c r="D2" s="67"/>
      <c r="E2" s="68" t="s">
        <v>70</v>
      </c>
      <c r="F2" s="67"/>
    </row>
    <row r="3" spans="1:6" x14ac:dyDescent="0.35">
      <c r="A3" s="69">
        <v>38565</v>
      </c>
      <c r="B3" s="70">
        <v>4.0097385978425507E-2</v>
      </c>
      <c r="C3" s="70">
        <v>-8.9704618585273316E-2</v>
      </c>
      <c r="D3" s="68"/>
      <c r="E3" s="74">
        <f>COVAR(B3:B26,C3:C26)</f>
        <v>8.521934511695311E-4</v>
      </c>
      <c r="F3" s="71" t="str">
        <f ca="1">_xlfn.FORMULATEXT(E3)</f>
        <v>=COVAR(B3:B26,C3:C26)</v>
      </c>
    </row>
    <row r="4" spans="1:6" x14ac:dyDescent="0.35">
      <c r="A4" s="69">
        <v>38596</v>
      </c>
      <c r="B4" s="70">
        <v>3.1396268306048775E-2</v>
      </c>
      <c r="C4" s="70">
        <v>-4.2981822573685144E-2</v>
      </c>
      <c r="D4" s="68"/>
      <c r="E4" s="74">
        <f>_xlfn.COVARIANCE.S(B3:B26,C3:C26)</f>
        <v>8.8924534035081501E-4</v>
      </c>
      <c r="F4" s="71" t="str">
        <f t="shared" ref="F4:F12" ca="1" si="0">_xlfn.FORMULATEXT(E4)</f>
        <v>=COVARIANCE.S(B3:B26,C3:C26)</v>
      </c>
    </row>
    <row r="5" spans="1:6" x14ac:dyDescent="0.35">
      <c r="A5" s="69">
        <v>38628</v>
      </c>
      <c r="B5" s="70">
        <v>-5.7838154829700089E-2</v>
      </c>
      <c r="C5" s="70">
        <v>3.4158918811319078E-2</v>
      </c>
      <c r="D5" s="68"/>
      <c r="E5" s="74">
        <f>_xlfn.COVARIANCE.P(B3:B26,C3:C26)</f>
        <v>8.521934511695311E-4</v>
      </c>
      <c r="F5" s="71" t="str">
        <f t="shared" ca="1" si="0"/>
        <v>=COVARIANCE.P(B3:B26,C3:C26)</v>
      </c>
    </row>
    <row r="6" spans="1:6" x14ac:dyDescent="0.35">
      <c r="A6" s="69">
        <v>38657</v>
      </c>
      <c r="B6" s="70">
        <v>8.8884139861410597E-2</v>
      </c>
      <c r="C6" s="70">
        <v>8.7050244393486367E-2</v>
      </c>
      <c r="D6" s="68"/>
      <c r="E6" s="72"/>
      <c r="F6" s="71"/>
    </row>
    <row r="7" spans="1:6" x14ac:dyDescent="0.35">
      <c r="A7" s="69">
        <v>38687</v>
      </c>
      <c r="B7" s="70">
        <v>-3.63857284390818E-3</v>
      </c>
      <c r="C7" s="70">
        <v>8.4407162400444102E-2</v>
      </c>
      <c r="D7" s="68"/>
      <c r="E7" s="73"/>
      <c r="F7" s="71"/>
    </row>
    <row r="8" spans="1:6" x14ac:dyDescent="0.35">
      <c r="A8" s="69">
        <v>38720</v>
      </c>
      <c r="B8" s="70">
        <v>3.7560301878575605E-2</v>
      </c>
      <c r="C8" s="70">
        <v>6.4661303383412763E-2</v>
      </c>
      <c r="D8" s="68"/>
      <c r="E8" s="68" t="s">
        <v>69</v>
      </c>
      <c r="F8" s="71"/>
    </row>
    <row r="9" spans="1:6" x14ac:dyDescent="0.35">
      <c r="A9" s="69">
        <v>38749</v>
      </c>
      <c r="B9" s="70">
        <v>-2.9299757263299415E-3</v>
      </c>
      <c r="C9" s="70">
        <v>-1.5216474706147332E-2</v>
      </c>
      <c r="D9" s="68"/>
      <c r="E9" s="74">
        <f>CORREL(B3:B26,C3:C26)</f>
        <v>0.36204085547924947</v>
      </c>
      <c r="F9" s="71" t="str">
        <f t="shared" ca="1" si="0"/>
        <v>=CORREL(B3:B26,C3:C26)</v>
      </c>
    </row>
    <row r="10" spans="1:6" x14ac:dyDescent="0.35">
      <c r="A10" s="69">
        <v>38777</v>
      </c>
      <c r="B10" s="70">
        <v>-1.5971945566052113E-2</v>
      </c>
      <c r="C10" s="70">
        <v>6.9690708221481407E-2</v>
      </c>
      <c r="D10" s="68"/>
      <c r="E10" s="74">
        <f>COVAR(B3:B26,C3:C26)/(STDEVP(B3:B26)*STDEVP(C3:C26))</f>
        <v>0.36204085547924947</v>
      </c>
      <c r="F10" s="71" t="str">
        <f t="shared" ca="1" si="0"/>
        <v>=COVAR(B3:B26,C3:C26)/(STDEVP(B3:B26)*STDEVP(C3:C26))</v>
      </c>
    </row>
    <row r="11" spans="1:6" x14ac:dyDescent="0.35">
      <c r="A11" s="69">
        <v>38810</v>
      </c>
      <c r="B11" s="70">
        <v>6.2416609234761337E-3</v>
      </c>
      <c r="C11" s="70">
        <v>-4.5446678465881924E-3</v>
      </c>
      <c r="D11" s="68"/>
      <c r="E11" s="74">
        <f>_xlfn.COVARIANCE.P(B3:B26,C3:C26)/(_xlfn.STDEV.P(B3:B26)*_xlfn.STDEV.P(C3:C26))</f>
        <v>0.36204085547924947</v>
      </c>
      <c r="F11" s="71" t="str">
        <f t="shared" ca="1" si="0"/>
        <v>=COVARIANCE.P(B3:B26,C3:C26)/(STDEV.P(B3:B26)*STDEV.P(C3:C26))</v>
      </c>
    </row>
    <row r="12" spans="1:6" x14ac:dyDescent="0.35">
      <c r="A12" s="69">
        <v>38838</v>
      </c>
      <c r="B12" s="70">
        <v>-4.1439469069049675E-2</v>
      </c>
      <c r="C12" s="70">
        <v>-2.1963334154518552E-2</v>
      </c>
      <c r="D12" s="68"/>
      <c r="E12" s="74">
        <f>_xlfn.COVARIANCE.S(B3:B26,C3:C26)/(_xlfn.STDEV.S(B3:B26)*_xlfn.STDEV.S(C3:C26))</f>
        <v>0.36204085547924952</v>
      </c>
      <c r="F12" s="71" t="str">
        <f t="shared" ca="1" si="0"/>
        <v>=COVARIANCE.S(B3:B26,C3:C26)/(STDEV.S(B3:B26)*STDEV.S(C3:C26))</v>
      </c>
    </row>
    <row r="13" spans="1:6" x14ac:dyDescent="0.35">
      <c r="A13" s="69">
        <v>38869</v>
      </c>
      <c r="B13" s="70">
        <v>1.288756714060884E-2</v>
      </c>
      <c r="C13" s="70">
        <v>-3.3506411889842699E-2</v>
      </c>
      <c r="D13" s="68"/>
      <c r="E13" s="68"/>
      <c r="F13" s="68"/>
    </row>
    <row r="14" spans="1:6" x14ac:dyDescent="0.35">
      <c r="A14" s="69">
        <v>38901</v>
      </c>
      <c r="B14" s="70">
        <v>5.1979034823580954E-2</v>
      </c>
      <c r="C14" s="70">
        <v>3.1713975489527702E-2</v>
      </c>
      <c r="D14" s="68"/>
      <c r="E14" s="68"/>
      <c r="F14" s="68"/>
    </row>
    <row r="15" spans="1:6" x14ac:dyDescent="0.35">
      <c r="A15" s="69">
        <v>38930</v>
      </c>
      <c r="B15" s="70">
        <v>1.4082715854511953E-2</v>
      </c>
      <c r="C15" s="70">
        <v>6.2922576805322705E-2</v>
      </c>
      <c r="D15" s="68"/>
      <c r="E15" s="68"/>
      <c r="F15" s="68"/>
    </row>
    <row r="16" spans="1:6" x14ac:dyDescent="0.35">
      <c r="A16" s="69">
        <v>38961</v>
      </c>
      <c r="B16" s="70">
        <v>8.6083435169234043E-2</v>
      </c>
      <c r="C16" s="70">
        <v>4.7377281011011116E-2</v>
      </c>
      <c r="D16" s="68"/>
      <c r="E16" s="68"/>
      <c r="F16" s="68"/>
    </row>
    <row r="17" spans="1:6" x14ac:dyDescent="0.35">
      <c r="A17" s="69">
        <v>38992</v>
      </c>
      <c r="B17" s="70">
        <v>6.9045239846001E-2</v>
      </c>
      <c r="C17" s="70">
        <v>9.7586157560167475E-2</v>
      </c>
      <c r="D17" s="68"/>
      <c r="E17" s="68"/>
      <c r="F17" s="68"/>
    </row>
    <row r="18" spans="1:6" x14ac:dyDescent="0.35">
      <c r="A18" s="69">
        <v>39022</v>
      </c>
      <c r="B18" s="70">
        <v>2.5336136262073743E-2</v>
      </c>
      <c r="C18" s="70">
        <v>-5.7895908620869282E-2</v>
      </c>
      <c r="D18" s="68"/>
      <c r="E18" s="68"/>
      <c r="F18" s="68"/>
    </row>
    <row r="19" spans="1:6" x14ac:dyDescent="0.35">
      <c r="A19" s="69">
        <v>39052</v>
      </c>
      <c r="B19" s="70">
        <v>5.4706571411462721E-2</v>
      </c>
      <c r="C19" s="70">
        <v>1.5931709521836937E-2</v>
      </c>
      <c r="D19" s="68"/>
      <c r="E19" s="68"/>
      <c r="F19" s="68"/>
    </row>
    <row r="20" spans="1:6" x14ac:dyDescent="0.35">
      <c r="A20" s="69">
        <v>39085</v>
      </c>
      <c r="B20" s="70">
        <v>4.5105999862642392E-4</v>
      </c>
      <c r="C20" s="70">
        <v>2.5804011956430211E-2</v>
      </c>
      <c r="D20" s="68"/>
      <c r="E20" s="68"/>
      <c r="F20" s="68"/>
    </row>
    <row r="21" spans="1:6" x14ac:dyDescent="0.35">
      <c r="A21" s="69">
        <v>39114</v>
      </c>
      <c r="B21" s="70">
        <v>-1.4993465792244113E-2</v>
      </c>
      <c r="C21" s="70">
        <v>-5.5104488904212476E-2</v>
      </c>
      <c r="D21" s="68"/>
      <c r="E21" s="68"/>
      <c r="F21" s="68"/>
    </row>
    <row r="22" spans="1:6" x14ac:dyDescent="0.35">
      <c r="A22" s="69">
        <v>39142</v>
      </c>
      <c r="B22" s="70">
        <v>3.0653741091002305E-2</v>
      </c>
      <c r="C22" s="70">
        <v>-2.3754086008107144E-2</v>
      </c>
      <c r="D22" s="68"/>
      <c r="E22" s="68"/>
      <c r="F22" s="68"/>
    </row>
    <row r="23" spans="1:6" x14ac:dyDescent="0.35">
      <c r="A23" s="69">
        <v>39174</v>
      </c>
      <c r="B23" s="70">
        <v>6.924441217498381E-2</v>
      </c>
      <c r="C23" s="70">
        <v>0.18605389916988255</v>
      </c>
      <c r="D23" s="68"/>
      <c r="E23" s="68"/>
      <c r="F23" s="68"/>
    </row>
    <row r="24" spans="1:6" x14ac:dyDescent="0.35">
      <c r="A24" s="69">
        <v>39203</v>
      </c>
      <c r="B24" s="70">
        <v>4.5945549237149656E-2</v>
      </c>
      <c r="C24" s="70">
        <v>6.5652190293506246E-2</v>
      </c>
      <c r="D24" s="68"/>
      <c r="E24" s="68"/>
      <c r="F24" s="68"/>
    </row>
    <row r="25" spans="1:6" x14ac:dyDescent="0.35">
      <c r="A25" s="69">
        <v>39234</v>
      </c>
      <c r="B25" s="70">
        <v>4.1456973797065659E-3</v>
      </c>
      <c r="C25" s="70">
        <v>-8.7985958619979751E-2</v>
      </c>
      <c r="D25" s="68"/>
      <c r="E25" s="68"/>
      <c r="F25" s="68"/>
    </row>
    <row r="26" spans="1:6" x14ac:dyDescent="0.35">
      <c r="A26" s="69">
        <v>39265</v>
      </c>
      <c r="B26" s="70">
        <v>3.3704526751391253E-2</v>
      </c>
      <c r="C26" s="70">
        <v>1.1094688286792071E-2</v>
      </c>
      <c r="D26" s="68"/>
      <c r="E26" s="68"/>
      <c r="F26" s="68"/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815F-FBF1-4B6A-A1C3-DDA59EC0435F}">
  <dimension ref="A1:I140"/>
  <sheetViews>
    <sheetView workbookViewId="0">
      <selection activeCell="J22" sqref="J22"/>
    </sheetView>
  </sheetViews>
  <sheetFormatPr defaultRowHeight="13.9" x14ac:dyDescent="0.4"/>
  <cols>
    <col min="1" max="1" width="10.3984375" customWidth="1"/>
  </cols>
  <sheetData>
    <row r="1" spans="1:9" ht="17.649999999999999" x14ac:dyDescent="0.5">
      <c r="A1" s="1" t="s">
        <v>77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/>
      <c r="B2" s="2"/>
      <c r="C2" s="2"/>
      <c r="D2" s="2"/>
      <c r="E2" s="2"/>
      <c r="F2" s="75" t="s">
        <v>78</v>
      </c>
      <c r="G2" s="75"/>
      <c r="H2" s="75"/>
      <c r="I2" s="2"/>
    </row>
    <row r="3" spans="1:9" x14ac:dyDescent="0.4">
      <c r="A3" s="76" t="s">
        <v>50</v>
      </c>
      <c r="B3" s="77" t="s">
        <v>79</v>
      </c>
      <c r="C3" s="6" t="s">
        <v>80</v>
      </c>
      <c r="D3" s="2"/>
      <c r="E3" s="2"/>
      <c r="F3" s="78" t="s">
        <v>50</v>
      </c>
      <c r="G3" s="22" t="s">
        <v>79</v>
      </c>
      <c r="H3" s="22" t="s">
        <v>80</v>
      </c>
      <c r="I3" s="2"/>
    </row>
    <row r="4" spans="1:9" x14ac:dyDescent="0.4">
      <c r="A4" s="38">
        <v>37141</v>
      </c>
      <c r="B4" s="79">
        <v>7.69</v>
      </c>
      <c r="C4" s="2"/>
      <c r="D4" s="2"/>
      <c r="E4" s="2"/>
      <c r="F4" s="80"/>
      <c r="G4" s="80"/>
      <c r="H4" s="80" t="s">
        <v>83</v>
      </c>
      <c r="I4" s="2"/>
    </row>
    <row r="5" spans="1:9" x14ac:dyDescent="0.4">
      <c r="A5" s="38">
        <v>37165</v>
      </c>
      <c r="B5" s="79">
        <v>8.6999999999999993</v>
      </c>
      <c r="C5" s="81">
        <f>LN(B5/B4)</f>
        <v>0.12340224214298533</v>
      </c>
      <c r="D5" s="2" t="str">
        <f ca="1">_xlfn.FORMULATEXT(C5)</f>
        <v>=LN(B5/B4)</v>
      </c>
      <c r="E5" s="2"/>
      <c r="F5" s="2"/>
      <c r="G5" s="2"/>
      <c r="H5" s="2"/>
      <c r="I5" s="2"/>
    </row>
    <row r="6" spans="1:9" x14ac:dyDescent="0.4">
      <c r="A6" s="38">
        <v>37196</v>
      </c>
      <c r="B6" s="79">
        <v>10.56</v>
      </c>
      <c r="C6" s="81">
        <f t="shared" ref="C6:C69" si="0">LN(B6/B5)</f>
        <v>0.19375025261757756</v>
      </c>
      <c r="D6" s="2"/>
      <c r="E6" s="2"/>
      <c r="F6" s="2" t="s">
        <v>64</v>
      </c>
      <c r="G6" s="81">
        <f>DAVERAGE(A3:C140,3,F3:H4)</f>
        <v>0.15381444824004981</v>
      </c>
      <c r="H6" s="2" t="str">
        <f ca="1">_xlfn.FORMULATEXT(G6)</f>
        <v>=DAVERAGE(A3:C140,3,F3:H4)</v>
      </c>
      <c r="I6" s="2"/>
    </row>
    <row r="7" spans="1:9" x14ac:dyDescent="0.4">
      <c r="A7" s="38">
        <v>37228</v>
      </c>
      <c r="B7" s="79">
        <v>10.85</v>
      </c>
      <c r="C7" s="81">
        <f t="shared" si="0"/>
        <v>2.7091801708353038E-2</v>
      </c>
      <c r="D7" s="2"/>
      <c r="E7" s="2"/>
      <c r="F7" s="2" t="s">
        <v>81</v>
      </c>
      <c r="G7" s="82">
        <f>DVAR(A3:C140,3,F3:H4)</f>
        <v>2.0732403087854834E-3</v>
      </c>
      <c r="H7" s="2" t="str">
        <f t="shared" ref="H7:H8" ca="1" si="1">_xlfn.FORMULATEXT(G7)</f>
        <v>=DVAR(A3:C140,3,F3:H4)</v>
      </c>
      <c r="I7" s="2"/>
    </row>
    <row r="8" spans="1:9" x14ac:dyDescent="0.4">
      <c r="A8" s="38">
        <v>37258</v>
      </c>
      <c r="B8" s="79">
        <v>12.25</v>
      </c>
      <c r="C8" s="81">
        <f t="shared" si="0"/>
        <v>0.12136085700426753</v>
      </c>
      <c r="D8" s="2"/>
      <c r="E8" s="2"/>
      <c r="F8" s="2" t="s">
        <v>82</v>
      </c>
      <c r="G8" s="81">
        <f>DSTDEV(A3:C140,3,F3:H4)</f>
        <v>4.5532848678569229E-2</v>
      </c>
      <c r="H8" s="2" t="str">
        <f t="shared" ca="1" si="1"/>
        <v>=DSTDEV(A3:C140,3,F3:H4)</v>
      </c>
      <c r="I8" s="2"/>
    </row>
    <row r="9" spans="1:9" x14ac:dyDescent="0.4">
      <c r="A9" s="38">
        <v>37288</v>
      </c>
      <c r="B9" s="79">
        <v>10.75</v>
      </c>
      <c r="C9" s="81">
        <f t="shared" si="0"/>
        <v>-0.13062018241706422</v>
      </c>
      <c r="D9" s="2"/>
      <c r="E9" s="2"/>
      <c r="F9" s="2"/>
      <c r="G9" s="2"/>
      <c r="H9" s="2"/>
      <c r="I9" s="2"/>
    </row>
    <row r="10" spans="1:9" x14ac:dyDescent="0.4">
      <c r="A10" s="38">
        <v>37316</v>
      </c>
      <c r="B10" s="79">
        <v>11.73</v>
      </c>
      <c r="C10" s="81">
        <f t="shared" si="0"/>
        <v>8.7243908091712286E-2</v>
      </c>
      <c r="D10" s="2"/>
      <c r="E10" s="2"/>
      <c r="F10" s="2"/>
      <c r="G10" s="2"/>
      <c r="H10" s="2"/>
      <c r="I10" s="2"/>
    </row>
    <row r="11" spans="1:9" x14ac:dyDescent="0.4">
      <c r="A11" s="38">
        <v>37347</v>
      </c>
      <c r="B11" s="79">
        <v>12.03</v>
      </c>
      <c r="C11" s="81">
        <f t="shared" si="0"/>
        <v>2.525386732120341E-2</v>
      </c>
      <c r="D11" s="2"/>
      <c r="E11" s="2"/>
      <c r="F11" s="2"/>
      <c r="G11" s="42"/>
      <c r="H11" s="2"/>
      <c r="I11" s="2"/>
    </row>
    <row r="12" spans="1:9" x14ac:dyDescent="0.4">
      <c r="A12" s="38">
        <v>37377</v>
      </c>
      <c r="B12" s="79">
        <v>11.55</v>
      </c>
      <c r="C12" s="81">
        <f t="shared" si="0"/>
        <v>-4.0718093018784804E-2</v>
      </c>
      <c r="D12" s="2"/>
      <c r="E12" s="2"/>
      <c r="F12" s="2"/>
      <c r="G12" s="2"/>
      <c r="H12" s="2"/>
      <c r="I12" s="2"/>
    </row>
    <row r="13" spans="1:9" x14ac:dyDescent="0.4">
      <c r="A13" s="38">
        <v>37410</v>
      </c>
      <c r="B13" s="79">
        <v>8.7799999999999994</v>
      </c>
      <c r="C13" s="81">
        <f t="shared" si="0"/>
        <v>-0.2742090293207774</v>
      </c>
      <c r="D13" s="2"/>
      <c r="E13" s="2"/>
      <c r="F13" s="2"/>
      <c r="G13" s="2"/>
      <c r="H13" s="2"/>
      <c r="I13" s="2"/>
    </row>
    <row r="14" spans="1:9" x14ac:dyDescent="0.4">
      <c r="A14" s="38">
        <v>37438</v>
      </c>
      <c r="B14" s="79">
        <v>7.56</v>
      </c>
      <c r="C14" s="81">
        <f t="shared" si="0"/>
        <v>-0.14960521745558364</v>
      </c>
      <c r="D14" s="2"/>
      <c r="E14" s="2"/>
      <c r="F14" s="2"/>
      <c r="G14" s="2"/>
      <c r="H14" s="2"/>
      <c r="I14" s="2"/>
    </row>
    <row r="15" spans="1:9" x14ac:dyDescent="0.4">
      <c r="A15" s="38">
        <v>37469</v>
      </c>
      <c r="B15" s="79">
        <v>7.31</v>
      </c>
      <c r="C15" s="81">
        <f t="shared" si="0"/>
        <v>-3.3627916429754448E-2</v>
      </c>
      <c r="D15" s="2"/>
      <c r="E15" s="2"/>
      <c r="F15" s="2"/>
      <c r="G15" s="2"/>
      <c r="H15" s="2"/>
      <c r="I15" s="2"/>
    </row>
    <row r="16" spans="1:9" x14ac:dyDescent="0.4">
      <c r="A16" s="38">
        <v>37502</v>
      </c>
      <c r="B16" s="79">
        <v>7.19</v>
      </c>
      <c r="C16" s="81">
        <f t="shared" si="0"/>
        <v>-1.6552102028731759E-2</v>
      </c>
      <c r="D16" s="2"/>
      <c r="E16" s="2"/>
      <c r="F16" s="2"/>
      <c r="G16" s="2"/>
      <c r="H16" s="2"/>
      <c r="I16" s="2"/>
    </row>
    <row r="17" spans="1:9" x14ac:dyDescent="0.4">
      <c r="A17" s="38">
        <v>37530</v>
      </c>
      <c r="B17" s="79">
        <v>7.96</v>
      </c>
      <c r="C17" s="81">
        <f t="shared" si="0"/>
        <v>0.1017378281233363</v>
      </c>
      <c r="D17" s="2"/>
      <c r="E17" s="2"/>
      <c r="F17" s="2"/>
      <c r="G17" s="2"/>
      <c r="H17" s="2"/>
      <c r="I17" s="2"/>
    </row>
    <row r="18" spans="1:9" x14ac:dyDescent="0.4">
      <c r="A18" s="38">
        <v>37561</v>
      </c>
      <c r="B18" s="79">
        <v>7.68</v>
      </c>
      <c r="C18" s="81">
        <f t="shared" si="0"/>
        <v>-3.5809452696710889E-2</v>
      </c>
      <c r="D18" s="2"/>
      <c r="E18" s="2"/>
      <c r="F18" s="2"/>
      <c r="G18" s="2"/>
      <c r="H18" s="2"/>
      <c r="I18" s="2"/>
    </row>
    <row r="19" spans="1:9" x14ac:dyDescent="0.4">
      <c r="A19" s="38">
        <v>37592</v>
      </c>
      <c r="B19" s="79">
        <v>7.1</v>
      </c>
      <c r="C19" s="81">
        <f t="shared" si="0"/>
        <v>-7.8524763112311102E-2</v>
      </c>
      <c r="D19" s="2"/>
      <c r="E19" s="2"/>
      <c r="F19" s="2"/>
      <c r="G19" s="2"/>
      <c r="H19" s="2"/>
      <c r="I19" s="2"/>
    </row>
    <row r="20" spans="1:9" x14ac:dyDescent="0.4">
      <c r="A20" s="38">
        <v>37623</v>
      </c>
      <c r="B20" s="79">
        <v>7.12</v>
      </c>
      <c r="C20" s="81">
        <f t="shared" si="0"/>
        <v>2.8129413766146577E-3</v>
      </c>
      <c r="D20" s="2"/>
      <c r="E20" s="2"/>
      <c r="F20" s="2"/>
      <c r="G20" s="2"/>
      <c r="H20" s="2"/>
      <c r="I20" s="2"/>
    </row>
    <row r="21" spans="1:9" x14ac:dyDescent="0.4">
      <c r="A21" s="38">
        <v>37655</v>
      </c>
      <c r="B21" s="79">
        <v>7.44</v>
      </c>
      <c r="C21" s="81">
        <f t="shared" si="0"/>
        <v>4.3963123421116204E-2</v>
      </c>
      <c r="D21" s="2"/>
      <c r="E21" s="2"/>
      <c r="F21" s="2"/>
      <c r="G21" s="2"/>
      <c r="H21" s="2"/>
      <c r="I21" s="2"/>
    </row>
    <row r="22" spans="1:9" x14ac:dyDescent="0.4">
      <c r="A22" s="38">
        <v>37683</v>
      </c>
      <c r="B22" s="79">
        <v>7.01</v>
      </c>
      <c r="C22" s="81">
        <f t="shared" si="0"/>
        <v>-5.9533147798501836E-2</v>
      </c>
      <c r="D22" s="2"/>
      <c r="E22" s="2"/>
      <c r="F22" s="2"/>
      <c r="G22" s="2"/>
      <c r="H22" s="2"/>
      <c r="I22" s="2"/>
    </row>
    <row r="23" spans="1:9" x14ac:dyDescent="0.4">
      <c r="A23" s="38">
        <v>37712</v>
      </c>
      <c r="B23" s="79">
        <v>7.05</v>
      </c>
      <c r="C23" s="81">
        <f t="shared" si="0"/>
        <v>5.689915777678676E-3</v>
      </c>
      <c r="D23" s="2"/>
      <c r="E23" s="2"/>
      <c r="F23" s="2"/>
      <c r="G23" s="2"/>
      <c r="H23" s="2"/>
      <c r="I23" s="2"/>
    </row>
    <row r="24" spans="1:9" x14ac:dyDescent="0.4">
      <c r="A24" s="38">
        <v>37742</v>
      </c>
      <c r="B24" s="79">
        <v>8.9</v>
      </c>
      <c r="C24" s="81">
        <f t="shared" si="0"/>
        <v>0.23302365991391691</v>
      </c>
      <c r="D24" s="2"/>
      <c r="E24" s="2"/>
      <c r="F24" s="2"/>
      <c r="G24" s="2"/>
      <c r="H24" s="2"/>
      <c r="I24" s="2"/>
    </row>
    <row r="25" spans="1:9" x14ac:dyDescent="0.4">
      <c r="A25" s="38">
        <v>37774</v>
      </c>
      <c r="B25" s="79">
        <v>9.4499999999999993</v>
      </c>
      <c r="C25" s="81">
        <f t="shared" si="0"/>
        <v>5.9963464767557061E-2</v>
      </c>
      <c r="D25" s="2"/>
      <c r="E25" s="2"/>
      <c r="F25" s="2"/>
      <c r="G25" s="2"/>
      <c r="H25" s="2"/>
      <c r="I25" s="2"/>
    </row>
    <row r="26" spans="1:9" x14ac:dyDescent="0.4">
      <c r="A26" s="38">
        <v>37803</v>
      </c>
      <c r="B26" s="79">
        <v>10.45</v>
      </c>
      <c r="C26" s="81">
        <f t="shared" si="0"/>
        <v>0.10058723690516862</v>
      </c>
      <c r="D26" s="2"/>
      <c r="E26" s="2"/>
      <c r="F26" s="2"/>
      <c r="G26" s="2"/>
      <c r="H26" s="2"/>
      <c r="I26" s="2"/>
    </row>
    <row r="27" spans="1:9" x14ac:dyDescent="0.4">
      <c r="A27" s="38">
        <v>37834</v>
      </c>
      <c r="B27" s="79">
        <v>11.21</v>
      </c>
      <c r="C27" s="81">
        <f t="shared" si="0"/>
        <v>7.0204258673248768E-2</v>
      </c>
      <c r="D27" s="2"/>
      <c r="E27" s="2"/>
      <c r="F27" s="2"/>
      <c r="G27" s="2"/>
      <c r="H27" s="2"/>
      <c r="I27" s="2"/>
    </row>
    <row r="28" spans="1:9" x14ac:dyDescent="0.4">
      <c r="A28" s="38">
        <v>37866</v>
      </c>
      <c r="B28" s="79">
        <v>10.27</v>
      </c>
      <c r="C28" s="81">
        <f t="shared" si="0"/>
        <v>-8.7579213143601758E-2</v>
      </c>
      <c r="D28" s="2"/>
      <c r="E28" s="2"/>
      <c r="F28" s="2"/>
      <c r="G28" s="2"/>
      <c r="H28" s="2"/>
      <c r="I28" s="2"/>
    </row>
    <row r="29" spans="1:9" x14ac:dyDescent="0.4">
      <c r="A29" s="38">
        <v>37895</v>
      </c>
      <c r="B29" s="79">
        <v>11.34</v>
      </c>
      <c r="C29" s="81">
        <f t="shared" si="0"/>
        <v>9.9109274359139202E-2</v>
      </c>
      <c r="D29" s="2"/>
      <c r="E29" s="2"/>
      <c r="F29" s="2"/>
      <c r="G29" s="2"/>
      <c r="H29" s="2"/>
      <c r="I29" s="2"/>
    </row>
    <row r="30" spans="1:9" x14ac:dyDescent="0.4">
      <c r="A30" s="38">
        <v>37928</v>
      </c>
      <c r="B30" s="79">
        <v>10.36</v>
      </c>
      <c r="C30" s="81">
        <f t="shared" si="0"/>
        <v>-9.0384061468269064E-2</v>
      </c>
      <c r="D30" s="2"/>
      <c r="E30" s="2"/>
      <c r="F30" s="2"/>
      <c r="G30" s="2"/>
      <c r="H30" s="2"/>
      <c r="I30" s="2"/>
    </row>
    <row r="31" spans="1:9" x14ac:dyDescent="0.4">
      <c r="A31" s="38">
        <v>37956</v>
      </c>
      <c r="B31" s="79">
        <v>10.59</v>
      </c>
      <c r="C31" s="81">
        <f t="shared" si="0"/>
        <v>2.1957922781978102E-2</v>
      </c>
      <c r="D31" s="2"/>
      <c r="E31" s="2"/>
      <c r="F31" s="2"/>
      <c r="G31" s="2"/>
      <c r="H31" s="2"/>
      <c r="I31" s="2"/>
    </row>
    <row r="32" spans="1:9" x14ac:dyDescent="0.4">
      <c r="A32" s="38">
        <v>37988</v>
      </c>
      <c r="B32" s="79">
        <v>11.18</v>
      </c>
      <c r="C32" s="81">
        <f t="shared" si="0"/>
        <v>5.4216308113637923E-2</v>
      </c>
      <c r="D32" s="2"/>
      <c r="E32" s="2"/>
      <c r="F32" s="2"/>
      <c r="G32" s="2"/>
      <c r="H32" s="2"/>
      <c r="I32" s="2"/>
    </row>
    <row r="33" spans="1:9" x14ac:dyDescent="0.4">
      <c r="A33" s="38">
        <v>38019</v>
      </c>
      <c r="B33" s="79">
        <v>11.85</v>
      </c>
      <c r="C33" s="81">
        <f t="shared" si="0"/>
        <v>5.8201399854187097E-2</v>
      </c>
      <c r="D33" s="2"/>
      <c r="E33" s="2"/>
      <c r="F33" s="2"/>
      <c r="G33" s="2"/>
      <c r="H33" s="2"/>
      <c r="I33" s="2"/>
    </row>
    <row r="34" spans="1:9" x14ac:dyDescent="0.4">
      <c r="A34" s="38">
        <v>38047</v>
      </c>
      <c r="B34" s="79">
        <v>13.4</v>
      </c>
      <c r="C34" s="81">
        <f t="shared" si="0"/>
        <v>0.12292683937572546</v>
      </c>
      <c r="D34" s="2"/>
      <c r="E34" s="2"/>
      <c r="F34" s="2"/>
      <c r="G34" s="2"/>
      <c r="H34" s="2"/>
      <c r="I34" s="2"/>
    </row>
    <row r="35" spans="1:9" x14ac:dyDescent="0.4">
      <c r="A35" s="38">
        <v>38078</v>
      </c>
      <c r="B35" s="79">
        <v>12.78</v>
      </c>
      <c r="C35" s="81">
        <f t="shared" si="0"/>
        <v>-4.7373258007477034E-2</v>
      </c>
      <c r="D35" s="2"/>
      <c r="E35" s="2"/>
      <c r="F35" s="2"/>
      <c r="G35" s="2"/>
      <c r="H35" s="2"/>
      <c r="I35" s="2"/>
    </row>
    <row r="36" spans="1:9" x14ac:dyDescent="0.4">
      <c r="A36" s="38">
        <v>38110</v>
      </c>
      <c r="B36" s="79">
        <v>13.91</v>
      </c>
      <c r="C36" s="81">
        <f t="shared" si="0"/>
        <v>8.4726556985962848E-2</v>
      </c>
      <c r="D36" s="2"/>
      <c r="E36" s="2"/>
      <c r="F36" s="2"/>
      <c r="G36" s="2"/>
      <c r="H36" s="2"/>
      <c r="I36" s="2"/>
    </row>
    <row r="37" spans="1:9" x14ac:dyDescent="0.4">
      <c r="A37" s="38">
        <v>38139</v>
      </c>
      <c r="B37" s="79">
        <v>16.13</v>
      </c>
      <c r="C37" s="81">
        <f t="shared" si="0"/>
        <v>0.14807288620176579</v>
      </c>
      <c r="D37" s="2"/>
      <c r="E37" s="2"/>
      <c r="F37" s="2"/>
      <c r="G37" s="2"/>
      <c r="H37" s="2"/>
      <c r="I37" s="2"/>
    </row>
    <row r="38" spans="1:9" x14ac:dyDescent="0.4">
      <c r="A38" s="38">
        <v>38169</v>
      </c>
      <c r="B38" s="79">
        <v>16.03</v>
      </c>
      <c r="C38" s="81">
        <f t="shared" si="0"/>
        <v>-6.2189255156557951E-3</v>
      </c>
      <c r="D38" s="2"/>
      <c r="E38" s="2"/>
      <c r="F38" s="2"/>
      <c r="G38" s="2"/>
      <c r="H38" s="2"/>
      <c r="I38" s="2"/>
    </row>
    <row r="39" spans="1:9" x14ac:dyDescent="0.4">
      <c r="A39" s="38">
        <v>38201</v>
      </c>
      <c r="B39" s="79">
        <v>17.09</v>
      </c>
      <c r="C39" s="81">
        <f t="shared" si="0"/>
        <v>6.4031530506037909E-2</v>
      </c>
      <c r="D39" s="2"/>
      <c r="E39" s="2"/>
      <c r="F39" s="2"/>
      <c r="G39" s="2"/>
      <c r="H39" s="2"/>
      <c r="I39" s="2"/>
    </row>
    <row r="40" spans="1:9" x14ac:dyDescent="0.4">
      <c r="A40" s="38">
        <v>38231</v>
      </c>
      <c r="B40" s="79">
        <v>19.2</v>
      </c>
      <c r="C40" s="81">
        <f t="shared" si="0"/>
        <v>0.11641678190623628</v>
      </c>
      <c r="D40" s="2"/>
      <c r="E40" s="2"/>
      <c r="F40" s="2"/>
      <c r="G40" s="2"/>
      <c r="H40" s="2"/>
      <c r="I40" s="2"/>
    </row>
    <row r="41" spans="1:9" x14ac:dyDescent="0.4">
      <c r="A41" s="38">
        <v>38261</v>
      </c>
      <c r="B41" s="79">
        <v>25.97</v>
      </c>
      <c r="C41" s="81">
        <f t="shared" si="0"/>
        <v>0.30203174664092119</v>
      </c>
      <c r="D41" s="2"/>
      <c r="E41" s="2"/>
      <c r="F41" s="2"/>
      <c r="G41" s="2"/>
      <c r="H41" s="2"/>
      <c r="I41" s="2"/>
    </row>
    <row r="42" spans="1:9" x14ac:dyDescent="0.4">
      <c r="A42" s="38">
        <v>38292</v>
      </c>
      <c r="B42" s="79">
        <v>33.229999999999997</v>
      </c>
      <c r="C42" s="81">
        <f t="shared" si="0"/>
        <v>0.24651105669184584</v>
      </c>
      <c r="D42" s="2"/>
      <c r="E42" s="2"/>
      <c r="F42" s="2"/>
      <c r="G42" s="2"/>
      <c r="H42" s="2"/>
      <c r="I42" s="2"/>
    </row>
    <row r="43" spans="1:9" x14ac:dyDescent="0.4">
      <c r="A43" s="38">
        <v>38322</v>
      </c>
      <c r="B43" s="79">
        <v>31.92</v>
      </c>
      <c r="C43" s="81">
        <f t="shared" si="0"/>
        <v>-4.0220309784894728E-2</v>
      </c>
      <c r="D43" s="2"/>
      <c r="E43" s="2"/>
      <c r="F43" s="2"/>
      <c r="G43" s="2"/>
      <c r="H43" s="2"/>
      <c r="I43" s="2"/>
    </row>
    <row r="44" spans="1:9" x14ac:dyDescent="0.4">
      <c r="A44" s="38">
        <v>38355</v>
      </c>
      <c r="B44" s="79">
        <v>38.11</v>
      </c>
      <c r="C44" s="81">
        <f t="shared" si="0"/>
        <v>0.17724394230416085</v>
      </c>
      <c r="D44" s="2"/>
      <c r="E44" s="2"/>
      <c r="F44" s="2"/>
      <c r="G44" s="2"/>
      <c r="H44" s="2"/>
      <c r="I44" s="2"/>
    </row>
    <row r="45" spans="1:9" x14ac:dyDescent="0.4">
      <c r="A45" s="38">
        <v>38384</v>
      </c>
      <c r="B45" s="79">
        <v>44.47</v>
      </c>
      <c r="C45" s="81">
        <f t="shared" si="0"/>
        <v>0.15433808963683626</v>
      </c>
      <c r="D45" s="2"/>
      <c r="E45" s="2"/>
      <c r="F45" s="2"/>
      <c r="G45" s="2"/>
      <c r="H45" s="2"/>
      <c r="I45" s="2"/>
    </row>
    <row r="46" spans="1:9" x14ac:dyDescent="0.4">
      <c r="A46" s="38">
        <v>38412</v>
      </c>
      <c r="B46" s="79">
        <v>41.3</v>
      </c>
      <c r="C46" s="81">
        <f t="shared" si="0"/>
        <v>-7.3952304555618006E-2</v>
      </c>
      <c r="D46" s="2"/>
      <c r="E46" s="2"/>
      <c r="F46" s="2"/>
      <c r="G46" s="2"/>
      <c r="H46" s="2"/>
      <c r="I46" s="2"/>
    </row>
    <row r="47" spans="1:9" x14ac:dyDescent="0.4">
      <c r="A47" s="38">
        <v>38443</v>
      </c>
      <c r="B47" s="79">
        <v>35.74</v>
      </c>
      <c r="C47" s="81">
        <f t="shared" si="0"/>
        <v>-0.14459199023570501</v>
      </c>
      <c r="D47" s="2"/>
      <c r="E47" s="2"/>
      <c r="F47" s="2"/>
      <c r="G47" s="2"/>
      <c r="H47" s="2"/>
      <c r="I47" s="2"/>
    </row>
    <row r="48" spans="1:9" x14ac:dyDescent="0.4">
      <c r="A48" s="38">
        <v>38474</v>
      </c>
      <c r="B48" s="79">
        <v>39.409999999999997</v>
      </c>
      <c r="C48" s="81">
        <f t="shared" si="0"/>
        <v>9.7749081475630176E-2</v>
      </c>
      <c r="D48" s="2"/>
      <c r="E48" s="2"/>
      <c r="F48" s="2"/>
      <c r="G48" s="2"/>
      <c r="H48" s="2"/>
      <c r="I48" s="2"/>
    </row>
    <row r="49" spans="1:9" x14ac:dyDescent="0.4">
      <c r="A49" s="38">
        <v>38504</v>
      </c>
      <c r="B49" s="79">
        <v>36.49</v>
      </c>
      <c r="C49" s="81">
        <f t="shared" si="0"/>
        <v>-7.6981340758555949E-2</v>
      </c>
      <c r="D49" s="2"/>
      <c r="E49" s="2"/>
      <c r="F49" s="2"/>
      <c r="G49" s="2"/>
      <c r="H49" s="2"/>
      <c r="I49" s="2"/>
    </row>
    <row r="50" spans="1:9" x14ac:dyDescent="0.4">
      <c r="A50" s="38">
        <v>38534</v>
      </c>
      <c r="B50" s="79">
        <v>42.27</v>
      </c>
      <c r="C50" s="81">
        <f t="shared" si="0"/>
        <v>0.14703936413034219</v>
      </c>
      <c r="D50" s="2"/>
      <c r="E50" s="2"/>
      <c r="F50" s="2"/>
      <c r="G50" s="2"/>
      <c r="H50" s="2"/>
      <c r="I50" s="2"/>
    </row>
    <row r="51" spans="1:9" x14ac:dyDescent="0.4">
      <c r="A51" s="38">
        <v>38565</v>
      </c>
      <c r="B51" s="79">
        <v>46.48</v>
      </c>
      <c r="C51" s="81">
        <f t="shared" si="0"/>
        <v>9.4944497964957145E-2</v>
      </c>
      <c r="D51" s="2"/>
      <c r="E51" s="2"/>
      <c r="F51" s="2"/>
      <c r="G51" s="2"/>
      <c r="H51" s="2"/>
      <c r="I51" s="2"/>
    </row>
    <row r="52" spans="1:9" x14ac:dyDescent="0.4">
      <c r="A52" s="38">
        <v>38596</v>
      </c>
      <c r="B52" s="79">
        <v>53.14</v>
      </c>
      <c r="C52" s="81">
        <f t="shared" si="0"/>
        <v>0.13390782778801172</v>
      </c>
      <c r="D52" s="2"/>
      <c r="E52" s="2"/>
      <c r="F52" s="2"/>
      <c r="G52" s="2"/>
      <c r="H52" s="2"/>
      <c r="I52" s="2"/>
    </row>
    <row r="53" spans="1:9" x14ac:dyDescent="0.4">
      <c r="A53" s="38">
        <v>38628</v>
      </c>
      <c r="B53" s="79">
        <v>57.08</v>
      </c>
      <c r="C53" s="81">
        <f t="shared" si="0"/>
        <v>7.1523852276968267E-2</v>
      </c>
      <c r="D53" s="2"/>
      <c r="E53" s="2"/>
      <c r="F53" s="2"/>
      <c r="G53" s="2"/>
      <c r="H53" s="2"/>
      <c r="I53" s="2"/>
    </row>
    <row r="54" spans="1:9" x14ac:dyDescent="0.4">
      <c r="A54" s="38">
        <v>38657</v>
      </c>
      <c r="B54" s="79">
        <v>67.22</v>
      </c>
      <c r="C54" s="81">
        <f t="shared" si="0"/>
        <v>0.16351702968832402</v>
      </c>
      <c r="D54" s="2"/>
      <c r="E54" s="2"/>
      <c r="F54" s="2"/>
      <c r="G54" s="2"/>
      <c r="H54" s="2"/>
      <c r="I54" s="2"/>
    </row>
    <row r="55" spans="1:9" x14ac:dyDescent="0.4">
      <c r="A55" s="38">
        <v>38687</v>
      </c>
      <c r="B55" s="79">
        <v>71.260000000000005</v>
      </c>
      <c r="C55" s="81">
        <f t="shared" si="0"/>
        <v>5.8364337880730435E-2</v>
      </c>
      <c r="D55" s="2"/>
      <c r="E55" s="2"/>
      <c r="F55" s="2"/>
      <c r="G55" s="2"/>
      <c r="H55" s="2"/>
      <c r="I55" s="2"/>
    </row>
    <row r="56" spans="1:9" x14ac:dyDescent="0.4">
      <c r="A56" s="38">
        <v>38720</v>
      </c>
      <c r="B56" s="79">
        <v>74.849999999999994</v>
      </c>
      <c r="C56" s="81">
        <f t="shared" si="0"/>
        <v>4.9150950687947254E-2</v>
      </c>
      <c r="D56" s="2"/>
      <c r="E56" s="2"/>
      <c r="F56" s="2"/>
      <c r="G56" s="2"/>
      <c r="H56" s="2"/>
      <c r="I56" s="2"/>
    </row>
    <row r="57" spans="1:9" x14ac:dyDescent="0.4">
      <c r="A57" s="38">
        <v>38749</v>
      </c>
      <c r="B57" s="79">
        <v>67.89</v>
      </c>
      <c r="C57" s="81">
        <f t="shared" si="0"/>
        <v>-9.7597362552081568E-2</v>
      </c>
      <c r="D57" s="2"/>
      <c r="E57" s="2"/>
      <c r="F57" s="2"/>
      <c r="G57" s="2"/>
      <c r="H57" s="2"/>
      <c r="I57" s="2"/>
    </row>
    <row r="58" spans="1:9" x14ac:dyDescent="0.4">
      <c r="A58" s="38">
        <v>38777</v>
      </c>
      <c r="B58" s="79">
        <v>62.17</v>
      </c>
      <c r="C58" s="81">
        <f t="shared" si="0"/>
        <v>-8.8016180032309502E-2</v>
      </c>
      <c r="D58" s="2"/>
      <c r="E58" s="2"/>
      <c r="F58" s="2"/>
      <c r="G58" s="2"/>
      <c r="H58" s="2"/>
      <c r="I58" s="2"/>
    </row>
    <row r="59" spans="1:9" x14ac:dyDescent="0.4">
      <c r="A59" s="38">
        <v>38810</v>
      </c>
      <c r="B59" s="79">
        <v>69.77</v>
      </c>
      <c r="C59" s="81">
        <f t="shared" si="0"/>
        <v>0.11533154966989892</v>
      </c>
      <c r="D59" s="2"/>
      <c r="E59" s="2"/>
      <c r="F59" s="2"/>
      <c r="G59" s="2"/>
      <c r="H59" s="2"/>
      <c r="I59" s="2"/>
    </row>
    <row r="60" spans="1:9" x14ac:dyDescent="0.4">
      <c r="A60" s="38">
        <v>38838</v>
      </c>
      <c r="B60" s="79">
        <v>59.24</v>
      </c>
      <c r="C60" s="81">
        <f t="shared" si="0"/>
        <v>-0.16360712855154702</v>
      </c>
      <c r="D60" s="2"/>
      <c r="E60" s="2"/>
      <c r="F60" s="2"/>
      <c r="G60" s="2"/>
      <c r="H60" s="2"/>
      <c r="I60" s="2"/>
    </row>
    <row r="61" spans="1:9" x14ac:dyDescent="0.4">
      <c r="A61" s="38">
        <v>38869</v>
      </c>
      <c r="B61" s="79">
        <v>56.77</v>
      </c>
      <c r="C61" s="81">
        <f t="shared" si="0"/>
        <v>-4.2588972216963172E-2</v>
      </c>
      <c r="D61" s="2"/>
      <c r="E61" s="2"/>
      <c r="F61" s="2"/>
      <c r="G61" s="2"/>
      <c r="H61" s="2"/>
      <c r="I61" s="2"/>
    </row>
    <row r="62" spans="1:9" x14ac:dyDescent="0.4">
      <c r="A62" s="38">
        <v>38901</v>
      </c>
      <c r="B62" s="79">
        <v>67.36</v>
      </c>
      <c r="C62" s="81">
        <f t="shared" si="0"/>
        <v>0.17104335275143639</v>
      </c>
      <c r="D62" s="2"/>
      <c r="E62" s="2"/>
      <c r="F62" s="2"/>
      <c r="G62" s="2"/>
      <c r="H62" s="2"/>
      <c r="I62" s="2"/>
    </row>
    <row r="63" spans="1:9" x14ac:dyDescent="0.4">
      <c r="A63" s="38">
        <v>38930</v>
      </c>
      <c r="B63" s="79">
        <v>67.25</v>
      </c>
      <c r="C63" s="81">
        <f t="shared" si="0"/>
        <v>-1.6343514521227913E-3</v>
      </c>
      <c r="D63" s="2"/>
      <c r="E63" s="2"/>
      <c r="F63" s="2"/>
      <c r="G63" s="2"/>
      <c r="H63" s="2"/>
      <c r="I63" s="2"/>
    </row>
    <row r="64" spans="1:9" x14ac:dyDescent="0.4">
      <c r="A64" s="38">
        <v>38961</v>
      </c>
      <c r="B64" s="79">
        <v>76.3</v>
      </c>
      <c r="C64" s="81">
        <f t="shared" si="0"/>
        <v>0.12625591980846285</v>
      </c>
      <c r="D64" s="2"/>
      <c r="E64" s="2"/>
      <c r="F64" s="2"/>
      <c r="G64" s="2"/>
      <c r="H64" s="2"/>
      <c r="I64" s="2"/>
    </row>
    <row r="65" spans="1:9" x14ac:dyDescent="0.4">
      <c r="A65" s="38">
        <v>38992</v>
      </c>
      <c r="B65" s="79">
        <v>80.37</v>
      </c>
      <c r="C65" s="81">
        <f t="shared" si="0"/>
        <v>5.1968033934215778E-2</v>
      </c>
      <c r="D65" s="2"/>
      <c r="E65" s="2"/>
      <c r="F65" s="2"/>
      <c r="G65" s="2"/>
      <c r="H65" s="2"/>
      <c r="I65" s="2"/>
    </row>
    <row r="66" spans="1:9" x14ac:dyDescent="0.4">
      <c r="A66" s="38">
        <v>39022</v>
      </c>
      <c r="B66" s="79">
        <v>90.85</v>
      </c>
      <c r="C66" s="81">
        <f t="shared" si="0"/>
        <v>0.12256882261755304</v>
      </c>
      <c r="D66" s="2"/>
      <c r="E66" s="2"/>
      <c r="F66" s="2"/>
      <c r="G66" s="2"/>
      <c r="H66" s="2"/>
      <c r="I66" s="2"/>
    </row>
    <row r="67" spans="1:9" x14ac:dyDescent="0.4">
      <c r="A67" s="38">
        <v>39052</v>
      </c>
      <c r="B67" s="79">
        <v>84.09</v>
      </c>
      <c r="C67" s="81">
        <f t="shared" si="0"/>
        <v>-7.7322140997373445E-2</v>
      </c>
      <c r="D67" s="2"/>
      <c r="E67" s="2"/>
      <c r="F67" s="2"/>
      <c r="G67" s="2"/>
      <c r="H67" s="2"/>
      <c r="I67" s="2"/>
    </row>
    <row r="68" spans="1:9" x14ac:dyDescent="0.4">
      <c r="A68" s="38">
        <v>39085</v>
      </c>
      <c r="B68" s="79">
        <v>84.98</v>
      </c>
      <c r="C68" s="81">
        <f t="shared" si="0"/>
        <v>1.0528280841858938E-2</v>
      </c>
      <c r="D68" s="2"/>
      <c r="E68" s="2"/>
      <c r="F68" s="2"/>
      <c r="G68" s="2"/>
      <c r="H68" s="2"/>
      <c r="I68" s="2"/>
    </row>
    <row r="69" spans="1:9" x14ac:dyDescent="0.4">
      <c r="A69" s="38">
        <v>39114</v>
      </c>
      <c r="B69" s="79">
        <v>83.87</v>
      </c>
      <c r="C69" s="81">
        <f t="shared" si="0"/>
        <v>-1.3147953690345344E-2</v>
      </c>
      <c r="D69" s="2"/>
      <c r="E69" s="2"/>
      <c r="F69" s="2"/>
      <c r="G69" s="2"/>
      <c r="H69" s="2"/>
      <c r="I69" s="2"/>
    </row>
    <row r="70" spans="1:9" x14ac:dyDescent="0.4">
      <c r="A70" s="38">
        <v>39142</v>
      </c>
      <c r="B70" s="79">
        <v>92.09</v>
      </c>
      <c r="C70" s="81">
        <f t="shared" ref="C70:C133" si="2">LN(B70/B69)</f>
        <v>9.3498378736955573E-2</v>
      </c>
      <c r="D70" s="2"/>
      <c r="E70" s="2"/>
      <c r="F70" s="2"/>
      <c r="G70" s="2"/>
      <c r="H70" s="2"/>
      <c r="I70" s="2"/>
    </row>
    <row r="71" spans="1:9" x14ac:dyDescent="0.4">
      <c r="A71" s="38">
        <v>39174</v>
      </c>
      <c r="B71" s="79">
        <v>98.92</v>
      </c>
      <c r="C71" s="81">
        <f t="shared" si="2"/>
        <v>7.154508291993969E-2</v>
      </c>
      <c r="D71" s="2"/>
      <c r="E71" s="2"/>
      <c r="F71" s="2"/>
      <c r="G71" s="2"/>
      <c r="H71" s="2"/>
      <c r="I71" s="2"/>
    </row>
    <row r="72" spans="1:9" x14ac:dyDescent="0.4">
      <c r="A72" s="38">
        <v>39203</v>
      </c>
      <c r="B72" s="79">
        <v>120.12</v>
      </c>
      <c r="C72" s="81">
        <f t="shared" si="2"/>
        <v>0.19417980046191416</v>
      </c>
      <c r="D72" s="2"/>
      <c r="E72" s="2"/>
      <c r="F72" s="2"/>
      <c r="G72" s="2"/>
      <c r="H72" s="2"/>
      <c r="I72" s="2"/>
    </row>
    <row r="73" spans="1:9" x14ac:dyDescent="0.4">
      <c r="A73" s="38">
        <v>39234</v>
      </c>
      <c r="B73" s="79">
        <v>120.97</v>
      </c>
      <c r="C73" s="81">
        <f t="shared" si="2"/>
        <v>7.0513378566272938E-3</v>
      </c>
      <c r="D73" s="2"/>
      <c r="E73" s="2"/>
      <c r="F73" s="2"/>
      <c r="G73" s="2"/>
      <c r="H73" s="2"/>
      <c r="I73" s="2"/>
    </row>
    <row r="74" spans="1:9" x14ac:dyDescent="0.4">
      <c r="A74" s="38">
        <v>39265</v>
      </c>
      <c r="B74" s="79">
        <v>130.6</v>
      </c>
      <c r="C74" s="81">
        <f t="shared" si="2"/>
        <v>7.6596635870573734E-2</v>
      </c>
      <c r="D74" s="2"/>
      <c r="E74" s="2"/>
      <c r="F74" s="2"/>
      <c r="G74" s="2"/>
      <c r="H74" s="2"/>
      <c r="I74" s="2"/>
    </row>
    <row r="75" spans="1:9" x14ac:dyDescent="0.4">
      <c r="A75" s="38">
        <v>39295</v>
      </c>
      <c r="B75" s="79">
        <v>137.26</v>
      </c>
      <c r="C75" s="81">
        <f t="shared" si="2"/>
        <v>4.9737720638157984E-2</v>
      </c>
      <c r="D75" s="2"/>
      <c r="E75" s="2"/>
      <c r="F75" s="2"/>
      <c r="G75" s="2"/>
      <c r="H75" s="2"/>
      <c r="I75" s="2"/>
    </row>
    <row r="76" spans="1:9" x14ac:dyDescent="0.4">
      <c r="A76" s="38">
        <v>39329</v>
      </c>
      <c r="B76" s="79">
        <v>152.12</v>
      </c>
      <c r="C76" s="81">
        <f t="shared" si="2"/>
        <v>0.10279274557957034</v>
      </c>
      <c r="D76" s="2"/>
      <c r="E76" s="2"/>
      <c r="F76" s="2"/>
      <c r="G76" s="2"/>
      <c r="H76" s="2"/>
      <c r="I76" s="2"/>
    </row>
    <row r="77" spans="1:9" x14ac:dyDescent="0.4">
      <c r="A77" s="38">
        <v>39356</v>
      </c>
      <c r="B77" s="79">
        <v>188.28</v>
      </c>
      <c r="C77" s="81">
        <f t="shared" si="2"/>
        <v>0.2132605334728826</v>
      </c>
      <c r="D77" s="2"/>
      <c r="E77" s="2"/>
      <c r="F77" s="2"/>
      <c r="G77" s="2"/>
      <c r="H77" s="2"/>
      <c r="I77" s="2"/>
    </row>
    <row r="78" spans="1:9" x14ac:dyDescent="0.4">
      <c r="A78" s="38">
        <v>39387</v>
      </c>
      <c r="B78" s="79">
        <v>180.62</v>
      </c>
      <c r="C78" s="81">
        <f t="shared" si="2"/>
        <v>-4.1534839710288839E-2</v>
      </c>
      <c r="D78" s="2"/>
      <c r="E78" s="2"/>
      <c r="F78" s="2"/>
      <c r="G78" s="2"/>
      <c r="H78" s="2"/>
      <c r="I78" s="2"/>
    </row>
    <row r="79" spans="1:9" x14ac:dyDescent="0.4">
      <c r="A79" s="38">
        <v>39419</v>
      </c>
      <c r="B79" s="79">
        <v>196.34</v>
      </c>
      <c r="C79" s="81">
        <f t="shared" si="2"/>
        <v>8.3452473441722616E-2</v>
      </c>
      <c r="D79" s="2"/>
      <c r="E79" s="2"/>
      <c r="F79" s="2"/>
      <c r="G79" s="2"/>
      <c r="H79" s="2"/>
      <c r="I79" s="2"/>
    </row>
    <row r="80" spans="1:9" x14ac:dyDescent="0.4">
      <c r="A80" s="38">
        <v>39449</v>
      </c>
      <c r="B80" s="79">
        <v>134.16999999999999</v>
      </c>
      <c r="C80" s="81">
        <f t="shared" si="2"/>
        <v>-0.38074019766199513</v>
      </c>
      <c r="D80" s="2"/>
      <c r="E80" s="2"/>
      <c r="F80" s="2"/>
      <c r="G80" s="2"/>
      <c r="H80" s="2"/>
      <c r="I80" s="2"/>
    </row>
    <row r="81" spans="1:9" x14ac:dyDescent="0.4">
      <c r="A81" s="38">
        <v>39479</v>
      </c>
      <c r="B81" s="79">
        <v>123.92</v>
      </c>
      <c r="C81" s="81">
        <f t="shared" si="2"/>
        <v>-7.9471456493766968E-2</v>
      </c>
      <c r="D81" s="2"/>
      <c r="E81" s="2"/>
      <c r="F81" s="2"/>
      <c r="G81" s="2"/>
      <c r="H81" s="2"/>
      <c r="I81" s="2"/>
    </row>
    <row r="82" spans="1:9" x14ac:dyDescent="0.4">
      <c r="A82" s="38">
        <v>39510</v>
      </c>
      <c r="B82" s="79">
        <v>142.24</v>
      </c>
      <c r="C82" s="81">
        <f t="shared" si="2"/>
        <v>0.13787957565698139</v>
      </c>
      <c r="D82" s="2"/>
      <c r="E82" s="2"/>
      <c r="F82" s="2"/>
      <c r="G82" s="2"/>
      <c r="H82" s="2"/>
      <c r="I82" s="2"/>
    </row>
    <row r="83" spans="1:9" x14ac:dyDescent="0.4">
      <c r="A83" s="38">
        <v>39539</v>
      </c>
      <c r="B83" s="79">
        <v>172.42</v>
      </c>
      <c r="C83" s="81">
        <f t="shared" si="2"/>
        <v>0.19241758901618444</v>
      </c>
      <c r="D83" s="2"/>
      <c r="E83" s="2"/>
      <c r="F83" s="2"/>
      <c r="G83" s="2"/>
      <c r="H83" s="2"/>
      <c r="I83" s="2"/>
    </row>
    <row r="84" spans="1:9" x14ac:dyDescent="0.4">
      <c r="A84" s="38">
        <v>39569</v>
      </c>
      <c r="B84" s="79">
        <v>187.09</v>
      </c>
      <c r="C84" s="81">
        <f t="shared" si="2"/>
        <v>8.1656423715548404E-2</v>
      </c>
      <c r="D84" s="2"/>
      <c r="E84" s="2"/>
      <c r="F84" s="2"/>
      <c r="G84" s="2"/>
      <c r="H84" s="2"/>
      <c r="I84" s="2"/>
    </row>
    <row r="85" spans="1:9" x14ac:dyDescent="0.4">
      <c r="A85" s="38">
        <v>39601</v>
      </c>
      <c r="B85" s="79">
        <v>165.97</v>
      </c>
      <c r="C85" s="81">
        <f t="shared" si="2"/>
        <v>-0.11978273536469983</v>
      </c>
      <c r="D85" s="2"/>
      <c r="E85" s="2"/>
      <c r="F85" s="2"/>
      <c r="G85" s="2"/>
      <c r="H85" s="2"/>
      <c r="I85" s="2"/>
    </row>
    <row r="86" spans="1:9" x14ac:dyDescent="0.4">
      <c r="A86" s="38">
        <v>39630</v>
      </c>
      <c r="B86" s="79">
        <v>157.55000000000001</v>
      </c>
      <c r="C86" s="81">
        <f t="shared" si="2"/>
        <v>-5.2064180929343763E-2</v>
      </c>
      <c r="D86" s="2"/>
      <c r="E86" s="2"/>
      <c r="F86" s="2"/>
      <c r="G86" s="2"/>
      <c r="H86" s="2"/>
      <c r="I86" s="2"/>
    </row>
    <row r="87" spans="1:9" x14ac:dyDescent="0.4">
      <c r="A87" s="38">
        <v>39661</v>
      </c>
      <c r="B87" s="79">
        <v>168.04</v>
      </c>
      <c r="C87" s="81">
        <f t="shared" si="2"/>
        <v>6.4459178097897585E-2</v>
      </c>
      <c r="D87" s="2"/>
      <c r="E87" s="2"/>
      <c r="F87" s="2"/>
      <c r="G87" s="2"/>
      <c r="H87" s="2"/>
      <c r="I87" s="2"/>
    </row>
    <row r="88" spans="1:9" x14ac:dyDescent="0.4">
      <c r="A88" s="38">
        <v>39693</v>
      </c>
      <c r="B88" s="79">
        <v>112.66</v>
      </c>
      <c r="C88" s="81">
        <f t="shared" si="2"/>
        <v>-0.39982761283461332</v>
      </c>
      <c r="D88" s="2"/>
      <c r="E88" s="2"/>
      <c r="F88" s="2"/>
      <c r="G88" s="2"/>
      <c r="H88" s="2"/>
      <c r="I88" s="2"/>
    </row>
    <row r="89" spans="1:9" x14ac:dyDescent="0.4">
      <c r="A89" s="38">
        <v>39722</v>
      </c>
      <c r="B89" s="79">
        <v>106.64</v>
      </c>
      <c r="C89" s="81">
        <f t="shared" si="2"/>
        <v>-5.4915757596114653E-2</v>
      </c>
      <c r="D89" s="2"/>
      <c r="E89" s="2"/>
      <c r="F89" s="2"/>
      <c r="G89" s="2"/>
      <c r="H89" s="2"/>
      <c r="I89" s="2"/>
    </row>
    <row r="90" spans="1:9" x14ac:dyDescent="0.4">
      <c r="A90" s="38">
        <v>39755</v>
      </c>
      <c r="B90" s="79">
        <v>91.85</v>
      </c>
      <c r="C90" s="81">
        <f t="shared" si="2"/>
        <v>-0.14930186420931865</v>
      </c>
      <c r="D90" s="2"/>
      <c r="E90" s="2"/>
      <c r="F90" s="2"/>
      <c r="G90" s="2"/>
      <c r="H90" s="2"/>
      <c r="I90" s="2"/>
    </row>
    <row r="91" spans="1:9" x14ac:dyDescent="0.4">
      <c r="A91" s="38">
        <v>39783</v>
      </c>
      <c r="B91" s="79">
        <v>84.6</v>
      </c>
      <c r="C91" s="81">
        <f t="shared" si="2"/>
        <v>-8.222254504895711E-2</v>
      </c>
      <c r="D91" s="2"/>
      <c r="E91" s="2"/>
      <c r="F91" s="2"/>
      <c r="G91" s="2"/>
      <c r="H91" s="2"/>
      <c r="I91" s="2"/>
    </row>
    <row r="92" spans="1:9" x14ac:dyDescent="0.4">
      <c r="A92" s="38">
        <v>39815</v>
      </c>
      <c r="B92" s="79">
        <v>89.34</v>
      </c>
      <c r="C92" s="81">
        <f t="shared" si="2"/>
        <v>5.4515049311795155E-2</v>
      </c>
      <c r="D92" s="2"/>
      <c r="E92" s="2"/>
      <c r="F92" s="2"/>
      <c r="G92" s="2"/>
      <c r="H92" s="2"/>
      <c r="I92" s="2"/>
    </row>
    <row r="93" spans="1:9" x14ac:dyDescent="0.4">
      <c r="A93" s="38">
        <v>39846</v>
      </c>
      <c r="B93" s="79">
        <v>88.52</v>
      </c>
      <c r="C93" s="81">
        <f t="shared" si="2"/>
        <v>-9.2208007411237816E-3</v>
      </c>
      <c r="D93" s="2"/>
      <c r="E93" s="2"/>
      <c r="F93" s="2"/>
      <c r="G93" s="2"/>
      <c r="H93" s="2"/>
      <c r="I93" s="2"/>
    </row>
    <row r="94" spans="1:9" x14ac:dyDescent="0.4">
      <c r="A94" s="38">
        <v>39874</v>
      </c>
      <c r="B94" s="79">
        <v>104.19</v>
      </c>
      <c r="C94" s="81">
        <f t="shared" si="2"/>
        <v>0.16298764024124343</v>
      </c>
      <c r="D94" s="2"/>
      <c r="E94" s="2"/>
      <c r="F94" s="2"/>
      <c r="G94" s="2"/>
      <c r="H94" s="2"/>
      <c r="I94" s="2"/>
    </row>
    <row r="95" spans="1:9" x14ac:dyDescent="0.4">
      <c r="A95" s="38">
        <v>39904</v>
      </c>
      <c r="B95" s="79">
        <v>124.72</v>
      </c>
      <c r="C95" s="81">
        <f t="shared" si="2"/>
        <v>0.1798550693254288</v>
      </c>
      <c r="D95" s="2"/>
      <c r="E95" s="2"/>
      <c r="F95" s="2"/>
      <c r="G95" s="2"/>
      <c r="H95" s="2"/>
      <c r="I95" s="2"/>
    </row>
    <row r="96" spans="1:9" x14ac:dyDescent="0.4">
      <c r="A96" s="38">
        <v>39934</v>
      </c>
      <c r="B96" s="79">
        <v>134.61000000000001</v>
      </c>
      <c r="C96" s="81">
        <f t="shared" si="2"/>
        <v>7.6310483906480653E-2</v>
      </c>
      <c r="D96" s="2"/>
      <c r="E96" s="2"/>
      <c r="F96" s="2"/>
      <c r="G96" s="2"/>
      <c r="H96" s="2"/>
      <c r="I96" s="2"/>
    </row>
    <row r="97" spans="1:9" x14ac:dyDescent="0.4">
      <c r="A97" s="38">
        <v>39965</v>
      </c>
      <c r="B97" s="79">
        <v>141.18</v>
      </c>
      <c r="C97" s="81">
        <f t="shared" si="2"/>
        <v>4.7653963311324474E-2</v>
      </c>
      <c r="D97" s="2"/>
      <c r="E97" s="2"/>
      <c r="F97" s="2"/>
      <c r="G97" s="2"/>
      <c r="H97" s="2"/>
      <c r="I97" s="2"/>
    </row>
    <row r="98" spans="1:9" x14ac:dyDescent="0.4">
      <c r="A98" s="38">
        <v>39995</v>
      </c>
      <c r="B98" s="79">
        <v>161.94999999999999</v>
      </c>
      <c r="C98" s="81">
        <f t="shared" si="2"/>
        <v>0.13725197365001213</v>
      </c>
      <c r="D98" s="2"/>
      <c r="E98" s="2"/>
      <c r="F98" s="2"/>
      <c r="G98" s="2"/>
      <c r="H98" s="2"/>
      <c r="I98" s="2"/>
    </row>
    <row r="99" spans="1:9" x14ac:dyDescent="0.4">
      <c r="A99" s="38">
        <v>40028</v>
      </c>
      <c r="B99" s="79">
        <v>166.73</v>
      </c>
      <c r="C99" s="81">
        <f t="shared" si="2"/>
        <v>2.9088091955029111E-2</v>
      </c>
      <c r="D99" s="2"/>
      <c r="E99" s="2"/>
      <c r="F99" s="2"/>
      <c r="G99" s="2"/>
      <c r="H99" s="2"/>
      <c r="I99" s="2"/>
    </row>
    <row r="100" spans="1:9" x14ac:dyDescent="0.4">
      <c r="A100" s="38">
        <v>40057</v>
      </c>
      <c r="B100" s="79">
        <v>183.72</v>
      </c>
      <c r="C100" s="81">
        <f t="shared" si="2"/>
        <v>9.7037121885225189E-2</v>
      </c>
      <c r="D100" s="2"/>
      <c r="E100" s="2"/>
      <c r="F100" s="2"/>
      <c r="G100" s="2"/>
      <c r="H100" s="2"/>
      <c r="I100" s="2"/>
    </row>
    <row r="101" spans="1:9" x14ac:dyDescent="0.4">
      <c r="A101" s="38">
        <v>40087</v>
      </c>
      <c r="B101" s="79">
        <v>186.84</v>
      </c>
      <c r="C101" s="81">
        <f t="shared" si="2"/>
        <v>1.6839776176314703E-2</v>
      </c>
      <c r="D101" s="2"/>
      <c r="E101" s="2"/>
      <c r="F101" s="2"/>
      <c r="G101" s="2"/>
      <c r="H101" s="2"/>
      <c r="I101" s="2"/>
    </row>
    <row r="102" spans="1:9" x14ac:dyDescent="0.4">
      <c r="A102" s="38">
        <v>40119</v>
      </c>
      <c r="B102" s="79">
        <v>198.15</v>
      </c>
      <c r="C102" s="81">
        <f t="shared" si="2"/>
        <v>5.8771684002536725E-2</v>
      </c>
      <c r="D102" s="2"/>
      <c r="E102" s="2"/>
      <c r="F102" s="2"/>
      <c r="G102" s="2"/>
      <c r="H102" s="2"/>
      <c r="I102" s="2"/>
    </row>
    <row r="103" spans="1:9" x14ac:dyDescent="0.4">
      <c r="A103" s="38">
        <v>40148</v>
      </c>
      <c r="B103" s="79">
        <v>208.88</v>
      </c>
      <c r="C103" s="81">
        <f t="shared" si="2"/>
        <v>5.2735604754429316E-2</v>
      </c>
      <c r="D103" s="2"/>
      <c r="E103" s="2"/>
      <c r="F103" s="2"/>
      <c r="G103" s="2"/>
      <c r="H103" s="2"/>
      <c r="I103" s="2"/>
    </row>
    <row r="104" spans="1:9" x14ac:dyDescent="0.4">
      <c r="A104" s="38">
        <v>40182</v>
      </c>
      <c r="B104" s="79">
        <v>190.37</v>
      </c>
      <c r="C104" s="81">
        <f t="shared" si="2"/>
        <v>-9.2790377473176006E-2</v>
      </c>
      <c r="D104" s="2"/>
      <c r="E104" s="2"/>
      <c r="F104" s="2"/>
      <c r="G104" s="2"/>
      <c r="H104" s="2"/>
      <c r="I104" s="2"/>
    </row>
    <row r="105" spans="1:9" x14ac:dyDescent="0.4">
      <c r="A105" s="38">
        <v>40210</v>
      </c>
      <c r="B105" s="79">
        <v>202.82</v>
      </c>
      <c r="C105" s="81">
        <f t="shared" si="2"/>
        <v>6.3349339266152882E-2</v>
      </c>
      <c r="D105" s="2"/>
      <c r="E105" s="2"/>
      <c r="F105" s="2"/>
      <c r="G105" s="2"/>
      <c r="H105" s="2"/>
      <c r="I105" s="2"/>
    </row>
    <row r="106" spans="1:9" x14ac:dyDescent="0.4">
      <c r="A106" s="38">
        <v>40238</v>
      </c>
      <c r="B106" s="79">
        <v>232.93</v>
      </c>
      <c r="C106" s="81">
        <f t="shared" si="2"/>
        <v>0.13841909305941275</v>
      </c>
      <c r="D106" s="2"/>
      <c r="E106" s="2"/>
      <c r="F106" s="2"/>
      <c r="G106" s="2"/>
      <c r="H106" s="2"/>
      <c r="I106" s="2"/>
    </row>
    <row r="107" spans="1:9" x14ac:dyDescent="0.4">
      <c r="A107" s="38">
        <v>40269</v>
      </c>
      <c r="B107" s="79">
        <v>258.79000000000002</v>
      </c>
      <c r="C107" s="81">
        <f t="shared" si="2"/>
        <v>0.10527894276059094</v>
      </c>
      <c r="D107" s="2"/>
      <c r="E107" s="2"/>
      <c r="F107" s="2"/>
      <c r="G107" s="2"/>
      <c r="H107" s="2"/>
      <c r="I107" s="2"/>
    </row>
    <row r="108" spans="1:9" x14ac:dyDescent="0.4">
      <c r="A108" s="38">
        <v>40301</v>
      </c>
      <c r="B108" s="79">
        <v>254.62</v>
      </c>
      <c r="C108" s="81">
        <f t="shared" si="2"/>
        <v>-1.6244684370354548E-2</v>
      </c>
      <c r="D108" s="2"/>
      <c r="E108" s="2"/>
      <c r="F108" s="2"/>
      <c r="G108" s="2"/>
      <c r="H108" s="2"/>
      <c r="I108" s="2"/>
    </row>
    <row r="109" spans="1:9" x14ac:dyDescent="0.4">
      <c r="A109" s="38">
        <v>40330</v>
      </c>
      <c r="B109" s="79">
        <v>249.32</v>
      </c>
      <c r="C109" s="81">
        <f t="shared" si="2"/>
        <v>-2.1035025692849561E-2</v>
      </c>
      <c r="D109" s="2"/>
      <c r="E109" s="2"/>
      <c r="F109" s="2"/>
      <c r="G109" s="2"/>
      <c r="H109" s="2"/>
      <c r="I109" s="2"/>
    </row>
    <row r="110" spans="1:9" x14ac:dyDescent="0.4">
      <c r="A110" s="38">
        <v>40360</v>
      </c>
      <c r="B110" s="79">
        <v>254.99</v>
      </c>
      <c r="C110" s="81">
        <f t="shared" si="2"/>
        <v>2.2487116762546659E-2</v>
      </c>
      <c r="D110" s="2"/>
      <c r="E110" s="2"/>
      <c r="F110" s="2"/>
      <c r="G110" s="2"/>
      <c r="H110" s="2"/>
      <c r="I110" s="2"/>
    </row>
    <row r="111" spans="1:9" x14ac:dyDescent="0.4">
      <c r="A111" s="38">
        <v>40392</v>
      </c>
      <c r="B111" s="79">
        <v>240.96</v>
      </c>
      <c r="C111" s="81">
        <f t="shared" si="2"/>
        <v>-5.6593384091667774E-2</v>
      </c>
      <c r="D111" s="2"/>
      <c r="E111" s="2"/>
      <c r="F111" s="2"/>
      <c r="G111" s="2"/>
      <c r="H111" s="2"/>
      <c r="I111" s="2"/>
    </row>
    <row r="112" spans="1:9" x14ac:dyDescent="0.4">
      <c r="A112" s="38">
        <v>40422</v>
      </c>
      <c r="B112" s="79">
        <v>281.25</v>
      </c>
      <c r="C112" s="81">
        <f t="shared" si="2"/>
        <v>0.15461300890710111</v>
      </c>
      <c r="D112" s="2"/>
      <c r="E112" s="2"/>
      <c r="F112" s="2"/>
      <c r="G112" s="2"/>
      <c r="H112" s="2"/>
      <c r="I112" s="2"/>
    </row>
    <row r="113" spans="1:9" x14ac:dyDescent="0.4">
      <c r="A113" s="38">
        <v>40452</v>
      </c>
      <c r="B113" s="79">
        <v>298.33</v>
      </c>
      <c r="C113" s="81">
        <f t="shared" si="2"/>
        <v>5.895630284133771E-2</v>
      </c>
      <c r="D113" s="2"/>
      <c r="E113" s="2"/>
      <c r="F113" s="2"/>
      <c r="G113" s="2"/>
      <c r="H113" s="2"/>
      <c r="I113" s="2"/>
    </row>
    <row r="114" spans="1:9" x14ac:dyDescent="0.4">
      <c r="A114" s="38">
        <v>40483</v>
      </c>
      <c r="B114" s="79">
        <v>308.41000000000003</v>
      </c>
      <c r="C114" s="81">
        <f t="shared" si="2"/>
        <v>3.322981022504487E-2</v>
      </c>
      <c r="D114" s="2"/>
      <c r="E114" s="2"/>
      <c r="F114" s="2"/>
      <c r="G114" s="2"/>
      <c r="H114" s="2"/>
      <c r="I114" s="2"/>
    </row>
    <row r="115" spans="1:9" x14ac:dyDescent="0.4">
      <c r="A115" s="38">
        <v>40513</v>
      </c>
      <c r="B115" s="79">
        <v>319.72000000000003</v>
      </c>
      <c r="C115" s="81">
        <f t="shared" si="2"/>
        <v>3.6015546172806112E-2</v>
      </c>
      <c r="D115" s="2"/>
      <c r="E115" s="2"/>
      <c r="F115" s="2"/>
      <c r="G115" s="2"/>
      <c r="H115" s="2"/>
      <c r="I115" s="2"/>
    </row>
    <row r="116" spans="1:9" x14ac:dyDescent="0.4">
      <c r="A116" s="38">
        <v>40546</v>
      </c>
      <c r="B116" s="79">
        <v>336.33</v>
      </c>
      <c r="C116" s="81">
        <f t="shared" si="2"/>
        <v>5.0647208075793537E-2</v>
      </c>
      <c r="D116" s="2"/>
      <c r="E116" s="2"/>
      <c r="F116" s="2"/>
      <c r="G116" s="2"/>
      <c r="H116" s="2"/>
      <c r="I116" s="2"/>
    </row>
    <row r="117" spans="1:9" x14ac:dyDescent="0.4">
      <c r="A117" s="38">
        <v>40575</v>
      </c>
      <c r="B117" s="79">
        <v>350.1</v>
      </c>
      <c r="C117" s="81">
        <f t="shared" si="2"/>
        <v>4.0126007127008263E-2</v>
      </c>
      <c r="D117" s="2"/>
      <c r="E117" s="2"/>
      <c r="F117" s="2"/>
      <c r="G117" s="2"/>
      <c r="H117" s="2"/>
      <c r="I117" s="2"/>
    </row>
    <row r="118" spans="1:9" x14ac:dyDescent="0.4">
      <c r="A118" s="38">
        <v>40603</v>
      </c>
      <c r="B118" s="79">
        <v>345.44</v>
      </c>
      <c r="C118" s="81">
        <f t="shared" si="2"/>
        <v>-1.3399861194122885E-2</v>
      </c>
      <c r="D118" s="2"/>
      <c r="E118" s="2"/>
      <c r="F118" s="2"/>
      <c r="G118" s="2"/>
      <c r="H118" s="2"/>
      <c r="I118" s="2"/>
    </row>
    <row r="119" spans="1:9" x14ac:dyDescent="0.4">
      <c r="A119" s="38">
        <v>40634</v>
      </c>
      <c r="B119" s="79">
        <v>347.05</v>
      </c>
      <c r="C119" s="81">
        <f t="shared" si="2"/>
        <v>4.6498950190954702E-3</v>
      </c>
      <c r="D119" s="2"/>
      <c r="E119" s="2"/>
      <c r="F119" s="2"/>
      <c r="G119" s="2"/>
      <c r="H119" s="2"/>
      <c r="I119" s="2"/>
    </row>
    <row r="120" spans="1:9" x14ac:dyDescent="0.4">
      <c r="A120" s="38">
        <v>40665</v>
      </c>
      <c r="B120" s="79">
        <v>344.77</v>
      </c>
      <c r="C120" s="81">
        <f t="shared" si="2"/>
        <v>-6.5913337419367408E-3</v>
      </c>
      <c r="D120" s="2"/>
      <c r="E120" s="2"/>
      <c r="F120" s="2"/>
      <c r="G120" s="2"/>
      <c r="H120" s="2"/>
      <c r="I120" s="2"/>
    </row>
    <row r="121" spans="1:9" x14ac:dyDescent="0.4">
      <c r="A121" s="38">
        <v>40695</v>
      </c>
      <c r="B121" s="79">
        <v>332.72</v>
      </c>
      <c r="C121" s="81">
        <f t="shared" si="2"/>
        <v>-3.5576232608999662E-2</v>
      </c>
      <c r="D121" s="2"/>
      <c r="E121" s="2"/>
      <c r="F121" s="2"/>
      <c r="G121" s="2"/>
      <c r="H121" s="2"/>
      <c r="I121" s="2"/>
    </row>
    <row r="122" spans="1:9" x14ac:dyDescent="0.4">
      <c r="A122" s="38">
        <v>40725</v>
      </c>
      <c r="B122" s="79">
        <v>387.04</v>
      </c>
      <c r="C122" s="81">
        <f t="shared" si="2"/>
        <v>0.15122675142706085</v>
      </c>
      <c r="D122" s="2"/>
      <c r="E122" s="2"/>
      <c r="F122" s="2"/>
      <c r="G122" s="2"/>
      <c r="H122" s="2"/>
      <c r="I122" s="2"/>
    </row>
    <row r="123" spans="1:9" x14ac:dyDescent="0.4">
      <c r="A123" s="38">
        <v>40756</v>
      </c>
      <c r="B123" s="79">
        <v>381.44</v>
      </c>
      <c r="C123" s="81">
        <f t="shared" si="2"/>
        <v>-1.4574482424786957E-2</v>
      </c>
      <c r="D123" s="2"/>
      <c r="E123" s="2"/>
      <c r="F123" s="2"/>
      <c r="G123" s="2"/>
      <c r="H123" s="2"/>
      <c r="I123" s="2"/>
    </row>
    <row r="124" spans="1:9" x14ac:dyDescent="0.4">
      <c r="A124" s="38">
        <v>40787</v>
      </c>
      <c r="B124" s="79">
        <v>377.96</v>
      </c>
      <c r="C124" s="81">
        <f t="shared" si="2"/>
        <v>-9.1651945225051795E-3</v>
      </c>
      <c r="D124" s="2"/>
      <c r="E124" s="2"/>
      <c r="F124" s="2"/>
      <c r="G124" s="2"/>
      <c r="H124" s="2"/>
      <c r="I124" s="2"/>
    </row>
    <row r="125" spans="1:9" x14ac:dyDescent="0.4">
      <c r="A125" s="38">
        <v>40819</v>
      </c>
      <c r="B125" s="79">
        <v>401.22</v>
      </c>
      <c r="C125" s="81">
        <f t="shared" si="2"/>
        <v>5.9721535379517118E-2</v>
      </c>
      <c r="D125" s="2"/>
      <c r="E125" s="2"/>
      <c r="F125" s="2"/>
      <c r="G125" s="2"/>
      <c r="H125" s="2"/>
      <c r="I125" s="2"/>
    </row>
    <row r="126" spans="1:9" x14ac:dyDescent="0.4">
      <c r="A126" s="38">
        <v>40848</v>
      </c>
      <c r="B126" s="79">
        <v>378.84</v>
      </c>
      <c r="C126" s="81">
        <f t="shared" si="2"/>
        <v>-5.7395952936041675E-2</v>
      </c>
      <c r="D126" s="2"/>
      <c r="E126" s="2"/>
      <c r="F126" s="2"/>
      <c r="G126" s="2"/>
      <c r="H126" s="2"/>
      <c r="I126" s="2"/>
    </row>
    <row r="127" spans="1:9" x14ac:dyDescent="0.4">
      <c r="A127" s="38">
        <v>40878</v>
      </c>
      <c r="B127" s="79">
        <v>401.44</v>
      </c>
      <c r="C127" s="81">
        <f t="shared" si="2"/>
        <v>5.7944130260211515E-2</v>
      </c>
      <c r="D127" s="2"/>
      <c r="E127" s="2"/>
      <c r="F127" s="2"/>
      <c r="G127" s="2"/>
      <c r="H127" s="2"/>
      <c r="I127" s="2"/>
    </row>
    <row r="128" spans="1:9" x14ac:dyDescent="0.4">
      <c r="A128" s="38">
        <v>40911</v>
      </c>
      <c r="B128" s="79">
        <v>452.46</v>
      </c>
      <c r="C128" s="81">
        <f t="shared" si="2"/>
        <v>0.11964127882449839</v>
      </c>
      <c r="D128" s="2"/>
      <c r="E128" s="2"/>
      <c r="F128" s="2"/>
      <c r="G128" s="2"/>
      <c r="H128" s="2"/>
      <c r="I128" s="2"/>
    </row>
    <row r="129" spans="1:9" x14ac:dyDescent="0.4">
      <c r="A129" s="38">
        <v>40940</v>
      </c>
      <c r="B129" s="79">
        <v>537.66999999999996</v>
      </c>
      <c r="C129" s="81">
        <f t="shared" si="2"/>
        <v>0.17254562762329329</v>
      </c>
      <c r="D129" s="2"/>
      <c r="E129" s="2"/>
      <c r="F129" s="2"/>
      <c r="G129" s="2"/>
      <c r="H129" s="2"/>
      <c r="I129" s="2"/>
    </row>
    <row r="130" spans="1:9" x14ac:dyDescent="0.4">
      <c r="A130" s="38">
        <v>40969</v>
      </c>
      <c r="B130" s="79">
        <v>594.27</v>
      </c>
      <c r="C130" s="81">
        <f t="shared" si="2"/>
        <v>0.10008877247679548</v>
      </c>
      <c r="D130" s="2"/>
      <c r="E130" s="2"/>
      <c r="F130" s="2"/>
      <c r="G130" s="2"/>
      <c r="H130" s="2"/>
      <c r="I130" s="2"/>
    </row>
    <row r="131" spans="1:9" x14ac:dyDescent="0.4">
      <c r="A131" s="38">
        <v>41001</v>
      </c>
      <c r="B131" s="79">
        <v>578.84</v>
      </c>
      <c r="C131" s="81">
        <f t="shared" si="2"/>
        <v>-2.6307660672907393E-2</v>
      </c>
      <c r="D131" s="2"/>
      <c r="E131" s="2"/>
      <c r="F131" s="2"/>
      <c r="G131" s="2"/>
      <c r="H131" s="2"/>
      <c r="I131" s="2"/>
    </row>
    <row r="132" spans="1:9" x14ac:dyDescent="0.4">
      <c r="A132" s="38">
        <v>41030</v>
      </c>
      <c r="B132" s="79">
        <v>572.64</v>
      </c>
      <c r="C132" s="81">
        <f t="shared" si="2"/>
        <v>-1.0768853852076338E-2</v>
      </c>
      <c r="D132" s="2"/>
      <c r="E132" s="2"/>
      <c r="F132" s="2"/>
      <c r="G132" s="2"/>
      <c r="H132" s="2"/>
      <c r="I132" s="2"/>
    </row>
    <row r="133" spans="1:9" x14ac:dyDescent="0.4">
      <c r="A133" s="38">
        <v>41061</v>
      </c>
      <c r="B133" s="79">
        <v>578.86</v>
      </c>
      <c r="C133" s="81">
        <f t="shared" si="2"/>
        <v>1.0803405117519954E-2</v>
      </c>
      <c r="D133" s="2"/>
      <c r="E133" s="2"/>
      <c r="F133" s="2"/>
      <c r="G133" s="2"/>
      <c r="H133" s="2"/>
      <c r="I133" s="2"/>
    </row>
    <row r="134" spans="1:9" x14ac:dyDescent="0.4">
      <c r="A134" s="38">
        <v>41092</v>
      </c>
      <c r="B134" s="79">
        <v>605.38</v>
      </c>
      <c r="C134" s="81">
        <f t="shared" ref="C134:C140" si="3">LN(B134/B133)</f>
        <v>4.4795707897431633E-2</v>
      </c>
      <c r="D134" s="2"/>
      <c r="E134" s="2"/>
      <c r="F134" s="2"/>
      <c r="G134" s="2"/>
      <c r="H134" s="2"/>
      <c r="I134" s="2"/>
    </row>
    <row r="135" spans="1:9" x14ac:dyDescent="0.4">
      <c r="A135" s="38">
        <v>41122</v>
      </c>
      <c r="B135" s="79">
        <v>662.22</v>
      </c>
      <c r="C135" s="81">
        <f t="shared" si="3"/>
        <v>8.974146698018047E-2</v>
      </c>
      <c r="D135" s="2"/>
      <c r="E135" s="2"/>
      <c r="F135" s="2"/>
      <c r="G135" s="2"/>
      <c r="H135" s="2"/>
      <c r="I135" s="2"/>
    </row>
    <row r="136" spans="1:9" x14ac:dyDescent="0.4">
      <c r="A136" s="38">
        <v>41156</v>
      </c>
      <c r="B136" s="79">
        <v>664.07</v>
      </c>
      <c r="C136" s="81">
        <f t="shared" si="3"/>
        <v>2.7897385938577138E-3</v>
      </c>
      <c r="D136" s="2"/>
      <c r="E136" s="2"/>
      <c r="F136" s="2"/>
      <c r="G136" s="2"/>
      <c r="H136" s="2"/>
      <c r="I136" s="2"/>
    </row>
    <row r="137" spans="1:9" x14ac:dyDescent="0.4">
      <c r="A137" s="38">
        <v>41183</v>
      </c>
      <c r="B137" s="79">
        <v>592.61</v>
      </c>
      <c r="C137" s="81">
        <f t="shared" si="3"/>
        <v>-0.11385105582055298</v>
      </c>
      <c r="D137" s="2"/>
      <c r="E137" s="2"/>
      <c r="F137" s="2"/>
      <c r="G137" s="2"/>
      <c r="H137" s="2"/>
      <c r="I137" s="2"/>
    </row>
    <row r="138" spans="1:9" x14ac:dyDescent="0.4">
      <c r="A138" s="38">
        <v>41214</v>
      </c>
      <c r="B138" s="79">
        <v>585.28</v>
      </c>
      <c r="C138" s="81">
        <f t="shared" si="3"/>
        <v>-1.244614458365159E-2</v>
      </c>
      <c r="D138" s="2"/>
      <c r="E138" s="2"/>
      <c r="F138" s="2"/>
      <c r="G138" s="2"/>
      <c r="H138" s="2"/>
      <c r="I138" s="2"/>
    </row>
    <row r="139" spans="1:9" x14ac:dyDescent="0.4">
      <c r="A139" s="38">
        <v>41246</v>
      </c>
      <c r="B139" s="79">
        <v>532.16999999999996</v>
      </c>
      <c r="C139" s="81">
        <f t="shared" si="3"/>
        <v>-9.5127378033543056E-2</v>
      </c>
      <c r="D139" s="2"/>
      <c r="E139" s="2"/>
      <c r="F139" s="2"/>
      <c r="G139" s="2"/>
      <c r="H139" s="2"/>
      <c r="I139" s="2"/>
    </row>
    <row r="140" spans="1:9" x14ac:dyDescent="0.4">
      <c r="A140" s="38">
        <v>41276</v>
      </c>
      <c r="B140" s="79">
        <v>523.51</v>
      </c>
      <c r="C140" s="81">
        <f t="shared" si="3"/>
        <v>-1.6406854844058287E-2</v>
      </c>
      <c r="D140" s="2"/>
      <c r="E140" s="2"/>
      <c r="F140" s="2"/>
      <c r="G140" s="2"/>
      <c r="H140" s="2"/>
      <c r="I140" s="2"/>
    </row>
  </sheetData>
  <mergeCells count="2">
    <mergeCell ref="A1:I1"/>
    <mergeCell ref="F2:H2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BAEA-D320-4154-999C-074B4510D88F}">
  <dimension ref="A1:I140"/>
  <sheetViews>
    <sheetView workbookViewId="0">
      <selection activeCell="K11" sqref="K11"/>
    </sheetView>
  </sheetViews>
  <sheetFormatPr defaultRowHeight="13.9" x14ac:dyDescent="0.4"/>
  <cols>
    <col min="1" max="1" width="10.3984375" customWidth="1"/>
  </cols>
  <sheetData>
    <row r="1" spans="1:9" ht="17.649999999999999" x14ac:dyDescent="0.5">
      <c r="A1" s="1" t="s">
        <v>77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/>
      <c r="B2" s="2"/>
      <c r="C2" s="2"/>
      <c r="D2" s="2"/>
      <c r="E2" s="2"/>
      <c r="F2" s="75" t="s">
        <v>78</v>
      </c>
      <c r="G2" s="75"/>
      <c r="H2" s="75"/>
      <c r="I2" s="2"/>
    </row>
    <row r="3" spans="1:9" x14ac:dyDescent="0.4">
      <c r="A3" s="76" t="s">
        <v>50</v>
      </c>
      <c r="B3" s="77" t="s">
        <v>79</v>
      </c>
      <c r="C3" s="6" t="s">
        <v>80</v>
      </c>
      <c r="D3" s="2"/>
      <c r="E3" s="2"/>
      <c r="F3" s="78" t="s">
        <v>50</v>
      </c>
      <c r="G3" s="22" t="s">
        <v>79</v>
      </c>
      <c r="H3" s="22" t="s">
        <v>80</v>
      </c>
      <c r="I3" s="2"/>
    </row>
    <row r="4" spans="1:9" x14ac:dyDescent="0.4">
      <c r="A4" s="38">
        <v>37141</v>
      </c>
      <c r="B4" s="79">
        <v>7.69</v>
      </c>
      <c r="C4" s="2"/>
      <c r="D4" s="2"/>
      <c r="E4" s="2"/>
      <c r="F4" s="80"/>
      <c r="G4" s="80"/>
      <c r="H4" s="80" t="s">
        <v>84</v>
      </c>
      <c r="I4" s="2"/>
    </row>
    <row r="5" spans="1:9" x14ac:dyDescent="0.4">
      <c r="A5" s="38">
        <v>37165</v>
      </c>
      <c r="B5" s="79">
        <v>8.6999999999999993</v>
      </c>
      <c r="C5" s="81">
        <f>LN(B5/B4)</f>
        <v>0.12340224214298533</v>
      </c>
      <c r="D5" s="2" t="str">
        <f ca="1">_xlfn.FORMULATEXT(C5)</f>
        <v>=LN(B5/B4)</v>
      </c>
      <c r="E5" s="2"/>
      <c r="F5" s="2"/>
      <c r="G5" s="2"/>
      <c r="H5" s="2"/>
      <c r="I5" s="2"/>
    </row>
    <row r="6" spans="1:9" x14ac:dyDescent="0.4">
      <c r="A6" s="38">
        <v>37196</v>
      </c>
      <c r="B6" s="79">
        <v>10.56</v>
      </c>
      <c r="C6" s="81">
        <f t="shared" ref="C6:C69" si="0">LN(B6/B5)</f>
        <v>0.19375025261757756</v>
      </c>
      <c r="D6" s="2"/>
      <c r="E6" s="2"/>
      <c r="F6" s="2" t="s">
        <v>64</v>
      </c>
      <c r="G6" s="81">
        <f>DAVERAGE(A3:C140,3,F3:H4)</f>
        <v>-1.7137590562669822E-2</v>
      </c>
      <c r="H6" s="2" t="str">
        <f ca="1">_xlfn.FORMULATEXT(G6)</f>
        <v>=DAVERAGE(A3:C140,3,F3:H4)</v>
      </c>
      <c r="I6" s="2"/>
    </row>
    <row r="7" spans="1:9" x14ac:dyDescent="0.4">
      <c r="A7" s="38">
        <v>37228</v>
      </c>
      <c r="B7" s="79">
        <v>10.85</v>
      </c>
      <c r="C7" s="81">
        <f t="shared" si="0"/>
        <v>2.7091801708353038E-2</v>
      </c>
      <c r="D7" s="2"/>
      <c r="E7" s="2"/>
      <c r="F7" s="2" t="s">
        <v>81</v>
      </c>
      <c r="G7" s="82">
        <f>DVAR(A3:C140,3,F3:H4)</f>
        <v>7.7916777657194057E-3</v>
      </c>
      <c r="H7" s="2" t="str">
        <f t="shared" ref="H7:H8" ca="1" si="1">_xlfn.FORMULATEXT(G7)</f>
        <v>=DVAR(A3:C140,3,F3:H4)</v>
      </c>
      <c r="I7" s="2"/>
    </row>
    <row r="8" spans="1:9" x14ac:dyDescent="0.4">
      <c r="A8" s="38">
        <v>37258</v>
      </c>
      <c r="B8" s="79">
        <v>12.25</v>
      </c>
      <c r="C8" s="81">
        <f t="shared" si="0"/>
        <v>0.12136085700426753</v>
      </c>
      <c r="D8" s="2"/>
      <c r="E8" s="2"/>
      <c r="F8" s="2" t="s">
        <v>82</v>
      </c>
      <c r="G8" s="81">
        <f>DSTDEV(A3:C140,3,F3:H4)</f>
        <v>8.8270480715352428E-2</v>
      </c>
      <c r="H8" s="2" t="str">
        <f t="shared" ca="1" si="1"/>
        <v>=DSTDEV(A3:C140,3,F3:H4)</v>
      </c>
      <c r="I8" s="2"/>
    </row>
    <row r="9" spans="1:9" x14ac:dyDescent="0.4">
      <c r="A9" s="38">
        <v>37288</v>
      </c>
      <c r="B9" s="79">
        <v>10.75</v>
      </c>
      <c r="C9" s="81">
        <f t="shared" si="0"/>
        <v>-0.13062018241706422</v>
      </c>
      <c r="D9" s="2"/>
      <c r="E9" s="2"/>
      <c r="F9" s="2"/>
      <c r="G9" s="2"/>
      <c r="H9" s="2"/>
      <c r="I9" s="2"/>
    </row>
    <row r="10" spans="1:9" x14ac:dyDescent="0.4">
      <c r="A10" s="38">
        <v>37316</v>
      </c>
      <c r="B10" s="79">
        <v>11.73</v>
      </c>
      <c r="C10" s="81">
        <f t="shared" si="0"/>
        <v>8.7243908091712286E-2</v>
      </c>
      <c r="D10" s="2"/>
      <c r="E10" s="2"/>
      <c r="F10" s="2"/>
      <c r="G10" s="2"/>
      <c r="H10" s="2"/>
      <c r="I10" s="2"/>
    </row>
    <row r="11" spans="1:9" x14ac:dyDescent="0.4">
      <c r="A11" s="38">
        <v>37347</v>
      </c>
      <c r="B11" s="79">
        <v>12.03</v>
      </c>
      <c r="C11" s="81">
        <f t="shared" si="0"/>
        <v>2.525386732120341E-2</v>
      </c>
      <c r="D11" s="2"/>
      <c r="E11" s="2"/>
      <c r="F11" s="2"/>
      <c r="G11" s="42"/>
      <c r="H11" s="2"/>
      <c r="I11" s="2"/>
    </row>
    <row r="12" spans="1:9" x14ac:dyDescent="0.4">
      <c r="A12" s="38">
        <v>37377</v>
      </c>
      <c r="B12" s="79">
        <v>11.55</v>
      </c>
      <c r="C12" s="81">
        <f t="shared" si="0"/>
        <v>-4.0718093018784804E-2</v>
      </c>
      <c r="D12" s="2"/>
      <c r="E12" s="2"/>
      <c r="F12" s="2"/>
      <c r="G12" s="2"/>
      <c r="H12" s="2"/>
      <c r="I12" s="2"/>
    </row>
    <row r="13" spans="1:9" x14ac:dyDescent="0.4">
      <c r="A13" s="38">
        <v>37410</v>
      </c>
      <c r="B13" s="79">
        <v>8.7799999999999994</v>
      </c>
      <c r="C13" s="81">
        <f t="shared" si="0"/>
        <v>-0.2742090293207774</v>
      </c>
      <c r="D13" s="2"/>
      <c r="E13" s="2"/>
      <c r="F13" s="2"/>
      <c r="G13" s="2"/>
      <c r="H13" s="2"/>
      <c r="I13" s="2"/>
    </row>
    <row r="14" spans="1:9" x14ac:dyDescent="0.4">
      <c r="A14" s="38">
        <v>37438</v>
      </c>
      <c r="B14" s="79">
        <v>7.56</v>
      </c>
      <c r="C14" s="81">
        <f t="shared" si="0"/>
        <v>-0.14960521745558364</v>
      </c>
      <c r="D14" s="2"/>
      <c r="E14" s="2"/>
      <c r="F14" s="2"/>
      <c r="G14" s="2"/>
      <c r="H14" s="2"/>
      <c r="I14" s="2"/>
    </row>
    <row r="15" spans="1:9" x14ac:dyDescent="0.4">
      <c r="A15" s="38">
        <v>37469</v>
      </c>
      <c r="B15" s="79">
        <v>7.31</v>
      </c>
      <c r="C15" s="81">
        <f t="shared" si="0"/>
        <v>-3.3627916429754448E-2</v>
      </c>
      <c r="D15" s="2"/>
      <c r="E15" s="2"/>
      <c r="F15" s="2"/>
      <c r="G15" s="2"/>
      <c r="H15" s="2"/>
      <c r="I15" s="2"/>
    </row>
    <row r="16" spans="1:9" x14ac:dyDescent="0.4">
      <c r="A16" s="38">
        <v>37502</v>
      </c>
      <c r="B16" s="79">
        <v>7.19</v>
      </c>
      <c r="C16" s="81">
        <f t="shared" si="0"/>
        <v>-1.6552102028731759E-2</v>
      </c>
      <c r="D16" s="2"/>
      <c r="E16" s="2"/>
      <c r="F16" s="2"/>
      <c r="G16" s="2"/>
      <c r="H16" s="2"/>
      <c r="I16" s="2"/>
    </row>
    <row r="17" spans="1:9" x14ac:dyDescent="0.4">
      <c r="A17" s="38">
        <v>37530</v>
      </c>
      <c r="B17" s="79">
        <v>7.96</v>
      </c>
      <c r="C17" s="81">
        <f t="shared" si="0"/>
        <v>0.1017378281233363</v>
      </c>
      <c r="D17" s="2"/>
      <c r="E17" s="2"/>
      <c r="F17" s="2"/>
      <c r="G17" s="2"/>
      <c r="H17" s="2"/>
      <c r="I17" s="2"/>
    </row>
    <row r="18" spans="1:9" x14ac:dyDescent="0.4">
      <c r="A18" s="38">
        <v>37561</v>
      </c>
      <c r="B18" s="79">
        <v>7.68</v>
      </c>
      <c r="C18" s="81">
        <f t="shared" si="0"/>
        <v>-3.5809452696710889E-2</v>
      </c>
      <c r="D18" s="2"/>
      <c r="E18" s="2"/>
      <c r="F18" s="2"/>
      <c r="G18" s="2"/>
      <c r="H18" s="2"/>
      <c r="I18" s="2"/>
    </row>
    <row r="19" spans="1:9" x14ac:dyDescent="0.4">
      <c r="A19" s="38">
        <v>37592</v>
      </c>
      <c r="B19" s="79">
        <v>7.1</v>
      </c>
      <c r="C19" s="81">
        <f t="shared" si="0"/>
        <v>-7.8524763112311102E-2</v>
      </c>
      <c r="D19" s="2"/>
      <c r="E19" s="2"/>
      <c r="F19" s="2"/>
      <c r="G19" s="2"/>
      <c r="H19" s="2"/>
      <c r="I19" s="2"/>
    </row>
    <row r="20" spans="1:9" x14ac:dyDescent="0.4">
      <c r="A20" s="38">
        <v>37623</v>
      </c>
      <c r="B20" s="79">
        <v>7.12</v>
      </c>
      <c r="C20" s="81">
        <f t="shared" si="0"/>
        <v>2.8129413766146577E-3</v>
      </c>
      <c r="D20" s="2"/>
      <c r="E20" s="2"/>
      <c r="F20" s="2"/>
      <c r="G20" s="2"/>
      <c r="H20" s="2"/>
      <c r="I20" s="2"/>
    </row>
    <row r="21" spans="1:9" x14ac:dyDescent="0.4">
      <c r="A21" s="38">
        <v>37655</v>
      </c>
      <c r="B21" s="79">
        <v>7.44</v>
      </c>
      <c r="C21" s="81">
        <f t="shared" si="0"/>
        <v>4.3963123421116204E-2</v>
      </c>
      <c r="D21" s="2"/>
      <c r="E21" s="2"/>
      <c r="F21" s="2"/>
      <c r="G21" s="2"/>
      <c r="H21" s="2"/>
      <c r="I21" s="2"/>
    </row>
    <row r="22" spans="1:9" x14ac:dyDescent="0.4">
      <c r="A22" s="38">
        <v>37683</v>
      </c>
      <c r="B22" s="79">
        <v>7.01</v>
      </c>
      <c r="C22" s="81">
        <f t="shared" si="0"/>
        <v>-5.9533147798501836E-2</v>
      </c>
      <c r="D22" s="2"/>
      <c r="E22" s="2"/>
      <c r="F22" s="2"/>
      <c r="G22" s="2"/>
      <c r="H22" s="2"/>
      <c r="I22" s="2"/>
    </row>
    <row r="23" spans="1:9" x14ac:dyDescent="0.4">
      <c r="A23" s="38">
        <v>37712</v>
      </c>
      <c r="B23" s="79">
        <v>7.05</v>
      </c>
      <c r="C23" s="81">
        <f t="shared" si="0"/>
        <v>5.689915777678676E-3</v>
      </c>
      <c r="D23" s="2"/>
      <c r="E23" s="2"/>
      <c r="F23" s="2"/>
      <c r="G23" s="2"/>
      <c r="H23" s="2"/>
      <c r="I23" s="2"/>
    </row>
    <row r="24" spans="1:9" x14ac:dyDescent="0.4">
      <c r="A24" s="38">
        <v>37742</v>
      </c>
      <c r="B24" s="79">
        <v>8.9</v>
      </c>
      <c r="C24" s="81">
        <f t="shared" si="0"/>
        <v>0.23302365991391691</v>
      </c>
      <c r="D24" s="2"/>
      <c r="E24" s="2"/>
      <c r="F24" s="2"/>
      <c r="G24" s="2"/>
      <c r="H24" s="2"/>
      <c r="I24" s="2"/>
    </row>
    <row r="25" spans="1:9" x14ac:dyDescent="0.4">
      <c r="A25" s="38">
        <v>37774</v>
      </c>
      <c r="B25" s="79">
        <v>9.4499999999999993</v>
      </c>
      <c r="C25" s="81">
        <f t="shared" si="0"/>
        <v>5.9963464767557061E-2</v>
      </c>
      <c r="D25" s="2"/>
      <c r="E25" s="2"/>
      <c r="F25" s="2"/>
      <c r="G25" s="2"/>
      <c r="H25" s="2"/>
      <c r="I25" s="2"/>
    </row>
    <row r="26" spans="1:9" x14ac:dyDescent="0.4">
      <c r="A26" s="38">
        <v>37803</v>
      </c>
      <c r="B26" s="79">
        <v>10.45</v>
      </c>
      <c r="C26" s="81">
        <f t="shared" si="0"/>
        <v>0.10058723690516862</v>
      </c>
      <c r="D26" s="2"/>
      <c r="E26" s="2"/>
      <c r="F26" s="2"/>
      <c r="G26" s="2"/>
      <c r="H26" s="2"/>
      <c r="I26" s="2"/>
    </row>
    <row r="27" spans="1:9" x14ac:dyDescent="0.4">
      <c r="A27" s="38">
        <v>37834</v>
      </c>
      <c r="B27" s="79">
        <v>11.21</v>
      </c>
      <c r="C27" s="81">
        <f t="shared" si="0"/>
        <v>7.0204258673248768E-2</v>
      </c>
      <c r="D27" s="2"/>
      <c r="E27" s="2"/>
      <c r="F27" s="2"/>
      <c r="G27" s="2"/>
      <c r="H27" s="2"/>
      <c r="I27" s="2"/>
    </row>
    <row r="28" spans="1:9" x14ac:dyDescent="0.4">
      <c r="A28" s="38">
        <v>37866</v>
      </c>
      <c r="B28" s="79">
        <v>10.27</v>
      </c>
      <c r="C28" s="81">
        <f t="shared" si="0"/>
        <v>-8.7579213143601758E-2</v>
      </c>
      <c r="D28" s="2"/>
      <c r="E28" s="2"/>
      <c r="F28" s="2"/>
      <c r="G28" s="2"/>
      <c r="H28" s="2"/>
      <c r="I28" s="2"/>
    </row>
    <row r="29" spans="1:9" x14ac:dyDescent="0.4">
      <c r="A29" s="38">
        <v>37895</v>
      </c>
      <c r="B29" s="79">
        <v>11.34</v>
      </c>
      <c r="C29" s="81">
        <f t="shared" si="0"/>
        <v>9.9109274359139202E-2</v>
      </c>
      <c r="D29" s="2"/>
      <c r="E29" s="2"/>
      <c r="F29" s="2"/>
      <c r="G29" s="2"/>
      <c r="H29" s="2"/>
      <c r="I29" s="2"/>
    </row>
    <row r="30" spans="1:9" x14ac:dyDescent="0.4">
      <c r="A30" s="38">
        <v>37928</v>
      </c>
      <c r="B30" s="79">
        <v>10.36</v>
      </c>
      <c r="C30" s="81">
        <f t="shared" si="0"/>
        <v>-9.0384061468269064E-2</v>
      </c>
      <c r="D30" s="2"/>
      <c r="E30" s="2"/>
      <c r="F30" s="2"/>
      <c r="G30" s="2"/>
      <c r="H30" s="2"/>
      <c r="I30" s="2"/>
    </row>
    <row r="31" spans="1:9" x14ac:dyDescent="0.4">
      <c r="A31" s="38">
        <v>37956</v>
      </c>
      <c r="B31" s="79">
        <v>10.59</v>
      </c>
      <c r="C31" s="81">
        <f t="shared" si="0"/>
        <v>2.1957922781978102E-2</v>
      </c>
      <c r="D31" s="2"/>
      <c r="E31" s="2"/>
      <c r="F31" s="2"/>
      <c r="G31" s="2"/>
      <c r="H31" s="2"/>
      <c r="I31" s="2"/>
    </row>
    <row r="32" spans="1:9" x14ac:dyDescent="0.4">
      <c r="A32" s="38">
        <v>37988</v>
      </c>
      <c r="B32" s="79">
        <v>11.18</v>
      </c>
      <c r="C32" s="81">
        <f t="shared" si="0"/>
        <v>5.4216308113637923E-2</v>
      </c>
      <c r="D32" s="2"/>
      <c r="E32" s="2"/>
      <c r="F32" s="2"/>
      <c r="G32" s="2"/>
      <c r="H32" s="2"/>
      <c r="I32" s="2"/>
    </row>
    <row r="33" spans="1:9" x14ac:dyDescent="0.4">
      <c r="A33" s="38">
        <v>38019</v>
      </c>
      <c r="B33" s="79">
        <v>11.85</v>
      </c>
      <c r="C33" s="81">
        <f t="shared" si="0"/>
        <v>5.8201399854187097E-2</v>
      </c>
      <c r="D33" s="2"/>
      <c r="E33" s="2"/>
      <c r="F33" s="2"/>
      <c r="G33" s="2"/>
      <c r="H33" s="2"/>
      <c r="I33" s="2"/>
    </row>
    <row r="34" spans="1:9" x14ac:dyDescent="0.4">
      <c r="A34" s="38">
        <v>38047</v>
      </c>
      <c r="B34" s="79">
        <v>13.4</v>
      </c>
      <c r="C34" s="81">
        <f t="shared" si="0"/>
        <v>0.12292683937572546</v>
      </c>
      <c r="D34" s="2"/>
      <c r="E34" s="2"/>
      <c r="F34" s="2"/>
      <c r="G34" s="2"/>
      <c r="H34" s="2"/>
      <c r="I34" s="2"/>
    </row>
    <row r="35" spans="1:9" x14ac:dyDescent="0.4">
      <c r="A35" s="38">
        <v>38078</v>
      </c>
      <c r="B35" s="79">
        <v>12.78</v>
      </c>
      <c r="C35" s="81">
        <f t="shared" si="0"/>
        <v>-4.7373258007477034E-2</v>
      </c>
      <c r="D35" s="2"/>
      <c r="E35" s="2"/>
      <c r="F35" s="2"/>
      <c r="G35" s="2"/>
      <c r="H35" s="2"/>
      <c r="I35" s="2"/>
    </row>
    <row r="36" spans="1:9" x14ac:dyDescent="0.4">
      <c r="A36" s="38">
        <v>38110</v>
      </c>
      <c r="B36" s="79">
        <v>13.91</v>
      </c>
      <c r="C36" s="81">
        <f t="shared" si="0"/>
        <v>8.4726556985962848E-2</v>
      </c>
      <c r="D36" s="2"/>
      <c r="E36" s="2"/>
      <c r="F36" s="2"/>
      <c r="G36" s="2"/>
      <c r="H36" s="2"/>
      <c r="I36" s="2"/>
    </row>
    <row r="37" spans="1:9" x14ac:dyDescent="0.4">
      <c r="A37" s="38">
        <v>38139</v>
      </c>
      <c r="B37" s="79">
        <v>16.13</v>
      </c>
      <c r="C37" s="81">
        <f t="shared" si="0"/>
        <v>0.14807288620176579</v>
      </c>
      <c r="D37" s="2"/>
      <c r="E37" s="2"/>
      <c r="F37" s="2"/>
      <c r="G37" s="2"/>
      <c r="H37" s="2"/>
      <c r="I37" s="2"/>
    </row>
    <row r="38" spans="1:9" x14ac:dyDescent="0.4">
      <c r="A38" s="38">
        <v>38169</v>
      </c>
      <c r="B38" s="79">
        <v>16.03</v>
      </c>
      <c r="C38" s="81">
        <f t="shared" si="0"/>
        <v>-6.2189255156557951E-3</v>
      </c>
      <c r="D38" s="2"/>
      <c r="E38" s="2"/>
      <c r="F38" s="2"/>
      <c r="G38" s="2"/>
      <c r="H38" s="2"/>
      <c r="I38" s="2"/>
    </row>
    <row r="39" spans="1:9" x14ac:dyDescent="0.4">
      <c r="A39" s="38">
        <v>38201</v>
      </c>
      <c r="B39" s="79">
        <v>17.09</v>
      </c>
      <c r="C39" s="81">
        <f t="shared" si="0"/>
        <v>6.4031530506037909E-2</v>
      </c>
      <c r="D39" s="2"/>
      <c r="E39" s="2"/>
      <c r="F39" s="2"/>
      <c r="G39" s="2"/>
      <c r="H39" s="2"/>
      <c r="I39" s="2"/>
    </row>
    <row r="40" spans="1:9" x14ac:dyDescent="0.4">
      <c r="A40" s="38">
        <v>38231</v>
      </c>
      <c r="B40" s="79">
        <v>19.2</v>
      </c>
      <c r="C40" s="81">
        <f t="shared" si="0"/>
        <v>0.11641678190623628</v>
      </c>
      <c r="D40" s="2"/>
      <c r="E40" s="2"/>
      <c r="F40" s="2"/>
      <c r="G40" s="2"/>
      <c r="H40" s="2"/>
      <c r="I40" s="2"/>
    </row>
    <row r="41" spans="1:9" x14ac:dyDescent="0.4">
      <c r="A41" s="38">
        <v>38261</v>
      </c>
      <c r="B41" s="79">
        <v>25.97</v>
      </c>
      <c r="C41" s="81">
        <f t="shared" si="0"/>
        <v>0.30203174664092119</v>
      </c>
      <c r="D41" s="2"/>
      <c r="E41" s="2"/>
      <c r="F41" s="2"/>
      <c r="G41" s="2"/>
      <c r="H41" s="2"/>
      <c r="I41" s="2"/>
    </row>
    <row r="42" spans="1:9" x14ac:dyDescent="0.4">
      <c r="A42" s="38">
        <v>38292</v>
      </c>
      <c r="B42" s="79">
        <v>33.229999999999997</v>
      </c>
      <c r="C42" s="81">
        <f t="shared" si="0"/>
        <v>0.24651105669184584</v>
      </c>
      <c r="D42" s="2"/>
      <c r="E42" s="2"/>
      <c r="F42" s="2"/>
      <c r="G42" s="2"/>
      <c r="H42" s="2"/>
      <c r="I42" s="2"/>
    </row>
    <row r="43" spans="1:9" x14ac:dyDescent="0.4">
      <c r="A43" s="38">
        <v>38322</v>
      </c>
      <c r="B43" s="79">
        <v>31.92</v>
      </c>
      <c r="C43" s="81">
        <f t="shared" si="0"/>
        <v>-4.0220309784894728E-2</v>
      </c>
      <c r="D43" s="2"/>
      <c r="E43" s="2"/>
      <c r="F43" s="2"/>
      <c r="G43" s="2"/>
      <c r="H43" s="2"/>
      <c r="I43" s="2"/>
    </row>
    <row r="44" spans="1:9" x14ac:dyDescent="0.4">
      <c r="A44" s="38">
        <v>38355</v>
      </c>
      <c r="B44" s="79">
        <v>38.11</v>
      </c>
      <c r="C44" s="81">
        <f t="shared" si="0"/>
        <v>0.17724394230416085</v>
      </c>
      <c r="D44" s="2"/>
      <c r="E44" s="2"/>
      <c r="F44" s="2"/>
      <c r="G44" s="2"/>
      <c r="H44" s="2"/>
      <c r="I44" s="2"/>
    </row>
    <row r="45" spans="1:9" x14ac:dyDescent="0.4">
      <c r="A45" s="38">
        <v>38384</v>
      </c>
      <c r="B45" s="79">
        <v>44.47</v>
      </c>
      <c r="C45" s="81">
        <f t="shared" si="0"/>
        <v>0.15433808963683626</v>
      </c>
      <c r="D45" s="2"/>
      <c r="E45" s="2"/>
      <c r="F45" s="2"/>
      <c r="G45" s="2"/>
      <c r="H45" s="2"/>
      <c r="I45" s="2"/>
    </row>
    <row r="46" spans="1:9" x14ac:dyDescent="0.4">
      <c r="A46" s="38">
        <v>38412</v>
      </c>
      <c r="B46" s="79">
        <v>41.3</v>
      </c>
      <c r="C46" s="81">
        <f t="shared" si="0"/>
        <v>-7.3952304555618006E-2</v>
      </c>
      <c r="D46" s="2"/>
      <c r="E46" s="2"/>
      <c r="F46" s="2"/>
      <c r="G46" s="2"/>
      <c r="H46" s="2"/>
      <c r="I46" s="2"/>
    </row>
    <row r="47" spans="1:9" x14ac:dyDescent="0.4">
      <c r="A47" s="38">
        <v>38443</v>
      </c>
      <c r="B47" s="79">
        <v>35.74</v>
      </c>
      <c r="C47" s="81">
        <f t="shared" si="0"/>
        <v>-0.14459199023570501</v>
      </c>
      <c r="D47" s="2"/>
      <c r="E47" s="2"/>
      <c r="F47" s="2"/>
      <c r="G47" s="2"/>
      <c r="H47" s="2"/>
      <c r="I47" s="2"/>
    </row>
    <row r="48" spans="1:9" x14ac:dyDescent="0.4">
      <c r="A48" s="38">
        <v>38474</v>
      </c>
      <c r="B48" s="79">
        <v>39.409999999999997</v>
      </c>
      <c r="C48" s="81">
        <f t="shared" si="0"/>
        <v>9.7749081475630176E-2</v>
      </c>
      <c r="D48" s="2"/>
      <c r="E48" s="2"/>
      <c r="F48" s="2"/>
      <c r="G48" s="2"/>
      <c r="H48" s="2"/>
      <c r="I48" s="2"/>
    </row>
    <row r="49" spans="1:9" x14ac:dyDescent="0.4">
      <c r="A49" s="38">
        <v>38504</v>
      </c>
      <c r="B49" s="79">
        <v>36.49</v>
      </c>
      <c r="C49" s="81">
        <f t="shared" si="0"/>
        <v>-7.6981340758555949E-2</v>
      </c>
      <c r="D49" s="2"/>
      <c r="E49" s="2"/>
      <c r="F49" s="2"/>
      <c r="G49" s="2"/>
      <c r="H49" s="2"/>
      <c r="I49" s="2"/>
    </row>
    <row r="50" spans="1:9" x14ac:dyDescent="0.4">
      <c r="A50" s="38">
        <v>38534</v>
      </c>
      <c r="B50" s="79">
        <v>42.27</v>
      </c>
      <c r="C50" s="81">
        <f t="shared" si="0"/>
        <v>0.14703936413034219</v>
      </c>
      <c r="D50" s="2"/>
      <c r="E50" s="2"/>
      <c r="F50" s="2"/>
      <c r="G50" s="2"/>
      <c r="H50" s="2"/>
      <c r="I50" s="2"/>
    </row>
    <row r="51" spans="1:9" x14ac:dyDescent="0.4">
      <c r="A51" s="38">
        <v>38565</v>
      </c>
      <c r="B51" s="79">
        <v>46.48</v>
      </c>
      <c r="C51" s="81">
        <f t="shared" si="0"/>
        <v>9.4944497964957145E-2</v>
      </c>
      <c r="D51" s="2"/>
      <c r="E51" s="2"/>
      <c r="F51" s="2"/>
      <c r="G51" s="2"/>
      <c r="H51" s="2"/>
      <c r="I51" s="2"/>
    </row>
    <row r="52" spans="1:9" x14ac:dyDescent="0.4">
      <c r="A52" s="38">
        <v>38596</v>
      </c>
      <c r="B52" s="79">
        <v>53.14</v>
      </c>
      <c r="C52" s="81">
        <f t="shared" si="0"/>
        <v>0.13390782778801172</v>
      </c>
      <c r="D52" s="2"/>
      <c r="E52" s="2"/>
      <c r="F52" s="2"/>
      <c r="G52" s="2"/>
      <c r="H52" s="2"/>
      <c r="I52" s="2"/>
    </row>
    <row r="53" spans="1:9" x14ac:dyDescent="0.4">
      <c r="A53" s="38">
        <v>38628</v>
      </c>
      <c r="B53" s="79">
        <v>57.08</v>
      </c>
      <c r="C53" s="81">
        <f t="shared" si="0"/>
        <v>7.1523852276968267E-2</v>
      </c>
      <c r="D53" s="2"/>
      <c r="E53" s="2"/>
      <c r="F53" s="2"/>
      <c r="G53" s="2"/>
      <c r="H53" s="2"/>
      <c r="I53" s="2"/>
    </row>
    <row r="54" spans="1:9" x14ac:dyDescent="0.4">
      <c r="A54" s="38">
        <v>38657</v>
      </c>
      <c r="B54" s="79">
        <v>67.22</v>
      </c>
      <c r="C54" s="81">
        <f t="shared" si="0"/>
        <v>0.16351702968832402</v>
      </c>
      <c r="D54" s="2"/>
      <c r="E54" s="2"/>
      <c r="F54" s="2"/>
      <c r="G54" s="2"/>
      <c r="H54" s="2"/>
      <c r="I54" s="2"/>
    </row>
    <row r="55" spans="1:9" x14ac:dyDescent="0.4">
      <c r="A55" s="38">
        <v>38687</v>
      </c>
      <c r="B55" s="79">
        <v>71.260000000000005</v>
      </c>
      <c r="C55" s="81">
        <f t="shared" si="0"/>
        <v>5.8364337880730435E-2</v>
      </c>
      <c r="D55" s="2"/>
      <c r="E55" s="2"/>
      <c r="F55" s="2"/>
      <c r="G55" s="2"/>
      <c r="H55" s="2"/>
      <c r="I55" s="2"/>
    </row>
    <row r="56" spans="1:9" x14ac:dyDescent="0.4">
      <c r="A56" s="38">
        <v>38720</v>
      </c>
      <c r="B56" s="79">
        <v>74.849999999999994</v>
      </c>
      <c r="C56" s="81">
        <f t="shared" si="0"/>
        <v>4.9150950687947254E-2</v>
      </c>
      <c r="D56" s="2"/>
      <c r="E56" s="2"/>
      <c r="F56" s="2"/>
      <c r="G56" s="2"/>
      <c r="H56" s="2"/>
      <c r="I56" s="2"/>
    </row>
    <row r="57" spans="1:9" x14ac:dyDescent="0.4">
      <c r="A57" s="38">
        <v>38749</v>
      </c>
      <c r="B57" s="79">
        <v>67.89</v>
      </c>
      <c r="C57" s="81">
        <f t="shared" si="0"/>
        <v>-9.7597362552081568E-2</v>
      </c>
      <c r="D57" s="2"/>
      <c r="E57" s="2"/>
      <c r="F57" s="2"/>
      <c r="G57" s="2"/>
      <c r="H57" s="2"/>
      <c r="I57" s="2"/>
    </row>
    <row r="58" spans="1:9" x14ac:dyDescent="0.4">
      <c r="A58" s="38">
        <v>38777</v>
      </c>
      <c r="B58" s="79">
        <v>62.17</v>
      </c>
      <c r="C58" s="81">
        <f t="shared" si="0"/>
        <v>-8.8016180032309502E-2</v>
      </c>
      <c r="D58" s="2"/>
      <c r="E58" s="2"/>
      <c r="F58" s="2"/>
      <c r="G58" s="2"/>
      <c r="H58" s="2"/>
      <c r="I58" s="2"/>
    </row>
    <row r="59" spans="1:9" x14ac:dyDescent="0.4">
      <c r="A59" s="38">
        <v>38810</v>
      </c>
      <c r="B59" s="79">
        <v>69.77</v>
      </c>
      <c r="C59" s="81">
        <f t="shared" si="0"/>
        <v>0.11533154966989892</v>
      </c>
      <c r="D59" s="2"/>
      <c r="E59" s="2"/>
      <c r="F59" s="2"/>
      <c r="G59" s="2"/>
      <c r="H59" s="2"/>
      <c r="I59" s="2"/>
    </row>
    <row r="60" spans="1:9" x14ac:dyDescent="0.4">
      <c r="A60" s="38">
        <v>38838</v>
      </c>
      <c r="B60" s="79">
        <v>59.24</v>
      </c>
      <c r="C60" s="81">
        <f t="shared" si="0"/>
        <v>-0.16360712855154702</v>
      </c>
      <c r="D60" s="2"/>
      <c r="E60" s="2"/>
      <c r="F60" s="2"/>
      <c r="G60" s="2"/>
      <c r="H60" s="2"/>
      <c r="I60" s="2"/>
    </row>
    <row r="61" spans="1:9" x14ac:dyDescent="0.4">
      <c r="A61" s="38">
        <v>38869</v>
      </c>
      <c r="B61" s="79">
        <v>56.77</v>
      </c>
      <c r="C61" s="81">
        <f t="shared" si="0"/>
        <v>-4.2588972216963172E-2</v>
      </c>
      <c r="D61" s="2"/>
      <c r="E61" s="2"/>
      <c r="F61" s="2"/>
      <c r="G61" s="2"/>
      <c r="H61" s="2"/>
      <c r="I61" s="2"/>
    </row>
    <row r="62" spans="1:9" x14ac:dyDescent="0.4">
      <c r="A62" s="38">
        <v>38901</v>
      </c>
      <c r="B62" s="79">
        <v>67.36</v>
      </c>
      <c r="C62" s="81">
        <f t="shared" si="0"/>
        <v>0.17104335275143639</v>
      </c>
      <c r="D62" s="2"/>
      <c r="E62" s="2"/>
      <c r="F62" s="2"/>
      <c r="G62" s="2"/>
      <c r="H62" s="2"/>
      <c r="I62" s="2"/>
    </row>
    <row r="63" spans="1:9" x14ac:dyDescent="0.4">
      <c r="A63" s="38">
        <v>38930</v>
      </c>
      <c r="B63" s="79">
        <v>67.25</v>
      </c>
      <c r="C63" s="81">
        <f t="shared" si="0"/>
        <v>-1.6343514521227913E-3</v>
      </c>
      <c r="D63" s="2"/>
      <c r="E63" s="2"/>
      <c r="F63" s="2"/>
      <c r="G63" s="2"/>
      <c r="H63" s="2"/>
      <c r="I63" s="2"/>
    </row>
    <row r="64" spans="1:9" x14ac:dyDescent="0.4">
      <c r="A64" s="38">
        <v>38961</v>
      </c>
      <c r="B64" s="79">
        <v>76.3</v>
      </c>
      <c r="C64" s="81">
        <f t="shared" si="0"/>
        <v>0.12625591980846285</v>
      </c>
      <c r="D64" s="2"/>
      <c r="E64" s="2"/>
      <c r="F64" s="2"/>
      <c r="G64" s="2"/>
      <c r="H64" s="2"/>
      <c r="I64" s="2"/>
    </row>
    <row r="65" spans="1:9" x14ac:dyDescent="0.4">
      <c r="A65" s="38">
        <v>38992</v>
      </c>
      <c r="B65" s="79">
        <v>80.37</v>
      </c>
      <c r="C65" s="81">
        <f t="shared" si="0"/>
        <v>5.1968033934215778E-2</v>
      </c>
      <c r="D65" s="2"/>
      <c r="E65" s="2"/>
      <c r="F65" s="2"/>
      <c r="G65" s="2"/>
      <c r="H65" s="2"/>
      <c r="I65" s="2"/>
    </row>
    <row r="66" spans="1:9" x14ac:dyDescent="0.4">
      <c r="A66" s="38">
        <v>39022</v>
      </c>
      <c r="B66" s="79">
        <v>90.85</v>
      </c>
      <c r="C66" s="81">
        <f t="shared" si="0"/>
        <v>0.12256882261755304</v>
      </c>
      <c r="D66" s="2"/>
      <c r="E66" s="2"/>
      <c r="F66" s="2"/>
      <c r="G66" s="2"/>
      <c r="H66" s="2"/>
      <c r="I66" s="2"/>
    </row>
    <row r="67" spans="1:9" x14ac:dyDescent="0.4">
      <c r="A67" s="38">
        <v>39052</v>
      </c>
      <c r="B67" s="79">
        <v>84.09</v>
      </c>
      <c r="C67" s="81">
        <f t="shared" si="0"/>
        <v>-7.7322140997373445E-2</v>
      </c>
      <c r="D67" s="2"/>
      <c r="E67" s="2"/>
      <c r="F67" s="2"/>
      <c r="G67" s="2"/>
      <c r="H67" s="2"/>
      <c r="I67" s="2"/>
    </row>
    <row r="68" spans="1:9" x14ac:dyDescent="0.4">
      <c r="A68" s="38">
        <v>39085</v>
      </c>
      <c r="B68" s="79">
        <v>84.98</v>
      </c>
      <c r="C68" s="81">
        <f t="shared" si="0"/>
        <v>1.0528280841858938E-2</v>
      </c>
      <c r="D68" s="2"/>
      <c r="E68" s="2"/>
      <c r="F68" s="2"/>
      <c r="G68" s="2"/>
      <c r="H68" s="2"/>
      <c r="I68" s="2"/>
    </row>
    <row r="69" spans="1:9" x14ac:dyDescent="0.4">
      <c r="A69" s="38">
        <v>39114</v>
      </c>
      <c r="B69" s="79">
        <v>83.87</v>
      </c>
      <c r="C69" s="81">
        <f t="shared" si="0"/>
        <v>-1.3147953690345344E-2</v>
      </c>
      <c r="D69" s="2"/>
      <c r="E69" s="2"/>
      <c r="F69" s="2"/>
      <c r="G69" s="2"/>
      <c r="H69" s="2"/>
      <c r="I69" s="2"/>
    </row>
    <row r="70" spans="1:9" x14ac:dyDescent="0.4">
      <c r="A70" s="38">
        <v>39142</v>
      </c>
      <c r="B70" s="79">
        <v>92.09</v>
      </c>
      <c r="C70" s="81">
        <f t="shared" ref="C70:C133" si="2">LN(B70/B69)</f>
        <v>9.3498378736955573E-2</v>
      </c>
      <c r="D70" s="2"/>
      <c r="E70" s="2"/>
      <c r="F70" s="2"/>
      <c r="G70" s="2"/>
      <c r="H70" s="2"/>
      <c r="I70" s="2"/>
    </row>
    <row r="71" spans="1:9" x14ac:dyDescent="0.4">
      <c r="A71" s="38">
        <v>39174</v>
      </c>
      <c r="B71" s="79">
        <v>98.92</v>
      </c>
      <c r="C71" s="81">
        <f t="shared" si="2"/>
        <v>7.154508291993969E-2</v>
      </c>
      <c r="D71" s="2"/>
      <c r="E71" s="2"/>
      <c r="F71" s="2"/>
      <c r="G71" s="2"/>
      <c r="H71" s="2"/>
      <c r="I71" s="2"/>
    </row>
    <row r="72" spans="1:9" x14ac:dyDescent="0.4">
      <c r="A72" s="38">
        <v>39203</v>
      </c>
      <c r="B72" s="79">
        <v>120.12</v>
      </c>
      <c r="C72" s="81">
        <f t="shared" si="2"/>
        <v>0.19417980046191416</v>
      </c>
      <c r="D72" s="2"/>
      <c r="E72" s="2"/>
      <c r="F72" s="2"/>
      <c r="G72" s="2"/>
      <c r="H72" s="2"/>
      <c r="I72" s="2"/>
    </row>
    <row r="73" spans="1:9" x14ac:dyDescent="0.4">
      <c r="A73" s="38">
        <v>39234</v>
      </c>
      <c r="B73" s="79">
        <v>120.97</v>
      </c>
      <c r="C73" s="81">
        <f t="shared" si="2"/>
        <v>7.0513378566272938E-3</v>
      </c>
      <c r="D73" s="2"/>
      <c r="E73" s="2"/>
      <c r="F73" s="2"/>
      <c r="G73" s="2"/>
      <c r="H73" s="2"/>
      <c r="I73" s="2"/>
    </row>
    <row r="74" spans="1:9" x14ac:dyDescent="0.4">
      <c r="A74" s="38">
        <v>39265</v>
      </c>
      <c r="B74" s="79">
        <v>130.6</v>
      </c>
      <c r="C74" s="81">
        <f t="shared" si="2"/>
        <v>7.6596635870573734E-2</v>
      </c>
      <c r="D74" s="2"/>
      <c r="E74" s="2"/>
      <c r="F74" s="2"/>
      <c r="G74" s="2"/>
      <c r="H74" s="2"/>
      <c r="I74" s="2"/>
    </row>
    <row r="75" spans="1:9" x14ac:dyDescent="0.4">
      <c r="A75" s="38">
        <v>39295</v>
      </c>
      <c r="B75" s="79">
        <v>137.26</v>
      </c>
      <c r="C75" s="81">
        <f t="shared" si="2"/>
        <v>4.9737720638157984E-2</v>
      </c>
      <c r="D75" s="2"/>
      <c r="E75" s="2"/>
      <c r="F75" s="2"/>
      <c r="G75" s="2"/>
      <c r="H75" s="2"/>
      <c r="I75" s="2"/>
    </row>
    <row r="76" spans="1:9" x14ac:dyDescent="0.4">
      <c r="A76" s="38">
        <v>39329</v>
      </c>
      <c r="B76" s="79">
        <v>152.12</v>
      </c>
      <c r="C76" s="81">
        <f t="shared" si="2"/>
        <v>0.10279274557957034</v>
      </c>
      <c r="D76" s="2"/>
      <c r="E76" s="2"/>
      <c r="F76" s="2"/>
      <c r="G76" s="2"/>
      <c r="H76" s="2"/>
      <c r="I76" s="2"/>
    </row>
    <row r="77" spans="1:9" x14ac:dyDescent="0.4">
      <c r="A77" s="38">
        <v>39356</v>
      </c>
      <c r="B77" s="79">
        <v>188.28</v>
      </c>
      <c r="C77" s="81">
        <f t="shared" si="2"/>
        <v>0.2132605334728826</v>
      </c>
      <c r="D77" s="2"/>
      <c r="E77" s="2"/>
      <c r="F77" s="2"/>
      <c r="G77" s="2"/>
      <c r="H77" s="2"/>
      <c r="I77" s="2"/>
    </row>
    <row r="78" spans="1:9" x14ac:dyDescent="0.4">
      <c r="A78" s="38">
        <v>39387</v>
      </c>
      <c r="B78" s="79">
        <v>180.62</v>
      </c>
      <c r="C78" s="81">
        <f t="shared" si="2"/>
        <v>-4.1534839710288839E-2</v>
      </c>
      <c r="D78" s="2"/>
      <c r="E78" s="2"/>
      <c r="F78" s="2"/>
      <c r="G78" s="2"/>
      <c r="H78" s="2"/>
      <c r="I78" s="2"/>
    </row>
    <row r="79" spans="1:9" x14ac:dyDescent="0.4">
      <c r="A79" s="38">
        <v>39419</v>
      </c>
      <c r="B79" s="79">
        <v>196.34</v>
      </c>
      <c r="C79" s="81">
        <f t="shared" si="2"/>
        <v>8.3452473441722616E-2</v>
      </c>
      <c r="D79" s="2"/>
      <c r="E79" s="2"/>
      <c r="F79" s="2"/>
      <c r="G79" s="2"/>
      <c r="H79" s="2"/>
      <c r="I79" s="2"/>
    </row>
    <row r="80" spans="1:9" x14ac:dyDescent="0.4">
      <c r="A80" s="38">
        <v>39449</v>
      </c>
      <c r="B80" s="79">
        <v>134.16999999999999</v>
      </c>
      <c r="C80" s="81">
        <f t="shared" si="2"/>
        <v>-0.38074019766199513</v>
      </c>
      <c r="D80" s="2"/>
      <c r="E80" s="2"/>
      <c r="F80" s="2"/>
      <c r="G80" s="2"/>
      <c r="H80" s="2"/>
      <c r="I80" s="2"/>
    </row>
    <row r="81" spans="1:9" x14ac:dyDescent="0.4">
      <c r="A81" s="38">
        <v>39479</v>
      </c>
      <c r="B81" s="79">
        <v>123.92</v>
      </c>
      <c r="C81" s="81">
        <f t="shared" si="2"/>
        <v>-7.9471456493766968E-2</v>
      </c>
      <c r="D81" s="2"/>
      <c r="E81" s="2"/>
      <c r="F81" s="2"/>
      <c r="G81" s="2"/>
      <c r="H81" s="2"/>
      <c r="I81" s="2"/>
    </row>
    <row r="82" spans="1:9" x14ac:dyDescent="0.4">
      <c r="A82" s="38">
        <v>39510</v>
      </c>
      <c r="B82" s="79">
        <v>142.24</v>
      </c>
      <c r="C82" s="81">
        <f t="shared" si="2"/>
        <v>0.13787957565698139</v>
      </c>
      <c r="D82" s="2"/>
      <c r="E82" s="2"/>
      <c r="F82" s="2"/>
      <c r="G82" s="2"/>
      <c r="H82" s="2"/>
      <c r="I82" s="2"/>
    </row>
    <row r="83" spans="1:9" x14ac:dyDescent="0.4">
      <c r="A83" s="38">
        <v>39539</v>
      </c>
      <c r="B83" s="79">
        <v>172.42</v>
      </c>
      <c r="C83" s="81">
        <f t="shared" si="2"/>
        <v>0.19241758901618444</v>
      </c>
      <c r="D83" s="2"/>
      <c r="E83" s="2"/>
      <c r="F83" s="2"/>
      <c r="G83" s="2"/>
      <c r="H83" s="2"/>
      <c r="I83" s="2"/>
    </row>
    <row r="84" spans="1:9" x14ac:dyDescent="0.4">
      <c r="A84" s="38">
        <v>39569</v>
      </c>
      <c r="B84" s="79">
        <v>187.09</v>
      </c>
      <c r="C84" s="81">
        <f t="shared" si="2"/>
        <v>8.1656423715548404E-2</v>
      </c>
      <c r="D84" s="2"/>
      <c r="E84" s="2"/>
      <c r="F84" s="2"/>
      <c r="G84" s="2"/>
      <c r="H84" s="2"/>
      <c r="I84" s="2"/>
    </row>
    <row r="85" spans="1:9" x14ac:dyDescent="0.4">
      <c r="A85" s="38">
        <v>39601</v>
      </c>
      <c r="B85" s="79">
        <v>165.97</v>
      </c>
      <c r="C85" s="81">
        <f t="shared" si="2"/>
        <v>-0.11978273536469983</v>
      </c>
      <c r="D85" s="2"/>
      <c r="E85" s="2"/>
      <c r="F85" s="2"/>
      <c r="G85" s="2"/>
      <c r="H85" s="2"/>
      <c r="I85" s="2"/>
    </row>
    <row r="86" spans="1:9" x14ac:dyDescent="0.4">
      <c r="A86" s="38">
        <v>39630</v>
      </c>
      <c r="B86" s="79">
        <v>157.55000000000001</v>
      </c>
      <c r="C86" s="81">
        <f t="shared" si="2"/>
        <v>-5.2064180929343763E-2</v>
      </c>
      <c r="D86" s="2"/>
      <c r="E86" s="2"/>
      <c r="F86" s="2"/>
      <c r="G86" s="2"/>
      <c r="H86" s="2"/>
      <c r="I86" s="2"/>
    </row>
    <row r="87" spans="1:9" x14ac:dyDescent="0.4">
      <c r="A87" s="38">
        <v>39661</v>
      </c>
      <c r="B87" s="79">
        <v>168.04</v>
      </c>
      <c r="C87" s="81">
        <f t="shared" si="2"/>
        <v>6.4459178097897585E-2</v>
      </c>
      <c r="D87" s="2"/>
      <c r="E87" s="2"/>
      <c r="F87" s="2"/>
      <c r="G87" s="2"/>
      <c r="H87" s="2"/>
      <c r="I87" s="2"/>
    </row>
    <row r="88" spans="1:9" x14ac:dyDescent="0.4">
      <c r="A88" s="38">
        <v>39693</v>
      </c>
      <c r="B88" s="79">
        <v>112.66</v>
      </c>
      <c r="C88" s="81">
        <f t="shared" si="2"/>
        <v>-0.39982761283461332</v>
      </c>
      <c r="D88" s="2"/>
      <c r="E88" s="2"/>
      <c r="F88" s="2"/>
      <c r="G88" s="2"/>
      <c r="H88" s="2"/>
      <c r="I88" s="2"/>
    </row>
    <row r="89" spans="1:9" x14ac:dyDescent="0.4">
      <c r="A89" s="38">
        <v>39722</v>
      </c>
      <c r="B89" s="79">
        <v>106.64</v>
      </c>
      <c r="C89" s="81">
        <f t="shared" si="2"/>
        <v>-5.4915757596114653E-2</v>
      </c>
      <c r="D89" s="2"/>
      <c r="E89" s="2"/>
      <c r="F89" s="2"/>
      <c r="G89" s="2"/>
      <c r="H89" s="2"/>
      <c r="I89" s="2"/>
    </row>
    <row r="90" spans="1:9" x14ac:dyDescent="0.4">
      <c r="A90" s="38">
        <v>39755</v>
      </c>
      <c r="B90" s="79">
        <v>91.85</v>
      </c>
      <c r="C90" s="81">
        <f t="shared" si="2"/>
        <v>-0.14930186420931865</v>
      </c>
      <c r="D90" s="2"/>
      <c r="E90" s="2"/>
      <c r="F90" s="2"/>
      <c r="G90" s="2"/>
      <c r="H90" s="2"/>
      <c r="I90" s="2"/>
    </row>
    <row r="91" spans="1:9" x14ac:dyDescent="0.4">
      <c r="A91" s="38">
        <v>39783</v>
      </c>
      <c r="B91" s="79">
        <v>84.6</v>
      </c>
      <c r="C91" s="81">
        <f t="shared" si="2"/>
        <v>-8.222254504895711E-2</v>
      </c>
      <c r="D91" s="2"/>
      <c r="E91" s="2"/>
      <c r="F91" s="2"/>
      <c r="G91" s="2"/>
      <c r="H91" s="2"/>
      <c r="I91" s="2"/>
    </row>
    <row r="92" spans="1:9" x14ac:dyDescent="0.4">
      <c r="A92" s="38">
        <v>39815</v>
      </c>
      <c r="B92" s="79">
        <v>89.34</v>
      </c>
      <c r="C92" s="81">
        <f t="shared" si="2"/>
        <v>5.4515049311795155E-2</v>
      </c>
      <c r="D92" s="2"/>
      <c r="E92" s="2"/>
      <c r="F92" s="2"/>
      <c r="G92" s="2"/>
      <c r="H92" s="2"/>
      <c r="I92" s="2"/>
    </row>
    <row r="93" spans="1:9" x14ac:dyDescent="0.4">
      <c r="A93" s="38">
        <v>39846</v>
      </c>
      <c r="B93" s="79">
        <v>88.52</v>
      </c>
      <c r="C93" s="81">
        <f t="shared" si="2"/>
        <v>-9.2208007411237816E-3</v>
      </c>
      <c r="D93" s="2"/>
      <c r="E93" s="2"/>
      <c r="F93" s="2"/>
      <c r="G93" s="2"/>
      <c r="H93" s="2"/>
      <c r="I93" s="2"/>
    </row>
    <row r="94" spans="1:9" x14ac:dyDescent="0.4">
      <c r="A94" s="38">
        <v>39874</v>
      </c>
      <c r="B94" s="79">
        <v>104.19</v>
      </c>
      <c r="C94" s="81">
        <f t="shared" si="2"/>
        <v>0.16298764024124343</v>
      </c>
      <c r="D94" s="2"/>
      <c r="E94" s="2"/>
      <c r="F94" s="2"/>
      <c r="G94" s="2"/>
      <c r="H94" s="2"/>
      <c r="I94" s="2"/>
    </row>
    <row r="95" spans="1:9" x14ac:dyDescent="0.4">
      <c r="A95" s="38">
        <v>39904</v>
      </c>
      <c r="B95" s="79">
        <v>124.72</v>
      </c>
      <c r="C95" s="81">
        <f t="shared" si="2"/>
        <v>0.1798550693254288</v>
      </c>
      <c r="D95" s="2"/>
      <c r="E95" s="2"/>
      <c r="F95" s="2"/>
      <c r="G95" s="2"/>
      <c r="H95" s="2"/>
      <c r="I95" s="2"/>
    </row>
    <row r="96" spans="1:9" x14ac:dyDescent="0.4">
      <c r="A96" s="38">
        <v>39934</v>
      </c>
      <c r="B96" s="79">
        <v>134.61000000000001</v>
      </c>
      <c r="C96" s="81">
        <f t="shared" si="2"/>
        <v>7.6310483906480653E-2</v>
      </c>
      <c r="D96" s="2"/>
      <c r="E96" s="2"/>
      <c r="F96" s="2"/>
      <c r="G96" s="2"/>
      <c r="H96" s="2"/>
      <c r="I96" s="2"/>
    </row>
    <row r="97" spans="1:9" x14ac:dyDescent="0.4">
      <c r="A97" s="38">
        <v>39965</v>
      </c>
      <c r="B97" s="79">
        <v>141.18</v>
      </c>
      <c r="C97" s="81">
        <f t="shared" si="2"/>
        <v>4.7653963311324474E-2</v>
      </c>
      <c r="D97" s="2"/>
      <c r="E97" s="2"/>
      <c r="F97" s="2"/>
      <c r="G97" s="2"/>
      <c r="H97" s="2"/>
      <c r="I97" s="2"/>
    </row>
    <row r="98" spans="1:9" x14ac:dyDescent="0.4">
      <c r="A98" s="38">
        <v>39995</v>
      </c>
      <c r="B98" s="79">
        <v>161.94999999999999</v>
      </c>
      <c r="C98" s="81">
        <f t="shared" si="2"/>
        <v>0.13725197365001213</v>
      </c>
      <c r="D98" s="2"/>
      <c r="E98" s="2"/>
      <c r="F98" s="2"/>
      <c r="G98" s="2"/>
      <c r="H98" s="2"/>
      <c r="I98" s="2"/>
    </row>
    <row r="99" spans="1:9" x14ac:dyDescent="0.4">
      <c r="A99" s="38">
        <v>40028</v>
      </c>
      <c r="B99" s="79">
        <v>166.73</v>
      </c>
      <c r="C99" s="81">
        <f t="shared" si="2"/>
        <v>2.9088091955029111E-2</v>
      </c>
      <c r="D99" s="2"/>
      <c r="E99" s="2"/>
      <c r="F99" s="2"/>
      <c r="G99" s="2"/>
      <c r="H99" s="2"/>
      <c r="I99" s="2"/>
    </row>
    <row r="100" spans="1:9" x14ac:dyDescent="0.4">
      <c r="A100" s="38">
        <v>40057</v>
      </c>
      <c r="B100" s="79">
        <v>183.72</v>
      </c>
      <c r="C100" s="81">
        <f t="shared" si="2"/>
        <v>9.7037121885225189E-2</v>
      </c>
      <c r="D100" s="2"/>
      <c r="E100" s="2"/>
      <c r="F100" s="2"/>
      <c r="G100" s="2"/>
      <c r="H100" s="2"/>
      <c r="I100" s="2"/>
    </row>
    <row r="101" spans="1:9" x14ac:dyDescent="0.4">
      <c r="A101" s="38">
        <v>40087</v>
      </c>
      <c r="B101" s="79">
        <v>186.84</v>
      </c>
      <c r="C101" s="81">
        <f t="shared" si="2"/>
        <v>1.6839776176314703E-2</v>
      </c>
      <c r="D101" s="2"/>
      <c r="E101" s="2"/>
      <c r="F101" s="2"/>
      <c r="G101" s="2"/>
      <c r="H101" s="2"/>
      <c r="I101" s="2"/>
    </row>
    <row r="102" spans="1:9" x14ac:dyDescent="0.4">
      <c r="A102" s="38">
        <v>40119</v>
      </c>
      <c r="B102" s="79">
        <v>198.15</v>
      </c>
      <c r="C102" s="81">
        <f t="shared" si="2"/>
        <v>5.8771684002536725E-2</v>
      </c>
      <c r="D102" s="2"/>
      <c r="E102" s="2"/>
      <c r="F102" s="2"/>
      <c r="G102" s="2"/>
      <c r="H102" s="2"/>
      <c r="I102" s="2"/>
    </row>
    <row r="103" spans="1:9" x14ac:dyDescent="0.4">
      <c r="A103" s="38">
        <v>40148</v>
      </c>
      <c r="B103" s="79">
        <v>208.88</v>
      </c>
      <c r="C103" s="81">
        <f t="shared" si="2"/>
        <v>5.2735604754429316E-2</v>
      </c>
      <c r="D103" s="2"/>
      <c r="E103" s="2"/>
      <c r="F103" s="2"/>
      <c r="G103" s="2"/>
      <c r="H103" s="2"/>
      <c r="I103" s="2"/>
    </row>
    <row r="104" spans="1:9" x14ac:dyDescent="0.4">
      <c r="A104" s="38">
        <v>40182</v>
      </c>
      <c r="B104" s="79">
        <v>190.37</v>
      </c>
      <c r="C104" s="81">
        <f t="shared" si="2"/>
        <v>-9.2790377473176006E-2</v>
      </c>
      <c r="D104" s="2"/>
      <c r="E104" s="2"/>
      <c r="F104" s="2"/>
      <c r="G104" s="2"/>
      <c r="H104" s="2"/>
      <c r="I104" s="2"/>
    </row>
    <row r="105" spans="1:9" x14ac:dyDescent="0.4">
      <c r="A105" s="38">
        <v>40210</v>
      </c>
      <c r="B105" s="79">
        <v>202.82</v>
      </c>
      <c r="C105" s="81">
        <f t="shared" si="2"/>
        <v>6.3349339266152882E-2</v>
      </c>
      <c r="D105" s="2"/>
      <c r="E105" s="2"/>
      <c r="F105" s="2"/>
      <c r="G105" s="2"/>
      <c r="H105" s="2"/>
      <c r="I105" s="2"/>
    </row>
    <row r="106" spans="1:9" x14ac:dyDescent="0.4">
      <c r="A106" s="38">
        <v>40238</v>
      </c>
      <c r="B106" s="79">
        <v>232.93</v>
      </c>
      <c r="C106" s="81">
        <f t="shared" si="2"/>
        <v>0.13841909305941275</v>
      </c>
      <c r="D106" s="2"/>
      <c r="E106" s="2"/>
      <c r="F106" s="2"/>
      <c r="G106" s="2"/>
      <c r="H106" s="2"/>
      <c r="I106" s="2"/>
    </row>
    <row r="107" spans="1:9" x14ac:dyDescent="0.4">
      <c r="A107" s="38">
        <v>40269</v>
      </c>
      <c r="B107" s="79">
        <v>258.79000000000002</v>
      </c>
      <c r="C107" s="81">
        <f t="shared" si="2"/>
        <v>0.10527894276059094</v>
      </c>
      <c r="D107" s="2"/>
      <c r="E107" s="2"/>
      <c r="F107" s="2"/>
      <c r="G107" s="2"/>
      <c r="H107" s="2"/>
      <c r="I107" s="2"/>
    </row>
    <row r="108" spans="1:9" x14ac:dyDescent="0.4">
      <c r="A108" s="38">
        <v>40301</v>
      </c>
      <c r="B108" s="79">
        <v>254.62</v>
      </c>
      <c r="C108" s="81">
        <f t="shared" si="2"/>
        <v>-1.6244684370354548E-2</v>
      </c>
      <c r="D108" s="2"/>
      <c r="E108" s="2"/>
      <c r="F108" s="2"/>
      <c r="G108" s="2"/>
      <c r="H108" s="2"/>
      <c r="I108" s="2"/>
    </row>
    <row r="109" spans="1:9" x14ac:dyDescent="0.4">
      <c r="A109" s="38">
        <v>40330</v>
      </c>
      <c r="B109" s="79">
        <v>249.32</v>
      </c>
      <c r="C109" s="81">
        <f t="shared" si="2"/>
        <v>-2.1035025692849561E-2</v>
      </c>
      <c r="D109" s="2"/>
      <c r="E109" s="2"/>
      <c r="F109" s="2"/>
      <c r="G109" s="2"/>
      <c r="H109" s="2"/>
      <c r="I109" s="2"/>
    </row>
    <row r="110" spans="1:9" x14ac:dyDescent="0.4">
      <c r="A110" s="38">
        <v>40360</v>
      </c>
      <c r="B110" s="79">
        <v>254.99</v>
      </c>
      <c r="C110" s="81">
        <f t="shared" si="2"/>
        <v>2.2487116762546659E-2</v>
      </c>
      <c r="D110" s="2"/>
      <c r="E110" s="2"/>
      <c r="F110" s="2"/>
      <c r="G110" s="2"/>
      <c r="H110" s="2"/>
      <c r="I110" s="2"/>
    </row>
    <row r="111" spans="1:9" x14ac:dyDescent="0.4">
      <c r="A111" s="38">
        <v>40392</v>
      </c>
      <c r="B111" s="79">
        <v>240.96</v>
      </c>
      <c r="C111" s="81">
        <f t="shared" si="2"/>
        <v>-5.6593384091667774E-2</v>
      </c>
      <c r="D111" s="2"/>
      <c r="E111" s="2"/>
      <c r="F111" s="2"/>
      <c r="G111" s="2"/>
      <c r="H111" s="2"/>
      <c r="I111" s="2"/>
    </row>
    <row r="112" spans="1:9" x14ac:dyDescent="0.4">
      <c r="A112" s="38">
        <v>40422</v>
      </c>
      <c r="B112" s="79">
        <v>281.25</v>
      </c>
      <c r="C112" s="81">
        <f t="shared" si="2"/>
        <v>0.15461300890710111</v>
      </c>
      <c r="D112" s="2"/>
      <c r="E112" s="2"/>
      <c r="F112" s="2"/>
      <c r="G112" s="2"/>
      <c r="H112" s="2"/>
      <c r="I112" s="2"/>
    </row>
    <row r="113" spans="1:9" x14ac:dyDescent="0.4">
      <c r="A113" s="38">
        <v>40452</v>
      </c>
      <c r="B113" s="79">
        <v>298.33</v>
      </c>
      <c r="C113" s="81">
        <f t="shared" si="2"/>
        <v>5.895630284133771E-2</v>
      </c>
      <c r="D113" s="2"/>
      <c r="E113" s="2"/>
      <c r="F113" s="2"/>
      <c r="G113" s="2"/>
      <c r="H113" s="2"/>
      <c r="I113" s="2"/>
    </row>
    <row r="114" spans="1:9" x14ac:dyDescent="0.4">
      <c r="A114" s="38">
        <v>40483</v>
      </c>
      <c r="B114" s="79">
        <v>308.41000000000003</v>
      </c>
      <c r="C114" s="81">
        <f t="shared" si="2"/>
        <v>3.322981022504487E-2</v>
      </c>
      <c r="D114" s="2"/>
      <c r="E114" s="2"/>
      <c r="F114" s="2"/>
      <c r="G114" s="2"/>
      <c r="H114" s="2"/>
      <c r="I114" s="2"/>
    </row>
    <row r="115" spans="1:9" x14ac:dyDescent="0.4">
      <c r="A115" s="38">
        <v>40513</v>
      </c>
      <c r="B115" s="79">
        <v>319.72000000000003</v>
      </c>
      <c r="C115" s="81">
        <f t="shared" si="2"/>
        <v>3.6015546172806112E-2</v>
      </c>
      <c r="D115" s="2"/>
      <c r="E115" s="2"/>
      <c r="F115" s="2"/>
      <c r="G115" s="2"/>
      <c r="H115" s="2"/>
      <c r="I115" s="2"/>
    </row>
    <row r="116" spans="1:9" x14ac:dyDescent="0.4">
      <c r="A116" s="38">
        <v>40546</v>
      </c>
      <c r="B116" s="79">
        <v>336.33</v>
      </c>
      <c r="C116" s="81">
        <f t="shared" si="2"/>
        <v>5.0647208075793537E-2</v>
      </c>
      <c r="D116" s="2"/>
      <c r="E116" s="2"/>
      <c r="F116" s="2"/>
      <c r="G116" s="2"/>
      <c r="H116" s="2"/>
      <c r="I116" s="2"/>
    </row>
    <row r="117" spans="1:9" x14ac:dyDescent="0.4">
      <c r="A117" s="38">
        <v>40575</v>
      </c>
      <c r="B117" s="79">
        <v>350.1</v>
      </c>
      <c r="C117" s="81">
        <f t="shared" si="2"/>
        <v>4.0126007127008263E-2</v>
      </c>
      <c r="D117" s="2"/>
      <c r="E117" s="2"/>
      <c r="F117" s="2"/>
      <c r="G117" s="2"/>
      <c r="H117" s="2"/>
      <c r="I117" s="2"/>
    </row>
    <row r="118" spans="1:9" x14ac:dyDescent="0.4">
      <c r="A118" s="38">
        <v>40603</v>
      </c>
      <c r="B118" s="79">
        <v>345.44</v>
      </c>
      <c r="C118" s="81">
        <f t="shared" si="2"/>
        <v>-1.3399861194122885E-2</v>
      </c>
      <c r="D118" s="2"/>
      <c r="E118" s="2"/>
      <c r="F118" s="2"/>
      <c r="G118" s="2"/>
      <c r="H118" s="2"/>
      <c r="I118" s="2"/>
    </row>
    <row r="119" spans="1:9" x14ac:dyDescent="0.4">
      <c r="A119" s="38">
        <v>40634</v>
      </c>
      <c r="B119" s="79">
        <v>347.05</v>
      </c>
      <c r="C119" s="81">
        <f t="shared" si="2"/>
        <v>4.6498950190954702E-3</v>
      </c>
      <c r="D119" s="2"/>
      <c r="E119" s="2"/>
      <c r="F119" s="2"/>
      <c r="G119" s="2"/>
      <c r="H119" s="2"/>
      <c r="I119" s="2"/>
    </row>
    <row r="120" spans="1:9" x14ac:dyDescent="0.4">
      <c r="A120" s="38">
        <v>40665</v>
      </c>
      <c r="B120" s="79">
        <v>344.77</v>
      </c>
      <c r="C120" s="81">
        <f t="shared" si="2"/>
        <v>-6.5913337419367408E-3</v>
      </c>
      <c r="D120" s="2"/>
      <c r="E120" s="2"/>
      <c r="F120" s="2"/>
      <c r="G120" s="2"/>
      <c r="H120" s="2"/>
      <c r="I120" s="2"/>
    </row>
    <row r="121" spans="1:9" x14ac:dyDescent="0.4">
      <c r="A121" s="38">
        <v>40695</v>
      </c>
      <c r="B121" s="79">
        <v>332.72</v>
      </c>
      <c r="C121" s="81">
        <f t="shared" si="2"/>
        <v>-3.5576232608999662E-2</v>
      </c>
      <c r="D121" s="2"/>
      <c r="E121" s="2"/>
      <c r="F121" s="2"/>
      <c r="G121" s="2"/>
      <c r="H121" s="2"/>
      <c r="I121" s="2"/>
    </row>
    <row r="122" spans="1:9" x14ac:dyDescent="0.4">
      <c r="A122" s="38">
        <v>40725</v>
      </c>
      <c r="B122" s="79">
        <v>387.04</v>
      </c>
      <c r="C122" s="81">
        <f t="shared" si="2"/>
        <v>0.15122675142706085</v>
      </c>
      <c r="D122" s="2"/>
      <c r="E122" s="2"/>
      <c r="F122" s="2"/>
      <c r="G122" s="2"/>
      <c r="H122" s="2"/>
      <c r="I122" s="2"/>
    </row>
    <row r="123" spans="1:9" x14ac:dyDescent="0.4">
      <c r="A123" s="38">
        <v>40756</v>
      </c>
      <c r="B123" s="79">
        <v>381.44</v>
      </c>
      <c r="C123" s="81">
        <f t="shared" si="2"/>
        <v>-1.4574482424786957E-2</v>
      </c>
      <c r="D123" s="2"/>
      <c r="E123" s="2"/>
      <c r="F123" s="2"/>
      <c r="G123" s="2"/>
      <c r="H123" s="2"/>
      <c r="I123" s="2"/>
    </row>
    <row r="124" spans="1:9" x14ac:dyDescent="0.4">
      <c r="A124" s="38">
        <v>40787</v>
      </c>
      <c r="B124" s="79">
        <v>377.96</v>
      </c>
      <c r="C124" s="81">
        <f t="shared" si="2"/>
        <v>-9.1651945225051795E-3</v>
      </c>
      <c r="D124" s="2"/>
      <c r="E124" s="2"/>
      <c r="F124" s="2"/>
      <c r="G124" s="2"/>
      <c r="H124" s="2"/>
      <c r="I124" s="2"/>
    </row>
    <row r="125" spans="1:9" x14ac:dyDescent="0.4">
      <c r="A125" s="38">
        <v>40819</v>
      </c>
      <c r="B125" s="79">
        <v>401.22</v>
      </c>
      <c r="C125" s="81">
        <f t="shared" si="2"/>
        <v>5.9721535379517118E-2</v>
      </c>
      <c r="D125" s="2"/>
      <c r="E125" s="2"/>
      <c r="F125" s="2"/>
      <c r="G125" s="2"/>
      <c r="H125" s="2"/>
      <c r="I125" s="2"/>
    </row>
    <row r="126" spans="1:9" x14ac:dyDescent="0.4">
      <c r="A126" s="38">
        <v>40848</v>
      </c>
      <c r="B126" s="79">
        <v>378.84</v>
      </c>
      <c r="C126" s="81">
        <f t="shared" si="2"/>
        <v>-5.7395952936041675E-2</v>
      </c>
      <c r="D126" s="2"/>
      <c r="E126" s="2"/>
      <c r="F126" s="2"/>
      <c r="G126" s="2"/>
      <c r="H126" s="2"/>
      <c r="I126" s="2"/>
    </row>
    <row r="127" spans="1:9" x14ac:dyDescent="0.4">
      <c r="A127" s="38">
        <v>40878</v>
      </c>
      <c r="B127" s="79">
        <v>401.44</v>
      </c>
      <c r="C127" s="81">
        <f t="shared" si="2"/>
        <v>5.7944130260211515E-2</v>
      </c>
      <c r="D127" s="2"/>
      <c r="E127" s="2"/>
      <c r="F127" s="2"/>
      <c r="G127" s="2"/>
      <c r="H127" s="2"/>
      <c r="I127" s="2"/>
    </row>
    <row r="128" spans="1:9" x14ac:dyDescent="0.4">
      <c r="A128" s="38">
        <v>40911</v>
      </c>
      <c r="B128" s="79">
        <v>452.46</v>
      </c>
      <c r="C128" s="81">
        <f t="shared" si="2"/>
        <v>0.11964127882449839</v>
      </c>
      <c r="D128" s="2"/>
      <c r="E128" s="2"/>
      <c r="F128" s="2"/>
      <c r="G128" s="2"/>
      <c r="H128" s="2"/>
      <c r="I128" s="2"/>
    </row>
    <row r="129" spans="1:9" x14ac:dyDescent="0.4">
      <c r="A129" s="38">
        <v>40940</v>
      </c>
      <c r="B129" s="79">
        <v>537.66999999999996</v>
      </c>
      <c r="C129" s="81">
        <f t="shared" si="2"/>
        <v>0.17254562762329329</v>
      </c>
      <c r="D129" s="2"/>
      <c r="E129" s="2"/>
      <c r="F129" s="2"/>
      <c r="G129" s="2"/>
      <c r="H129" s="2"/>
      <c r="I129" s="2"/>
    </row>
    <row r="130" spans="1:9" x14ac:dyDescent="0.4">
      <c r="A130" s="38">
        <v>40969</v>
      </c>
      <c r="B130" s="79">
        <v>594.27</v>
      </c>
      <c r="C130" s="81">
        <f t="shared" si="2"/>
        <v>0.10008877247679548</v>
      </c>
      <c r="D130" s="2"/>
      <c r="E130" s="2"/>
      <c r="F130" s="2"/>
      <c r="G130" s="2"/>
      <c r="H130" s="2"/>
      <c r="I130" s="2"/>
    </row>
    <row r="131" spans="1:9" x14ac:dyDescent="0.4">
      <c r="A131" s="38">
        <v>41001</v>
      </c>
      <c r="B131" s="79">
        <v>578.84</v>
      </c>
      <c r="C131" s="81">
        <f t="shared" si="2"/>
        <v>-2.6307660672907393E-2</v>
      </c>
      <c r="D131" s="2"/>
      <c r="E131" s="2"/>
      <c r="F131" s="2"/>
      <c r="G131" s="2"/>
      <c r="H131" s="2"/>
      <c r="I131" s="2"/>
    </row>
    <row r="132" spans="1:9" x14ac:dyDescent="0.4">
      <c r="A132" s="38">
        <v>41030</v>
      </c>
      <c r="B132" s="79">
        <v>572.64</v>
      </c>
      <c r="C132" s="81">
        <f t="shared" si="2"/>
        <v>-1.0768853852076338E-2</v>
      </c>
      <c r="D132" s="2"/>
      <c r="E132" s="2"/>
      <c r="F132" s="2"/>
      <c r="G132" s="2"/>
      <c r="H132" s="2"/>
      <c r="I132" s="2"/>
    </row>
    <row r="133" spans="1:9" x14ac:dyDescent="0.4">
      <c r="A133" s="38">
        <v>41061</v>
      </c>
      <c r="B133" s="79">
        <v>578.86</v>
      </c>
      <c r="C133" s="81">
        <f t="shared" si="2"/>
        <v>1.0803405117519954E-2</v>
      </c>
      <c r="D133" s="2"/>
      <c r="E133" s="2"/>
      <c r="F133" s="2"/>
      <c r="G133" s="2"/>
      <c r="H133" s="2"/>
      <c r="I133" s="2"/>
    </row>
    <row r="134" spans="1:9" x14ac:dyDescent="0.4">
      <c r="A134" s="38">
        <v>41092</v>
      </c>
      <c r="B134" s="79">
        <v>605.38</v>
      </c>
      <c r="C134" s="81">
        <f t="shared" ref="C134:C140" si="3">LN(B134/B133)</f>
        <v>4.4795707897431633E-2</v>
      </c>
      <c r="D134" s="2"/>
      <c r="E134" s="2"/>
      <c r="F134" s="2"/>
      <c r="G134" s="2"/>
      <c r="H134" s="2"/>
      <c r="I134" s="2"/>
    </row>
    <row r="135" spans="1:9" x14ac:dyDescent="0.4">
      <c r="A135" s="38">
        <v>41122</v>
      </c>
      <c r="B135" s="79">
        <v>662.22</v>
      </c>
      <c r="C135" s="81">
        <f t="shared" si="3"/>
        <v>8.974146698018047E-2</v>
      </c>
      <c r="D135" s="2"/>
      <c r="E135" s="2"/>
      <c r="F135" s="2"/>
      <c r="G135" s="2"/>
      <c r="H135" s="2"/>
      <c r="I135" s="2"/>
    </row>
    <row r="136" spans="1:9" x14ac:dyDescent="0.4">
      <c r="A136" s="38">
        <v>41156</v>
      </c>
      <c r="B136" s="79">
        <v>664.07</v>
      </c>
      <c r="C136" s="81">
        <f t="shared" si="3"/>
        <v>2.7897385938577138E-3</v>
      </c>
      <c r="D136" s="2"/>
      <c r="E136" s="2"/>
      <c r="F136" s="2"/>
      <c r="G136" s="2"/>
      <c r="H136" s="2"/>
      <c r="I136" s="2"/>
    </row>
    <row r="137" spans="1:9" x14ac:dyDescent="0.4">
      <c r="A137" s="38">
        <v>41183</v>
      </c>
      <c r="B137" s="79">
        <v>592.61</v>
      </c>
      <c r="C137" s="81">
        <f t="shared" si="3"/>
        <v>-0.11385105582055298</v>
      </c>
      <c r="D137" s="2"/>
      <c r="E137" s="2"/>
      <c r="F137" s="2"/>
      <c r="G137" s="2"/>
      <c r="H137" s="2"/>
      <c r="I137" s="2"/>
    </row>
    <row r="138" spans="1:9" x14ac:dyDescent="0.4">
      <c r="A138" s="38">
        <v>41214</v>
      </c>
      <c r="B138" s="79">
        <v>585.28</v>
      </c>
      <c r="C138" s="81">
        <f t="shared" si="3"/>
        <v>-1.244614458365159E-2</v>
      </c>
      <c r="D138" s="2"/>
      <c r="E138" s="2"/>
      <c r="F138" s="2"/>
      <c r="G138" s="2"/>
      <c r="H138" s="2"/>
      <c r="I138" s="2"/>
    </row>
    <row r="139" spans="1:9" x14ac:dyDescent="0.4">
      <c r="A139" s="38">
        <v>41246</v>
      </c>
      <c r="B139" s="79">
        <v>532.16999999999996</v>
      </c>
      <c r="C139" s="81">
        <f t="shared" si="3"/>
        <v>-9.5127378033543056E-2</v>
      </c>
      <c r="D139" s="2"/>
      <c r="E139" s="2"/>
      <c r="F139" s="2"/>
      <c r="G139" s="2"/>
      <c r="H139" s="2"/>
      <c r="I139" s="2"/>
    </row>
    <row r="140" spans="1:9" x14ac:dyDescent="0.4">
      <c r="A140" s="38">
        <v>41276</v>
      </c>
      <c r="B140" s="79">
        <v>523.51</v>
      </c>
      <c r="C140" s="81">
        <f t="shared" si="3"/>
        <v>-1.6406854844058287E-2</v>
      </c>
      <c r="D140" s="2"/>
      <c r="E140" s="2"/>
      <c r="F140" s="2"/>
      <c r="G140" s="2"/>
      <c r="H140" s="2"/>
      <c r="I140" s="2"/>
    </row>
  </sheetData>
  <mergeCells count="2">
    <mergeCell ref="A1:I1"/>
    <mergeCell ref="F2:H2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20EF-904A-4BB8-BEE2-291C8E1210AD}">
  <dimension ref="A1:I140"/>
  <sheetViews>
    <sheetView workbookViewId="0">
      <selection activeCell="H30" sqref="H30"/>
    </sheetView>
  </sheetViews>
  <sheetFormatPr defaultRowHeight="13.9" x14ac:dyDescent="0.4"/>
  <cols>
    <col min="1" max="1" width="10.3984375" customWidth="1"/>
  </cols>
  <sheetData>
    <row r="1" spans="1:9" ht="17.649999999999999" x14ac:dyDescent="0.5">
      <c r="A1" s="1" t="s">
        <v>77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/>
      <c r="B2" s="2"/>
      <c r="C2" s="2"/>
      <c r="D2" s="2"/>
      <c r="E2" s="2"/>
      <c r="F2" s="75" t="s">
        <v>78</v>
      </c>
      <c r="G2" s="75"/>
      <c r="H2" s="75"/>
      <c r="I2" s="2"/>
    </row>
    <row r="3" spans="1:9" x14ac:dyDescent="0.4">
      <c r="A3" s="76" t="s">
        <v>50</v>
      </c>
      <c r="B3" s="77" t="s">
        <v>79</v>
      </c>
      <c r="C3" s="6" t="s">
        <v>80</v>
      </c>
      <c r="D3" s="2"/>
      <c r="E3" s="2"/>
      <c r="F3" s="78" t="s">
        <v>50</v>
      </c>
      <c r="G3" s="22" t="s">
        <v>79</v>
      </c>
      <c r="H3" s="22" t="s">
        <v>80</v>
      </c>
      <c r="I3" s="2"/>
    </row>
    <row r="4" spans="1:9" x14ac:dyDescent="0.4">
      <c r="A4" s="38">
        <v>37141</v>
      </c>
      <c r="B4" s="79">
        <v>7.69</v>
      </c>
      <c r="C4" s="2"/>
      <c r="D4" s="2"/>
      <c r="E4" s="2"/>
      <c r="F4" s="80" t="str">
        <f>"&gt;"&amp;TEXT(G11,0)</f>
        <v>&gt;38353</v>
      </c>
      <c r="G4" s="80"/>
      <c r="H4" s="80"/>
      <c r="I4" s="2"/>
    </row>
    <row r="5" spans="1:9" x14ac:dyDescent="0.4">
      <c r="A5" s="38">
        <v>37165</v>
      </c>
      <c r="B5" s="79">
        <v>8.6999999999999993</v>
      </c>
      <c r="C5" s="81">
        <f>LN(B5/B4)</f>
        <v>0.12340224214298533</v>
      </c>
      <c r="D5" s="2" t="str">
        <f ca="1">_xlfn.FORMULATEXT(C5)</f>
        <v>=LN(B5/B4)</v>
      </c>
      <c r="E5" s="2"/>
      <c r="F5" s="2" t="str">
        <f ca="1">_xlfn.FORMULATEXT(F4)</f>
        <v>="&gt;"&amp;TEXT(G11,0)</v>
      </c>
      <c r="G5" s="2"/>
      <c r="H5" s="2"/>
      <c r="I5" s="2"/>
    </row>
    <row r="6" spans="1:9" x14ac:dyDescent="0.4">
      <c r="A6" s="38">
        <v>37196</v>
      </c>
      <c r="B6" s="79">
        <v>10.56</v>
      </c>
      <c r="C6" s="81">
        <f t="shared" ref="C6:C69" si="0">LN(B6/B5)</f>
        <v>0.19375025261757756</v>
      </c>
      <c r="D6" s="2"/>
      <c r="E6" s="2"/>
      <c r="F6" s="2" t="s">
        <v>64</v>
      </c>
      <c r="G6" s="81">
        <f>DAVERAGE(A3:C140,3,F3:H4)</f>
        <v>2.8838385151992708E-2</v>
      </c>
      <c r="H6" s="2" t="str">
        <f ca="1">_xlfn.FORMULATEXT(G6)</f>
        <v>=DAVERAGE(A3:C140,3,F3:H4)</v>
      </c>
      <c r="I6" s="2"/>
    </row>
    <row r="7" spans="1:9" x14ac:dyDescent="0.4">
      <c r="A7" s="38">
        <v>37228</v>
      </c>
      <c r="B7" s="79">
        <v>10.85</v>
      </c>
      <c r="C7" s="81">
        <f t="shared" si="0"/>
        <v>2.7091801708353038E-2</v>
      </c>
      <c r="D7" s="2"/>
      <c r="E7" s="2"/>
      <c r="F7" s="2" t="s">
        <v>81</v>
      </c>
      <c r="G7" s="82">
        <f>DVAR(A3:C140,3,F3:H4)</f>
        <v>1.1376778277032804E-2</v>
      </c>
      <c r="H7" s="2" t="str">
        <f t="shared" ref="H7:H8" ca="1" si="1">_xlfn.FORMULATEXT(G7)</f>
        <v>=DVAR(A3:C140,3,F3:H4)</v>
      </c>
      <c r="I7" s="2"/>
    </row>
    <row r="8" spans="1:9" x14ac:dyDescent="0.4">
      <c r="A8" s="38">
        <v>37258</v>
      </c>
      <c r="B8" s="79">
        <v>12.25</v>
      </c>
      <c r="C8" s="81">
        <f t="shared" si="0"/>
        <v>0.12136085700426753</v>
      </c>
      <c r="D8" s="2"/>
      <c r="E8" s="2"/>
      <c r="F8" s="2" t="s">
        <v>82</v>
      </c>
      <c r="G8" s="81">
        <f>DSTDEV(A3:C140,3,F3:H4)</f>
        <v>0.10666198140402607</v>
      </c>
      <c r="H8" s="2" t="str">
        <f t="shared" ca="1" si="1"/>
        <v>=DSTDEV(A3:C140,3,F3:H4)</v>
      </c>
      <c r="I8" s="2"/>
    </row>
    <row r="9" spans="1:9" x14ac:dyDescent="0.4">
      <c r="A9" s="38">
        <v>37288</v>
      </c>
      <c r="B9" s="79">
        <v>10.75</v>
      </c>
      <c r="C9" s="81">
        <f t="shared" si="0"/>
        <v>-0.13062018241706422</v>
      </c>
      <c r="D9" s="2"/>
      <c r="E9" s="2"/>
      <c r="F9" s="2"/>
      <c r="G9" s="2"/>
      <c r="H9" s="2"/>
      <c r="I9" s="2"/>
    </row>
    <row r="10" spans="1:9" x14ac:dyDescent="0.4">
      <c r="A10" s="38">
        <v>37316</v>
      </c>
      <c r="B10" s="79">
        <v>11.73</v>
      </c>
      <c r="C10" s="81">
        <f t="shared" si="0"/>
        <v>8.7243908091712286E-2</v>
      </c>
      <c r="D10" s="2"/>
      <c r="E10" s="2"/>
      <c r="F10" s="2"/>
      <c r="G10" s="2"/>
      <c r="H10" s="2"/>
      <c r="I10" s="2"/>
    </row>
    <row r="11" spans="1:9" x14ac:dyDescent="0.4">
      <c r="A11" s="38">
        <v>37347</v>
      </c>
      <c r="B11" s="79">
        <v>12.03</v>
      </c>
      <c r="C11" s="81">
        <f t="shared" si="0"/>
        <v>2.525386732120341E-2</v>
      </c>
      <c r="D11" s="2"/>
      <c r="E11" s="2"/>
      <c r="F11" s="10" t="s">
        <v>50</v>
      </c>
      <c r="G11" s="83">
        <v>38353</v>
      </c>
      <c r="H11" s="2"/>
      <c r="I11" s="2"/>
    </row>
    <row r="12" spans="1:9" x14ac:dyDescent="0.4">
      <c r="A12" s="38">
        <v>37377</v>
      </c>
      <c r="B12" s="79">
        <v>11.55</v>
      </c>
      <c r="C12" s="81">
        <f t="shared" si="0"/>
        <v>-4.0718093018784804E-2</v>
      </c>
      <c r="D12" s="2"/>
      <c r="E12" s="2"/>
      <c r="F12" s="2"/>
      <c r="G12" s="2"/>
      <c r="H12" s="2"/>
      <c r="I12" s="2"/>
    </row>
    <row r="13" spans="1:9" x14ac:dyDescent="0.4">
      <c r="A13" s="38">
        <v>37410</v>
      </c>
      <c r="B13" s="79">
        <v>8.7799999999999994</v>
      </c>
      <c r="C13" s="81">
        <f t="shared" si="0"/>
        <v>-0.2742090293207774</v>
      </c>
      <c r="D13" s="2"/>
      <c r="E13" s="2"/>
      <c r="F13" s="2"/>
      <c r="G13" s="2"/>
      <c r="H13" s="2"/>
      <c r="I13" s="2"/>
    </row>
    <row r="14" spans="1:9" x14ac:dyDescent="0.4">
      <c r="A14" s="38">
        <v>37438</v>
      </c>
      <c r="B14" s="79">
        <v>7.56</v>
      </c>
      <c r="C14" s="81">
        <f t="shared" si="0"/>
        <v>-0.14960521745558364</v>
      </c>
      <c r="D14" s="2"/>
      <c r="E14" s="2"/>
      <c r="F14" s="2"/>
      <c r="G14" s="2"/>
      <c r="H14" s="2"/>
      <c r="I14" s="2"/>
    </row>
    <row r="15" spans="1:9" x14ac:dyDescent="0.4">
      <c r="A15" s="38">
        <v>37469</v>
      </c>
      <c r="B15" s="79">
        <v>7.31</v>
      </c>
      <c r="C15" s="81">
        <f t="shared" si="0"/>
        <v>-3.3627916429754448E-2</v>
      </c>
      <c r="D15" s="2"/>
      <c r="E15" s="2"/>
      <c r="F15" s="2"/>
      <c r="G15" s="2"/>
      <c r="H15" s="2"/>
      <c r="I15" s="2"/>
    </row>
    <row r="16" spans="1:9" x14ac:dyDescent="0.4">
      <c r="A16" s="38">
        <v>37502</v>
      </c>
      <c r="B16" s="79">
        <v>7.19</v>
      </c>
      <c r="C16" s="81">
        <f t="shared" si="0"/>
        <v>-1.6552102028731759E-2</v>
      </c>
      <c r="D16" s="2"/>
      <c r="E16" s="2"/>
      <c r="F16" s="2"/>
      <c r="G16" s="2"/>
      <c r="H16" s="2"/>
      <c r="I16" s="2"/>
    </row>
    <row r="17" spans="1:9" x14ac:dyDescent="0.4">
      <c r="A17" s="38">
        <v>37530</v>
      </c>
      <c r="B17" s="79">
        <v>7.96</v>
      </c>
      <c r="C17" s="81">
        <f t="shared" si="0"/>
        <v>0.1017378281233363</v>
      </c>
      <c r="D17" s="2"/>
      <c r="E17" s="2"/>
      <c r="F17" s="2"/>
      <c r="G17" s="2"/>
      <c r="H17" s="2"/>
      <c r="I17" s="2"/>
    </row>
    <row r="18" spans="1:9" x14ac:dyDescent="0.4">
      <c r="A18" s="38">
        <v>37561</v>
      </c>
      <c r="B18" s="79">
        <v>7.68</v>
      </c>
      <c r="C18" s="81">
        <f t="shared" si="0"/>
        <v>-3.5809452696710889E-2</v>
      </c>
      <c r="D18" s="2"/>
      <c r="E18" s="2"/>
      <c r="F18" s="2"/>
      <c r="G18" s="2"/>
      <c r="H18" s="2"/>
      <c r="I18" s="2"/>
    </row>
    <row r="19" spans="1:9" x14ac:dyDescent="0.4">
      <c r="A19" s="38">
        <v>37592</v>
      </c>
      <c r="B19" s="79">
        <v>7.1</v>
      </c>
      <c r="C19" s="81">
        <f t="shared" si="0"/>
        <v>-7.8524763112311102E-2</v>
      </c>
      <c r="D19" s="2"/>
      <c r="E19" s="2"/>
      <c r="F19" s="2"/>
      <c r="G19" s="2"/>
      <c r="H19" s="2"/>
      <c r="I19" s="2"/>
    </row>
    <row r="20" spans="1:9" x14ac:dyDescent="0.4">
      <c r="A20" s="38">
        <v>37623</v>
      </c>
      <c r="B20" s="79">
        <v>7.12</v>
      </c>
      <c r="C20" s="81">
        <f t="shared" si="0"/>
        <v>2.8129413766146577E-3</v>
      </c>
      <c r="D20" s="2"/>
      <c r="E20" s="2"/>
      <c r="F20" s="2"/>
      <c r="G20" s="2"/>
      <c r="H20" s="2"/>
      <c r="I20" s="2"/>
    </row>
    <row r="21" spans="1:9" x14ac:dyDescent="0.4">
      <c r="A21" s="38">
        <v>37655</v>
      </c>
      <c r="B21" s="79">
        <v>7.44</v>
      </c>
      <c r="C21" s="81">
        <f t="shared" si="0"/>
        <v>4.3963123421116204E-2</v>
      </c>
      <c r="D21" s="2"/>
      <c r="E21" s="2"/>
      <c r="F21" s="2"/>
      <c r="G21" s="2"/>
      <c r="H21" s="2"/>
      <c r="I21" s="2"/>
    </row>
    <row r="22" spans="1:9" x14ac:dyDescent="0.4">
      <c r="A22" s="38">
        <v>37683</v>
      </c>
      <c r="B22" s="79">
        <v>7.01</v>
      </c>
      <c r="C22" s="81">
        <f t="shared" si="0"/>
        <v>-5.9533147798501836E-2</v>
      </c>
      <c r="D22" s="2"/>
      <c r="E22" s="2"/>
      <c r="F22" s="2"/>
      <c r="G22" s="2"/>
      <c r="H22" s="2"/>
      <c r="I22" s="2"/>
    </row>
    <row r="23" spans="1:9" x14ac:dyDescent="0.4">
      <c r="A23" s="38">
        <v>37712</v>
      </c>
      <c r="B23" s="79">
        <v>7.05</v>
      </c>
      <c r="C23" s="81">
        <f t="shared" si="0"/>
        <v>5.689915777678676E-3</v>
      </c>
      <c r="D23" s="2"/>
      <c r="E23" s="2"/>
      <c r="F23" s="2"/>
      <c r="G23" s="2"/>
      <c r="H23" s="2"/>
      <c r="I23" s="2"/>
    </row>
    <row r="24" spans="1:9" x14ac:dyDescent="0.4">
      <c r="A24" s="38">
        <v>37742</v>
      </c>
      <c r="B24" s="79">
        <v>8.9</v>
      </c>
      <c r="C24" s="81">
        <f t="shared" si="0"/>
        <v>0.23302365991391691</v>
      </c>
      <c r="D24" s="2"/>
      <c r="E24" s="2"/>
      <c r="F24" s="2"/>
      <c r="G24" s="2"/>
      <c r="H24" s="2"/>
      <c r="I24" s="2"/>
    </row>
    <row r="25" spans="1:9" x14ac:dyDescent="0.4">
      <c r="A25" s="38">
        <v>37774</v>
      </c>
      <c r="B25" s="79">
        <v>9.4499999999999993</v>
      </c>
      <c r="C25" s="81">
        <f t="shared" si="0"/>
        <v>5.9963464767557061E-2</v>
      </c>
      <c r="D25" s="2"/>
      <c r="E25" s="2"/>
      <c r="F25" s="2"/>
      <c r="G25" s="2"/>
      <c r="H25" s="2"/>
      <c r="I25" s="2"/>
    </row>
    <row r="26" spans="1:9" x14ac:dyDescent="0.4">
      <c r="A26" s="38">
        <v>37803</v>
      </c>
      <c r="B26" s="79">
        <v>10.45</v>
      </c>
      <c r="C26" s="81">
        <f t="shared" si="0"/>
        <v>0.10058723690516862</v>
      </c>
      <c r="D26" s="2"/>
      <c r="E26" s="2"/>
      <c r="F26" s="2"/>
      <c r="G26" s="2"/>
      <c r="H26" s="2"/>
      <c r="I26" s="2"/>
    </row>
    <row r="27" spans="1:9" x14ac:dyDescent="0.4">
      <c r="A27" s="38">
        <v>37834</v>
      </c>
      <c r="B27" s="79">
        <v>11.21</v>
      </c>
      <c r="C27" s="81">
        <f t="shared" si="0"/>
        <v>7.0204258673248768E-2</v>
      </c>
      <c r="D27" s="2"/>
      <c r="E27" s="2"/>
      <c r="F27" s="2"/>
      <c r="G27" s="2"/>
      <c r="H27" s="2"/>
      <c r="I27" s="2"/>
    </row>
    <row r="28" spans="1:9" x14ac:dyDescent="0.4">
      <c r="A28" s="38">
        <v>37866</v>
      </c>
      <c r="B28" s="79">
        <v>10.27</v>
      </c>
      <c r="C28" s="81">
        <f t="shared" si="0"/>
        <v>-8.7579213143601758E-2</v>
      </c>
      <c r="D28" s="2"/>
      <c r="E28" s="2"/>
      <c r="F28" s="2"/>
      <c r="G28" s="2"/>
      <c r="H28" s="2"/>
      <c r="I28" s="2"/>
    </row>
    <row r="29" spans="1:9" x14ac:dyDescent="0.4">
      <c r="A29" s="38">
        <v>37895</v>
      </c>
      <c r="B29" s="79">
        <v>11.34</v>
      </c>
      <c r="C29" s="81">
        <f t="shared" si="0"/>
        <v>9.9109274359139202E-2</v>
      </c>
      <c r="D29" s="2"/>
      <c r="E29" s="2"/>
      <c r="F29" s="2"/>
      <c r="G29" s="2"/>
      <c r="H29" s="2"/>
      <c r="I29" s="2"/>
    </row>
    <row r="30" spans="1:9" x14ac:dyDescent="0.4">
      <c r="A30" s="38">
        <v>37928</v>
      </c>
      <c r="B30" s="79">
        <v>10.36</v>
      </c>
      <c r="C30" s="81">
        <f t="shared" si="0"/>
        <v>-9.0384061468269064E-2</v>
      </c>
      <c r="D30" s="2"/>
      <c r="E30" s="2"/>
      <c r="F30" s="2"/>
      <c r="G30" s="2"/>
      <c r="H30" s="2"/>
      <c r="I30" s="2"/>
    </row>
    <row r="31" spans="1:9" x14ac:dyDescent="0.4">
      <c r="A31" s="38">
        <v>37956</v>
      </c>
      <c r="B31" s="79">
        <v>10.59</v>
      </c>
      <c r="C31" s="81">
        <f t="shared" si="0"/>
        <v>2.1957922781978102E-2</v>
      </c>
      <c r="D31" s="2"/>
      <c r="E31" s="2"/>
      <c r="F31" s="2"/>
      <c r="G31" s="2"/>
      <c r="H31" s="2"/>
      <c r="I31" s="2"/>
    </row>
    <row r="32" spans="1:9" x14ac:dyDescent="0.4">
      <c r="A32" s="38">
        <v>37988</v>
      </c>
      <c r="B32" s="79">
        <v>11.18</v>
      </c>
      <c r="C32" s="81">
        <f t="shared" si="0"/>
        <v>5.4216308113637923E-2</v>
      </c>
      <c r="D32" s="2"/>
      <c r="E32" s="2"/>
      <c r="F32" s="2"/>
      <c r="G32" s="2"/>
      <c r="H32" s="2"/>
      <c r="I32" s="2"/>
    </row>
    <row r="33" spans="1:9" x14ac:dyDescent="0.4">
      <c r="A33" s="38">
        <v>38019</v>
      </c>
      <c r="B33" s="79">
        <v>11.85</v>
      </c>
      <c r="C33" s="81">
        <f t="shared" si="0"/>
        <v>5.8201399854187097E-2</v>
      </c>
      <c r="D33" s="2"/>
      <c r="E33" s="2"/>
      <c r="F33" s="2"/>
      <c r="G33" s="2"/>
      <c r="H33" s="2"/>
      <c r="I33" s="2"/>
    </row>
    <row r="34" spans="1:9" x14ac:dyDescent="0.4">
      <c r="A34" s="38">
        <v>38047</v>
      </c>
      <c r="B34" s="79">
        <v>13.4</v>
      </c>
      <c r="C34" s="81">
        <f t="shared" si="0"/>
        <v>0.12292683937572546</v>
      </c>
      <c r="D34" s="2"/>
      <c r="E34" s="2"/>
      <c r="F34" s="2"/>
      <c r="G34" s="2"/>
      <c r="H34" s="2"/>
      <c r="I34" s="2"/>
    </row>
    <row r="35" spans="1:9" x14ac:dyDescent="0.4">
      <c r="A35" s="38">
        <v>38078</v>
      </c>
      <c r="B35" s="79">
        <v>12.78</v>
      </c>
      <c r="C35" s="81">
        <f t="shared" si="0"/>
        <v>-4.7373258007477034E-2</v>
      </c>
      <c r="D35" s="2"/>
      <c r="E35" s="2"/>
      <c r="F35" s="2"/>
      <c r="G35" s="2"/>
      <c r="H35" s="2"/>
      <c r="I35" s="2"/>
    </row>
    <row r="36" spans="1:9" x14ac:dyDescent="0.4">
      <c r="A36" s="38">
        <v>38110</v>
      </c>
      <c r="B36" s="79">
        <v>13.91</v>
      </c>
      <c r="C36" s="81">
        <f t="shared" si="0"/>
        <v>8.4726556985962848E-2</v>
      </c>
      <c r="D36" s="2"/>
      <c r="E36" s="2"/>
      <c r="F36" s="2"/>
      <c r="G36" s="2"/>
      <c r="H36" s="2"/>
      <c r="I36" s="2"/>
    </row>
    <row r="37" spans="1:9" x14ac:dyDescent="0.4">
      <c r="A37" s="38">
        <v>38139</v>
      </c>
      <c r="B37" s="79">
        <v>16.13</v>
      </c>
      <c r="C37" s="81">
        <f t="shared" si="0"/>
        <v>0.14807288620176579</v>
      </c>
      <c r="D37" s="2"/>
      <c r="E37" s="2"/>
      <c r="F37" s="2"/>
      <c r="G37" s="2"/>
      <c r="H37" s="2"/>
      <c r="I37" s="2"/>
    </row>
    <row r="38" spans="1:9" x14ac:dyDescent="0.4">
      <c r="A38" s="38">
        <v>38169</v>
      </c>
      <c r="B38" s="79">
        <v>16.03</v>
      </c>
      <c r="C38" s="81">
        <f t="shared" si="0"/>
        <v>-6.2189255156557951E-3</v>
      </c>
      <c r="D38" s="2"/>
      <c r="E38" s="2"/>
      <c r="F38" s="2"/>
      <c r="G38" s="2"/>
      <c r="H38" s="2"/>
      <c r="I38" s="2"/>
    </row>
    <row r="39" spans="1:9" x14ac:dyDescent="0.4">
      <c r="A39" s="38">
        <v>38201</v>
      </c>
      <c r="B39" s="79">
        <v>17.09</v>
      </c>
      <c r="C39" s="81">
        <f t="shared" si="0"/>
        <v>6.4031530506037909E-2</v>
      </c>
      <c r="D39" s="2"/>
      <c r="E39" s="2"/>
      <c r="F39" s="2"/>
      <c r="G39" s="2"/>
      <c r="H39" s="2"/>
      <c r="I39" s="2"/>
    </row>
    <row r="40" spans="1:9" x14ac:dyDescent="0.4">
      <c r="A40" s="38">
        <v>38231</v>
      </c>
      <c r="B40" s="79">
        <v>19.2</v>
      </c>
      <c r="C40" s="81">
        <f t="shared" si="0"/>
        <v>0.11641678190623628</v>
      </c>
      <c r="D40" s="2"/>
      <c r="E40" s="2"/>
      <c r="F40" s="2"/>
      <c r="G40" s="2"/>
      <c r="H40" s="2"/>
      <c r="I40" s="2"/>
    </row>
    <row r="41" spans="1:9" x14ac:dyDescent="0.4">
      <c r="A41" s="38">
        <v>38261</v>
      </c>
      <c r="B41" s="79">
        <v>25.97</v>
      </c>
      <c r="C41" s="81">
        <f t="shared" si="0"/>
        <v>0.30203174664092119</v>
      </c>
      <c r="D41" s="2"/>
      <c r="E41" s="2"/>
      <c r="F41" s="2"/>
      <c r="G41" s="2"/>
      <c r="H41" s="2"/>
      <c r="I41" s="2"/>
    </row>
    <row r="42" spans="1:9" x14ac:dyDescent="0.4">
      <c r="A42" s="38">
        <v>38292</v>
      </c>
      <c r="B42" s="79">
        <v>33.229999999999997</v>
      </c>
      <c r="C42" s="81">
        <f t="shared" si="0"/>
        <v>0.24651105669184584</v>
      </c>
      <c r="D42" s="2"/>
      <c r="E42" s="2"/>
      <c r="F42" s="2"/>
      <c r="G42" s="2"/>
      <c r="H42" s="2"/>
      <c r="I42" s="2"/>
    </row>
    <row r="43" spans="1:9" x14ac:dyDescent="0.4">
      <c r="A43" s="38">
        <v>38322</v>
      </c>
      <c r="B43" s="79">
        <v>31.92</v>
      </c>
      <c r="C43" s="81">
        <f t="shared" si="0"/>
        <v>-4.0220309784894728E-2</v>
      </c>
      <c r="D43" s="2"/>
      <c r="E43" s="2"/>
      <c r="F43" s="2"/>
      <c r="G43" s="2"/>
      <c r="H43" s="2"/>
      <c r="I43" s="2"/>
    </row>
    <row r="44" spans="1:9" x14ac:dyDescent="0.4">
      <c r="A44" s="38">
        <v>38355</v>
      </c>
      <c r="B44" s="79">
        <v>38.11</v>
      </c>
      <c r="C44" s="81">
        <f t="shared" si="0"/>
        <v>0.17724394230416085</v>
      </c>
      <c r="D44" s="2"/>
      <c r="E44" s="2"/>
      <c r="F44" s="2"/>
      <c r="G44" s="2"/>
      <c r="H44" s="2"/>
      <c r="I44" s="2"/>
    </row>
    <row r="45" spans="1:9" x14ac:dyDescent="0.4">
      <c r="A45" s="38">
        <v>38384</v>
      </c>
      <c r="B45" s="79">
        <v>44.47</v>
      </c>
      <c r="C45" s="81">
        <f t="shared" si="0"/>
        <v>0.15433808963683626</v>
      </c>
      <c r="D45" s="2"/>
      <c r="E45" s="2"/>
      <c r="F45" s="2"/>
      <c r="G45" s="2"/>
      <c r="H45" s="2"/>
      <c r="I45" s="2"/>
    </row>
    <row r="46" spans="1:9" x14ac:dyDescent="0.4">
      <c r="A46" s="38">
        <v>38412</v>
      </c>
      <c r="B46" s="79">
        <v>41.3</v>
      </c>
      <c r="C46" s="81">
        <f t="shared" si="0"/>
        <v>-7.3952304555618006E-2</v>
      </c>
      <c r="D46" s="2"/>
      <c r="E46" s="2"/>
      <c r="F46" s="2"/>
      <c r="G46" s="2"/>
      <c r="H46" s="2"/>
      <c r="I46" s="2"/>
    </row>
    <row r="47" spans="1:9" x14ac:dyDescent="0.4">
      <c r="A47" s="38">
        <v>38443</v>
      </c>
      <c r="B47" s="79">
        <v>35.74</v>
      </c>
      <c r="C47" s="81">
        <f t="shared" si="0"/>
        <v>-0.14459199023570501</v>
      </c>
      <c r="D47" s="2"/>
      <c r="E47" s="2"/>
      <c r="F47" s="2"/>
      <c r="G47" s="2"/>
      <c r="H47" s="2"/>
      <c r="I47" s="2"/>
    </row>
    <row r="48" spans="1:9" x14ac:dyDescent="0.4">
      <c r="A48" s="38">
        <v>38474</v>
      </c>
      <c r="B48" s="79">
        <v>39.409999999999997</v>
      </c>
      <c r="C48" s="81">
        <f t="shared" si="0"/>
        <v>9.7749081475630176E-2</v>
      </c>
      <c r="D48" s="2"/>
      <c r="E48" s="2"/>
      <c r="F48" s="2"/>
      <c r="G48" s="2"/>
      <c r="H48" s="2"/>
      <c r="I48" s="2"/>
    </row>
    <row r="49" spans="1:9" x14ac:dyDescent="0.4">
      <c r="A49" s="38">
        <v>38504</v>
      </c>
      <c r="B49" s="79">
        <v>36.49</v>
      </c>
      <c r="C49" s="81">
        <f t="shared" si="0"/>
        <v>-7.6981340758555949E-2</v>
      </c>
      <c r="D49" s="2"/>
      <c r="E49" s="2"/>
      <c r="F49" s="2"/>
      <c r="G49" s="2"/>
      <c r="H49" s="2"/>
      <c r="I49" s="2"/>
    </row>
    <row r="50" spans="1:9" x14ac:dyDescent="0.4">
      <c r="A50" s="38">
        <v>38534</v>
      </c>
      <c r="B50" s="79">
        <v>42.27</v>
      </c>
      <c r="C50" s="81">
        <f t="shared" si="0"/>
        <v>0.14703936413034219</v>
      </c>
      <c r="D50" s="2"/>
      <c r="E50" s="2"/>
      <c r="F50" s="2"/>
      <c r="G50" s="2"/>
      <c r="H50" s="2"/>
      <c r="I50" s="2"/>
    </row>
    <row r="51" spans="1:9" x14ac:dyDescent="0.4">
      <c r="A51" s="38">
        <v>38565</v>
      </c>
      <c r="B51" s="79">
        <v>46.48</v>
      </c>
      <c r="C51" s="81">
        <f t="shared" si="0"/>
        <v>9.4944497964957145E-2</v>
      </c>
      <c r="D51" s="2"/>
      <c r="E51" s="2"/>
      <c r="F51" s="2"/>
      <c r="G51" s="2"/>
      <c r="H51" s="2"/>
      <c r="I51" s="2"/>
    </row>
    <row r="52" spans="1:9" x14ac:dyDescent="0.4">
      <c r="A52" s="38">
        <v>38596</v>
      </c>
      <c r="B52" s="79">
        <v>53.14</v>
      </c>
      <c r="C52" s="81">
        <f t="shared" si="0"/>
        <v>0.13390782778801172</v>
      </c>
      <c r="D52" s="2"/>
      <c r="E52" s="2"/>
      <c r="F52" s="2"/>
      <c r="G52" s="2"/>
      <c r="H52" s="2"/>
      <c r="I52" s="2"/>
    </row>
    <row r="53" spans="1:9" x14ac:dyDescent="0.4">
      <c r="A53" s="38">
        <v>38628</v>
      </c>
      <c r="B53" s="79">
        <v>57.08</v>
      </c>
      <c r="C53" s="81">
        <f t="shared" si="0"/>
        <v>7.1523852276968267E-2</v>
      </c>
      <c r="D53" s="2"/>
      <c r="E53" s="2"/>
      <c r="F53" s="2"/>
      <c r="G53" s="2"/>
      <c r="H53" s="2"/>
      <c r="I53" s="2"/>
    </row>
    <row r="54" spans="1:9" x14ac:dyDescent="0.4">
      <c r="A54" s="38">
        <v>38657</v>
      </c>
      <c r="B54" s="79">
        <v>67.22</v>
      </c>
      <c r="C54" s="81">
        <f t="shared" si="0"/>
        <v>0.16351702968832402</v>
      </c>
      <c r="D54" s="2"/>
      <c r="E54" s="2"/>
      <c r="F54" s="2"/>
      <c r="G54" s="2"/>
      <c r="H54" s="2"/>
      <c r="I54" s="2"/>
    </row>
    <row r="55" spans="1:9" x14ac:dyDescent="0.4">
      <c r="A55" s="38">
        <v>38687</v>
      </c>
      <c r="B55" s="79">
        <v>71.260000000000005</v>
      </c>
      <c r="C55" s="81">
        <f t="shared" si="0"/>
        <v>5.8364337880730435E-2</v>
      </c>
      <c r="D55" s="2"/>
      <c r="E55" s="2"/>
      <c r="F55" s="2"/>
      <c r="G55" s="2"/>
      <c r="H55" s="2"/>
      <c r="I55" s="2"/>
    </row>
    <row r="56" spans="1:9" x14ac:dyDescent="0.4">
      <c r="A56" s="38">
        <v>38720</v>
      </c>
      <c r="B56" s="79">
        <v>74.849999999999994</v>
      </c>
      <c r="C56" s="81">
        <f t="shared" si="0"/>
        <v>4.9150950687947254E-2</v>
      </c>
      <c r="D56" s="2"/>
      <c r="E56" s="2"/>
      <c r="F56" s="2"/>
      <c r="G56" s="2"/>
      <c r="H56" s="2"/>
      <c r="I56" s="2"/>
    </row>
    <row r="57" spans="1:9" x14ac:dyDescent="0.4">
      <c r="A57" s="38">
        <v>38749</v>
      </c>
      <c r="B57" s="79">
        <v>67.89</v>
      </c>
      <c r="C57" s="81">
        <f t="shared" si="0"/>
        <v>-9.7597362552081568E-2</v>
      </c>
      <c r="D57" s="2"/>
      <c r="E57" s="2"/>
      <c r="F57" s="2"/>
      <c r="G57" s="2"/>
      <c r="H57" s="2"/>
      <c r="I57" s="2"/>
    </row>
    <row r="58" spans="1:9" x14ac:dyDescent="0.4">
      <c r="A58" s="38">
        <v>38777</v>
      </c>
      <c r="B58" s="79">
        <v>62.17</v>
      </c>
      <c r="C58" s="81">
        <f t="shared" si="0"/>
        <v>-8.8016180032309502E-2</v>
      </c>
      <c r="D58" s="2"/>
      <c r="E58" s="2"/>
      <c r="F58" s="2"/>
      <c r="G58" s="2"/>
      <c r="H58" s="2"/>
      <c r="I58" s="2"/>
    </row>
    <row r="59" spans="1:9" x14ac:dyDescent="0.4">
      <c r="A59" s="38">
        <v>38810</v>
      </c>
      <c r="B59" s="79">
        <v>69.77</v>
      </c>
      <c r="C59" s="81">
        <f t="shared" si="0"/>
        <v>0.11533154966989892</v>
      </c>
      <c r="D59" s="2"/>
      <c r="E59" s="2"/>
      <c r="F59" s="2"/>
      <c r="G59" s="2"/>
      <c r="H59" s="2"/>
      <c r="I59" s="2"/>
    </row>
    <row r="60" spans="1:9" x14ac:dyDescent="0.4">
      <c r="A60" s="38">
        <v>38838</v>
      </c>
      <c r="B60" s="79">
        <v>59.24</v>
      </c>
      <c r="C60" s="81">
        <f t="shared" si="0"/>
        <v>-0.16360712855154702</v>
      </c>
      <c r="D60" s="2"/>
      <c r="E60" s="2"/>
      <c r="F60" s="2"/>
      <c r="G60" s="2"/>
      <c r="H60" s="2"/>
      <c r="I60" s="2"/>
    </row>
    <row r="61" spans="1:9" x14ac:dyDescent="0.4">
      <c r="A61" s="38">
        <v>38869</v>
      </c>
      <c r="B61" s="79">
        <v>56.77</v>
      </c>
      <c r="C61" s="81">
        <f t="shared" si="0"/>
        <v>-4.2588972216963172E-2</v>
      </c>
      <c r="D61" s="2"/>
      <c r="E61" s="2"/>
      <c r="F61" s="2"/>
      <c r="G61" s="2"/>
      <c r="H61" s="2"/>
      <c r="I61" s="2"/>
    </row>
    <row r="62" spans="1:9" x14ac:dyDescent="0.4">
      <c r="A62" s="38">
        <v>38901</v>
      </c>
      <c r="B62" s="79">
        <v>67.36</v>
      </c>
      <c r="C62" s="81">
        <f t="shared" si="0"/>
        <v>0.17104335275143639</v>
      </c>
      <c r="D62" s="2"/>
      <c r="E62" s="2"/>
      <c r="F62" s="2"/>
      <c r="G62" s="2"/>
      <c r="H62" s="2"/>
      <c r="I62" s="2"/>
    </row>
    <row r="63" spans="1:9" x14ac:dyDescent="0.4">
      <c r="A63" s="38">
        <v>38930</v>
      </c>
      <c r="B63" s="79">
        <v>67.25</v>
      </c>
      <c r="C63" s="81">
        <f t="shared" si="0"/>
        <v>-1.6343514521227913E-3</v>
      </c>
      <c r="D63" s="2"/>
      <c r="E63" s="2"/>
      <c r="F63" s="2"/>
      <c r="G63" s="2"/>
      <c r="H63" s="2"/>
      <c r="I63" s="2"/>
    </row>
    <row r="64" spans="1:9" x14ac:dyDescent="0.4">
      <c r="A64" s="38">
        <v>38961</v>
      </c>
      <c r="B64" s="79">
        <v>76.3</v>
      </c>
      <c r="C64" s="81">
        <f t="shared" si="0"/>
        <v>0.12625591980846285</v>
      </c>
      <c r="D64" s="2"/>
      <c r="E64" s="2"/>
      <c r="F64" s="2"/>
      <c r="G64" s="2"/>
      <c r="H64" s="2"/>
      <c r="I64" s="2"/>
    </row>
    <row r="65" spans="1:9" x14ac:dyDescent="0.4">
      <c r="A65" s="38">
        <v>38992</v>
      </c>
      <c r="B65" s="79">
        <v>80.37</v>
      </c>
      <c r="C65" s="81">
        <f t="shared" si="0"/>
        <v>5.1968033934215778E-2</v>
      </c>
      <c r="D65" s="2"/>
      <c r="E65" s="2"/>
      <c r="F65" s="2"/>
      <c r="G65" s="2"/>
      <c r="H65" s="2"/>
      <c r="I65" s="2"/>
    </row>
    <row r="66" spans="1:9" x14ac:dyDescent="0.4">
      <c r="A66" s="38">
        <v>39022</v>
      </c>
      <c r="B66" s="79">
        <v>90.85</v>
      </c>
      <c r="C66" s="81">
        <f t="shared" si="0"/>
        <v>0.12256882261755304</v>
      </c>
      <c r="D66" s="2"/>
      <c r="E66" s="2"/>
      <c r="F66" s="2"/>
      <c r="G66" s="2"/>
      <c r="H66" s="2"/>
      <c r="I66" s="2"/>
    </row>
    <row r="67" spans="1:9" x14ac:dyDescent="0.4">
      <c r="A67" s="38">
        <v>39052</v>
      </c>
      <c r="B67" s="79">
        <v>84.09</v>
      </c>
      <c r="C67" s="81">
        <f t="shared" si="0"/>
        <v>-7.7322140997373445E-2</v>
      </c>
      <c r="D67" s="2"/>
      <c r="E67" s="2"/>
      <c r="F67" s="2"/>
      <c r="G67" s="2"/>
      <c r="H67" s="2"/>
      <c r="I67" s="2"/>
    </row>
    <row r="68" spans="1:9" x14ac:dyDescent="0.4">
      <c r="A68" s="38">
        <v>39085</v>
      </c>
      <c r="B68" s="79">
        <v>84.98</v>
      </c>
      <c r="C68" s="81">
        <f t="shared" si="0"/>
        <v>1.0528280841858938E-2</v>
      </c>
      <c r="D68" s="2"/>
      <c r="E68" s="2"/>
      <c r="F68" s="2"/>
      <c r="G68" s="2"/>
      <c r="H68" s="2"/>
      <c r="I68" s="2"/>
    </row>
    <row r="69" spans="1:9" x14ac:dyDescent="0.4">
      <c r="A69" s="38">
        <v>39114</v>
      </c>
      <c r="B69" s="79">
        <v>83.87</v>
      </c>
      <c r="C69" s="81">
        <f t="shared" si="0"/>
        <v>-1.3147953690345344E-2</v>
      </c>
      <c r="D69" s="2"/>
      <c r="E69" s="2"/>
      <c r="F69" s="2"/>
      <c r="G69" s="2"/>
      <c r="H69" s="2"/>
      <c r="I69" s="2"/>
    </row>
    <row r="70" spans="1:9" x14ac:dyDescent="0.4">
      <c r="A70" s="38">
        <v>39142</v>
      </c>
      <c r="B70" s="79">
        <v>92.09</v>
      </c>
      <c r="C70" s="81">
        <f t="shared" ref="C70:C133" si="2">LN(B70/B69)</f>
        <v>9.3498378736955573E-2</v>
      </c>
      <c r="D70" s="2"/>
      <c r="E70" s="2"/>
      <c r="F70" s="2"/>
      <c r="G70" s="2"/>
      <c r="H70" s="2"/>
      <c r="I70" s="2"/>
    </row>
    <row r="71" spans="1:9" x14ac:dyDescent="0.4">
      <c r="A71" s="38">
        <v>39174</v>
      </c>
      <c r="B71" s="79">
        <v>98.92</v>
      </c>
      <c r="C71" s="81">
        <f t="shared" si="2"/>
        <v>7.154508291993969E-2</v>
      </c>
      <c r="D71" s="2"/>
      <c r="E71" s="2"/>
      <c r="F71" s="2"/>
      <c r="G71" s="2"/>
      <c r="H71" s="2"/>
      <c r="I71" s="2"/>
    </row>
    <row r="72" spans="1:9" x14ac:dyDescent="0.4">
      <c r="A72" s="38">
        <v>39203</v>
      </c>
      <c r="B72" s="79">
        <v>120.12</v>
      </c>
      <c r="C72" s="81">
        <f t="shared" si="2"/>
        <v>0.19417980046191416</v>
      </c>
      <c r="D72" s="2"/>
      <c r="E72" s="2"/>
      <c r="F72" s="2"/>
      <c r="G72" s="2"/>
      <c r="H72" s="2"/>
      <c r="I72" s="2"/>
    </row>
    <row r="73" spans="1:9" x14ac:dyDescent="0.4">
      <c r="A73" s="38">
        <v>39234</v>
      </c>
      <c r="B73" s="79">
        <v>120.97</v>
      </c>
      <c r="C73" s="81">
        <f t="shared" si="2"/>
        <v>7.0513378566272938E-3</v>
      </c>
      <c r="D73" s="2"/>
      <c r="E73" s="2"/>
      <c r="F73" s="2"/>
      <c r="G73" s="2"/>
      <c r="H73" s="2"/>
      <c r="I73" s="2"/>
    </row>
    <row r="74" spans="1:9" x14ac:dyDescent="0.4">
      <c r="A74" s="38">
        <v>39265</v>
      </c>
      <c r="B74" s="79">
        <v>130.6</v>
      </c>
      <c r="C74" s="81">
        <f t="shared" si="2"/>
        <v>7.6596635870573734E-2</v>
      </c>
      <c r="D74" s="2"/>
      <c r="E74" s="2"/>
      <c r="F74" s="2"/>
      <c r="G74" s="2"/>
      <c r="H74" s="2"/>
      <c r="I74" s="2"/>
    </row>
    <row r="75" spans="1:9" x14ac:dyDescent="0.4">
      <c r="A75" s="38">
        <v>39295</v>
      </c>
      <c r="B75" s="79">
        <v>137.26</v>
      </c>
      <c r="C75" s="81">
        <f t="shared" si="2"/>
        <v>4.9737720638157984E-2</v>
      </c>
      <c r="D75" s="2"/>
      <c r="E75" s="2"/>
      <c r="F75" s="2"/>
      <c r="G75" s="2"/>
      <c r="H75" s="2"/>
      <c r="I75" s="2"/>
    </row>
    <row r="76" spans="1:9" x14ac:dyDescent="0.4">
      <c r="A76" s="38">
        <v>39329</v>
      </c>
      <c r="B76" s="79">
        <v>152.12</v>
      </c>
      <c r="C76" s="81">
        <f t="shared" si="2"/>
        <v>0.10279274557957034</v>
      </c>
      <c r="D76" s="2"/>
      <c r="E76" s="2"/>
      <c r="F76" s="2"/>
      <c r="G76" s="2"/>
      <c r="H76" s="2"/>
      <c r="I76" s="2"/>
    </row>
    <row r="77" spans="1:9" x14ac:dyDescent="0.4">
      <c r="A77" s="38">
        <v>39356</v>
      </c>
      <c r="B77" s="79">
        <v>188.28</v>
      </c>
      <c r="C77" s="81">
        <f t="shared" si="2"/>
        <v>0.2132605334728826</v>
      </c>
      <c r="D77" s="2"/>
      <c r="E77" s="2"/>
      <c r="F77" s="2"/>
      <c r="G77" s="2"/>
      <c r="H77" s="2"/>
      <c r="I77" s="2"/>
    </row>
    <row r="78" spans="1:9" x14ac:dyDescent="0.4">
      <c r="A78" s="38">
        <v>39387</v>
      </c>
      <c r="B78" s="79">
        <v>180.62</v>
      </c>
      <c r="C78" s="81">
        <f t="shared" si="2"/>
        <v>-4.1534839710288839E-2</v>
      </c>
      <c r="D78" s="2"/>
      <c r="E78" s="2"/>
      <c r="F78" s="2"/>
      <c r="G78" s="2"/>
      <c r="H78" s="2"/>
      <c r="I78" s="2"/>
    </row>
    <row r="79" spans="1:9" x14ac:dyDescent="0.4">
      <c r="A79" s="38">
        <v>39419</v>
      </c>
      <c r="B79" s="79">
        <v>196.34</v>
      </c>
      <c r="C79" s="81">
        <f t="shared" si="2"/>
        <v>8.3452473441722616E-2</v>
      </c>
      <c r="D79" s="2"/>
      <c r="E79" s="2"/>
      <c r="F79" s="2"/>
      <c r="G79" s="2"/>
      <c r="H79" s="2"/>
      <c r="I79" s="2"/>
    </row>
    <row r="80" spans="1:9" x14ac:dyDescent="0.4">
      <c r="A80" s="38">
        <v>39449</v>
      </c>
      <c r="B80" s="79">
        <v>134.16999999999999</v>
      </c>
      <c r="C80" s="81">
        <f t="shared" si="2"/>
        <v>-0.38074019766199513</v>
      </c>
      <c r="D80" s="2"/>
      <c r="E80" s="2"/>
      <c r="F80" s="2"/>
      <c r="G80" s="2"/>
      <c r="H80" s="2"/>
      <c r="I80" s="2"/>
    </row>
    <row r="81" spans="1:9" x14ac:dyDescent="0.4">
      <c r="A81" s="38">
        <v>39479</v>
      </c>
      <c r="B81" s="79">
        <v>123.92</v>
      </c>
      <c r="C81" s="81">
        <f t="shared" si="2"/>
        <v>-7.9471456493766968E-2</v>
      </c>
      <c r="D81" s="2"/>
      <c r="E81" s="2"/>
      <c r="F81" s="2"/>
      <c r="G81" s="2"/>
      <c r="H81" s="2"/>
      <c r="I81" s="2"/>
    </row>
    <row r="82" spans="1:9" x14ac:dyDescent="0.4">
      <c r="A82" s="38">
        <v>39510</v>
      </c>
      <c r="B82" s="79">
        <v>142.24</v>
      </c>
      <c r="C82" s="81">
        <f t="shared" si="2"/>
        <v>0.13787957565698139</v>
      </c>
      <c r="D82" s="2"/>
      <c r="E82" s="2"/>
      <c r="F82" s="2"/>
      <c r="G82" s="2"/>
      <c r="H82" s="2"/>
      <c r="I82" s="2"/>
    </row>
    <row r="83" spans="1:9" x14ac:dyDescent="0.4">
      <c r="A83" s="38">
        <v>39539</v>
      </c>
      <c r="B83" s="79">
        <v>172.42</v>
      </c>
      <c r="C83" s="81">
        <f t="shared" si="2"/>
        <v>0.19241758901618444</v>
      </c>
      <c r="D83" s="2"/>
      <c r="E83" s="2"/>
      <c r="F83" s="2"/>
      <c r="G83" s="2"/>
      <c r="H83" s="2"/>
      <c r="I83" s="2"/>
    </row>
    <row r="84" spans="1:9" x14ac:dyDescent="0.4">
      <c r="A84" s="38">
        <v>39569</v>
      </c>
      <c r="B84" s="79">
        <v>187.09</v>
      </c>
      <c r="C84" s="81">
        <f t="shared" si="2"/>
        <v>8.1656423715548404E-2</v>
      </c>
      <c r="D84" s="2"/>
      <c r="E84" s="2"/>
      <c r="F84" s="2"/>
      <c r="G84" s="2"/>
      <c r="H84" s="2"/>
      <c r="I84" s="2"/>
    </row>
    <row r="85" spans="1:9" x14ac:dyDescent="0.4">
      <c r="A85" s="38">
        <v>39601</v>
      </c>
      <c r="B85" s="79">
        <v>165.97</v>
      </c>
      <c r="C85" s="81">
        <f t="shared" si="2"/>
        <v>-0.11978273536469983</v>
      </c>
      <c r="D85" s="2"/>
      <c r="E85" s="2"/>
      <c r="F85" s="2"/>
      <c r="G85" s="2"/>
      <c r="H85" s="2"/>
      <c r="I85" s="2"/>
    </row>
    <row r="86" spans="1:9" x14ac:dyDescent="0.4">
      <c r="A86" s="38">
        <v>39630</v>
      </c>
      <c r="B86" s="79">
        <v>157.55000000000001</v>
      </c>
      <c r="C86" s="81">
        <f t="shared" si="2"/>
        <v>-5.2064180929343763E-2</v>
      </c>
      <c r="D86" s="2"/>
      <c r="E86" s="2"/>
      <c r="F86" s="2"/>
      <c r="G86" s="2"/>
      <c r="H86" s="2"/>
      <c r="I86" s="2"/>
    </row>
    <row r="87" spans="1:9" x14ac:dyDescent="0.4">
      <c r="A87" s="38">
        <v>39661</v>
      </c>
      <c r="B87" s="79">
        <v>168.04</v>
      </c>
      <c r="C87" s="81">
        <f t="shared" si="2"/>
        <v>6.4459178097897585E-2</v>
      </c>
      <c r="D87" s="2"/>
      <c r="E87" s="2"/>
      <c r="F87" s="2"/>
      <c r="G87" s="2"/>
      <c r="H87" s="2"/>
      <c r="I87" s="2"/>
    </row>
    <row r="88" spans="1:9" x14ac:dyDescent="0.4">
      <c r="A88" s="38">
        <v>39693</v>
      </c>
      <c r="B88" s="79">
        <v>112.66</v>
      </c>
      <c r="C88" s="81">
        <f t="shared" si="2"/>
        <v>-0.39982761283461332</v>
      </c>
      <c r="D88" s="2"/>
      <c r="E88" s="2"/>
      <c r="F88" s="2"/>
      <c r="G88" s="2"/>
      <c r="H88" s="2"/>
      <c r="I88" s="2"/>
    </row>
    <row r="89" spans="1:9" x14ac:dyDescent="0.4">
      <c r="A89" s="38">
        <v>39722</v>
      </c>
      <c r="B89" s="79">
        <v>106.64</v>
      </c>
      <c r="C89" s="81">
        <f t="shared" si="2"/>
        <v>-5.4915757596114653E-2</v>
      </c>
      <c r="D89" s="2"/>
      <c r="E89" s="2"/>
      <c r="F89" s="2"/>
      <c r="G89" s="2"/>
      <c r="H89" s="2"/>
      <c r="I89" s="2"/>
    </row>
    <row r="90" spans="1:9" x14ac:dyDescent="0.4">
      <c r="A90" s="38">
        <v>39755</v>
      </c>
      <c r="B90" s="79">
        <v>91.85</v>
      </c>
      <c r="C90" s="81">
        <f t="shared" si="2"/>
        <v>-0.14930186420931865</v>
      </c>
      <c r="D90" s="2"/>
      <c r="E90" s="2"/>
      <c r="F90" s="2"/>
      <c r="G90" s="2"/>
      <c r="H90" s="2"/>
      <c r="I90" s="2"/>
    </row>
    <row r="91" spans="1:9" x14ac:dyDescent="0.4">
      <c r="A91" s="38">
        <v>39783</v>
      </c>
      <c r="B91" s="79">
        <v>84.6</v>
      </c>
      <c r="C91" s="81">
        <f t="shared" si="2"/>
        <v>-8.222254504895711E-2</v>
      </c>
      <c r="D91" s="2"/>
      <c r="E91" s="2"/>
      <c r="F91" s="2"/>
      <c r="G91" s="2"/>
      <c r="H91" s="2"/>
      <c r="I91" s="2"/>
    </row>
    <row r="92" spans="1:9" x14ac:dyDescent="0.4">
      <c r="A92" s="38">
        <v>39815</v>
      </c>
      <c r="B92" s="79">
        <v>89.34</v>
      </c>
      <c r="C92" s="81">
        <f t="shared" si="2"/>
        <v>5.4515049311795155E-2</v>
      </c>
      <c r="D92" s="2"/>
      <c r="E92" s="2"/>
      <c r="F92" s="2"/>
      <c r="G92" s="2"/>
      <c r="H92" s="2"/>
      <c r="I92" s="2"/>
    </row>
    <row r="93" spans="1:9" x14ac:dyDescent="0.4">
      <c r="A93" s="38">
        <v>39846</v>
      </c>
      <c r="B93" s="79">
        <v>88.52</v>
      </c>
      <c r="C93" s="81">
        <f t="shared" si="2"/>
        <v>-9.2208007411237816E-3</v>
      </c>
      <c r="D93" s="2"/>
      <c r="E93" s="2"/>
      <c r="F93" s="2"/>
      <c r="G93" s="2"/>
      <c r="H93" s="2"/>
      <c r="I93" s="2"/>
    </row>
    <row r="94" spans="1:9" x14ac:dyDescent="0.4">
      <c r="A94" s="38">
        <v>39874</v>
      </c>
      <c r="B94" s="79">
        <v>104.19</v>
      </c>
      <c r="C94" s="81">
        <f t="shared" si="2"/>
        <v>0.16298764024124343</v>
      </c>
      <c r="D94" s="2"/>
      <c r="E94" s="2"/>
      <c r="F94" s="2"/>
      <c r="G94" s="2"/>
      <c r="H94" s="2"/>
      <c r="I94" s="2"/>
    </row>
    <row r="95" spans="1:9" x14ac:dyDescent="0.4">
      <c r="A95" s="38">
        <v>39904</v>
      </c>
      <c r="B95" s="79">
        <v>124.72</v>
      </c>
      <c r="C95" s="81">
        <f t="shared" si="2"/>
        <v>0.1798550693254288</v>
      </c>
      <c r="D95" s="2"/>
      <c r="E95" s="2"/>
      <c r="F95" s="2"/>
      <c r="G95" s="2"/>
      <c r="H95" s="2"/>
      <c r="I95" s="2"/>
    </row>
    <row r="96" spans="1:9" x14ac:dyDescent="0.4">
      <c r="A96" s="38">
        <v>39934</v>
      </c>
      <c r="B96" s="79">
        <v>134.61000000000001</v>
      </c>
      <c r="C96" s="81">
        <f t="shared" si="2"/>
        <v>7.6310483906480653E-2</v>
      </c>
      <c r="D96" s="2"/>
      <c r="E96" s="2"/>
      <c r="F96" s="2"/>
      <c r="G96" s="2"/>
      <c r="H96" s="2"/>
      <c r="I96" s="2"/>
    </row>
    <row r="97" spans="1:9" x14ac:dyDescent="0.4">
      <c r="A97" s="38">
        <v>39965</v>
      </c>
      <c r="B97" s="79">
        <v>141.18</v>
      </c>
      <c r="C97" s="81">
        <f t="shared" si="2"/>
        <v>4.7653963311324474E-2</v>
      </c>
      <c r="D97" s="2"/>
      <c r="E97" s="2"/>
      <c r="F97" s="2"/>
      <c r="G97" s="2"/>
      <c r="H97" s="2"/>
      <c r="I97" s="2"/>
    </row>
    <row r="98" spans="1:9" x14ac:dyDescent="0.4">
      <c r="A98" s="38">
        <v>39995</v>
      </c>
      <c r="B98" s="79">
        <v>161.94999999999999</v>
      </c>
      <c r="C98" s="81">
        <f t="shared" si="2"/>
        <v>0.13725197365001213</v>
      </c>
      <c r="D98" s="2"/>
      <c r="E98" s="2"/>
      <c r="F98" s="2"/>
      <c r="G98" s="2"/>
      <c r="H98" s="2"/>
      <c r="I98" s="2"/>
    </row>
    <row r="99" spans="1:9" x14ac:dyDescent="0.4">
      <c r="A99" s="38">
        <v>40028</v>
      </c>
      <c r="B99" s="79">
        <v>166.73</v>
      </c>
      <c r="C99" s="81">
        <f t="shared" si="2"/>
        <v>2.9088091955029111E-2</v>
      </c>
      <c r="D99" s="2"/>
      <c r="E99" s="2"/>
      <c r="F99" s="2"/>
      <c r="G99" s="2"/>
      <c r="H99" s="2"/>
      <c r="I99" s="2"/>
    </row>
    <row r="100" spans="1:9" x14ac:dyDescent="0.4">
      <c r="A100" s="38">
        <v>40057</v>
      </c>
      <c r="B100" s="79">
        <v>183.72</v>
      </c>
      <c r="C100" s="81">
        <f t="shared" si="2"/>
        <v>9.7037121885225189E-2</v>
      </c>
      <c r="D100" s="2"/>
      <c r="E100" s="2"/>
      <c r="F100" s="2"/>
      <c r="G100" s="2"/>
      <c r="H100" s="2"/>
      <c r="I100" s="2"/>
    </row>
    <row r="101" spans="1:9" x14ac:dyDescent="0.4">
      <c r="A101" s="38">
        <v>40087</v>
      </c>
      <c r="B101" s="79">
        <v>186.84</v>
      </c>
      <c r="C101" s="81">
        <f t="shared" si="2"/>
        <v>1.6839776176314703E-2</v>
      </c>
      <c r="D101" s="2"/>
      <c r="E101" s="2"/>
      <c r="F101" s="2"/>
      <c r="G101" s="2"/>
      <c r="H101" s="2"/>
      <c r="I101" s="2"/>
    </row>
    <row r="102" spans="1:9" x14ac:dyDescent="0.4">
      <c r="A102" s="38">
        <v>40119</v>
      </c>
      <c r="B102" s="79">
        <v>198.15</v>
      </c>
      <c r="C102" s="81">
        <f t="shared" si="2"/>
        <v>5.8771684002536725E-2</v>
      </c>
      <c r="D102" s="2"/>
      <c r="E102" s="2"/>
      <c r="F102" s="2"/>
      <c r="G102" s="2"/>
      <c r="H102" s="2"/>
      <c r="I102" s="2"/>
    </row>
    <row r="103" spans="1:9" x14ac:dyDescent="0.4">
      <c r="A103" s="38">
        <v>40148</v>
      </c>
      <c r="B103" s="79">
        <v>208.88</v>
      </c>
      <c r="C103" s="81">
        <f t="shared" si="2"/>
        <v>5.2735604754429316E-2</v>
      </c>
      <c r="D103" s="2"/>
      <c r="E103" s="2"/>
      <c r="F103" s="2"/>
      <c r="G103" s="2"/>
      <c r="H103" s="2"/>
      <c r="I103" s="2"/>
    </row>
    <row r="104" spans="1:9" x14ac:dyDescent="0.4">
      <c r="A104" s="38">
        <v>40182</v>
      </c>
      <c r="B104" s="79">
        <v>190.37</v>
      </c>
      <c r="C104" s="81">
        <f t="shared" si="2"/>
        <v>-9.2790377473176006E-2</v>
      </c>
      <c r="D104" s="2"/>
      <c r="E104" s="2"/>
      <c r="F104" s="2"/>
      <c r="G104" s="2"/>
      <c r="H104" s="2"/>
      <c r="I104" s="2"/>
    </row>
    <row r="105" spans="1:9" x14ac:dyDescent="0.4">
      <c r="A105" s="38">
        <v>40210</v>
      </c>
      <c r="B105" s="79">
        <v>202.82</v>
      </c>
      <c r="C105" s="81">
        <f t="shared" si="2"/>
        <v>6.3349339266152882E-2</v>
      </c>
      <c r="D105" s="2"/>
      <c r="E105" s="2"/>
      <c r="F105" s="2"/>
      <c r="G105" s="2"/>
      <c r="H105" s="2"/>
      <c r="I105" s="2"/>
    </row>
    <row r="106" spans="1:9" x14ac:dyDescent="0.4">
      <c r="A106" s="38">
        <v>40238</v>
      </c>
      <c r="B106" s="79">
        <v>232.93</v>
      </c>
      <c r="C106" s="81">
        <f t="shared" si="2"/>
        <v>0.13841909305941275</v>
      </c>
      <c r="D106" s="2"/>
      <c r="E106" s="2"/>
      <c r="F106" s="2"/>
      <c r="G106" s="2"/>
      <c r="H106" s="2"/>
      <c r="I106" s="2"/>
    </row>
    <row r="107" spans="1:9" x14ac:dyDescent="0.4">
      <c r="A107" s="38">
        <v>40269</v>
      </c>
      <c r="B107" s="79">
        <v>258.79000000000002</v>
      </c>
      <c r="C107" s="81">
        <f t="shared" si="2"/>
        <v>0.10527894276059094</v>
      </c>
      <c r="D107" s="2"/>
      <c r="E107" s="2"/>
      <c r="F107" s="2"/>
      <c r="G107" s="2"/>
      <c r="H107" s="2"/>
      <c r="I107" s="2"/>
    </row>
    <row r="108" spans="1:9" x14ac:dyDescent="0.4">
      <c r="A108" s="38">
        <v>40301</v>
      </c>
      <c r="B108" s="79">
        <v>254.62</v>
      </c>
      <c r="C108" s="81">
        <f t="shared" si="2"/>
        <v>-1.6244684370354548E-2</v>
      </c>
      <c r="D108" s="2"/>
      <c r="E108" s="2"/>
      <c r="F108" s="2"/>
      <c r="G108" s="2"/>
      <c r="H108" s="2"/>
      <c r="I108" s="2"/>
    </row>
    <row r="109" spans="1:9" x14ac:dyDescent="0.4">
      <c r="A109" s="38">
        <v>40330</v>
      </c>
      <c r="B109" s="79">
        <v>249.32</v>
      </c>
      <c r="C109" s="81">
        <f t="shared" si="2"/>
        <v>-2.1035025692849561E-2</v>
      </c>
      <c r="D109" s="2"/>
      <c r="E109" s="2"/>
      <c r="F109" s="2"/>
      <c r="G109" s="2"/>
      <c r="H109" s="2"/>
      <c r="I109" s="2"/>
    </row>
    <row r="110" spans="1:9" x14ac:dyDescent="0.4">
      <c r="A110" s="38">
        <v>40360</v>
      </c>
      <c r="B110" s="79">
        <v>254.99</v>
      </c>
      <c r="C110" s="81">
        <f t="shared" si="2"/>
        <v>2.2487116762546659E-2</v>
      </c>
      <c r="D110" s="2"/>
      <c r="E110" s="2"/>
      <c r="F110" s="2"/>
      <c r="G110" s="2"/>
      <c r="H110" s="2"/>
      <c r="I110" s="2"/>
    </row>
    <row r="111" spans="1:9" x14ac:dyDescent="0.4">
      <c r="A111" s="38">
        <v>40392</v>
      </c>
      <c r="B111" s="79">
        <v>240.96</v>
      </c>
      <c r="C111" s="81">
        <f t="shared" si="2"/>
        <v>-5.6593384091667774E-2</v>
      </c>
      <c r="D111" s="2"/>
      <c r="E111" s="2"/>
      <c r="F111" s="2"/>
      <c r="G111" s="2"/>
      <c r="H111" s="2"/>
      <c r="I111" s="2"/>
    </row>
    <row r="112" spans="1:9" x14ac:dyDescent="0.4">
      <c r="A112" s="38">
        <v>40422</v>
      </c>
      <c r="B112" s="79">
        <v>281.25</v>
      </c>
      <c r="C112" s="81">
        <f t="shared" si="2"/>
        <v>0.15461300890710111</v>
      </c>
      <c r="D112" s="2"/>
      <c r="E112" s="2"/>
      <c r="F112" s="2"/>
      <c r="G112" s="2"/>
      <c r="H112" s="2"/>
      <c r="I112" s="2"/>
    </row>
    <row r="113" spans="1:9" x14ac:dyDescent="0.4">
      <c r="A113" s="38">
        <v>40452</v>
      </c>
      <c r="B113" s="79">
        <v>298.33</v>
      </c>
      <c r="C113" s="81">
        <f t="shared" si="2"/>
        <v>5.895630284133771E-2</v>
      </c>
      <c r="D113" s="2"/>
      <c r="E113" s="2"/>
      <c r="F113" s="2"/>
      <c r="G113" s="2"/>
      <c r="H113" s="2"/>
      <c r="I113" s="2"/>
    </row>
    <row r="114" spans="1:9" x14ac:dyDescent="0.4">
      <c r="A114" s="38">
        <v>40483</v>
      </c>
      <c r="B114" s="79">
        <v>308.41000000000003</v>
      </c>
      <c r="C114" s="81">
        <f t="shared" si="2"/>
        <v>3.322981022504487E-2</v>
      </c>
      <c r="D114" s="2"/>
      <c r="E114" s="2"/>
      <c r="F114" s="2"/>
      <c r="G114" s="2"/>
      <c r="H114" s="2"/>
      <c r="I114" s="2"/>
    </row>
    <row r="115" spans="1:9" x14ac:dyDescent="0.4">
      <c r="A115" s="38">
        <v>40513</v>
      </c>
      <c r="B115" s="79">
        <v>319.72000000000003</v>
      </c>
      <c r="C115" s="81">
        <f t="shared" si="2"/>
        <v>3.6015546172806112E-2</v>
      </c>
      <c r="D115" s="2"/>
      <c r="E115" s="2"/>
      <c r="F115" s="2"/>
      <c r="G115" s="2"/>
      <c r="H115" s="2"/>
      <c r="I115" s="2"/>
    </row>
    <row r="116" spans="1:9" x14ac:dyDescent="0.4">
      <c r="A116" s="38">
        <v>40546</v>
      </c>
      <c r="B116" s="79">
        <v>336.33</v>
      </c>
      <c r="C116" s="81">
        <f t="shared" si="2"/>
        <v>5.0647208075793537E-2</v>
      </c>
      <c r="D116" s="2"/>
      <c r="E116" s="2"/>
      <c r="F116" s="2"/>
      <c r="G116" s="2"/>
      <c r="H116" s="2"/>
      <c r="I116" s="2"/>
    </row>
    <row r="117" spans="1:9" x14ac:dyDescent="0.4">
      <c r="A117" s="38">
        <v>40575</v>
      </c>
      <c r="B117" s="79">
        <v>350.1</v>
      </c>
      <c r="C117" s="81">
        <f t="shared" si="2"/>
        <v>4.0126007127008263E-2</v>
      </c>
      <c r="D117" s="2"/>
      <c r="E117" s="2"/>
      <c r="F117" s="2"/>
      <c r="G117" s="2"/>
      <c r="H117" s="2"/>
      <c r="I117" s="2"/>
    </row>
    <row r="118" spans="1:9" x14ac:dyDescent="0.4">
      <c r="A118" s="38">
        <v>40603</v>
      </c>
      <c r="B118" s="79">
        <v>345.44</v>
      </c>
      <c r="C118" s="81">
        <f t="shared" si="2"/>
        <v>-1.3399861194122885E-2</v>
      </c>
      <c r="D118" s="2"/>
      <c r="E118" s="2"/>
      <c r="F118" s="2"/>
      <c r="G118" s="2"/>
      <c r="H118" s="2"/>
      <c r="I118" s="2"/>
    </row>
    <row r="119" spans="1:9" x14ac:dyDescent="0.4">
      <c r="A119" s="38">
        <v>40634</v>
      </c>
      <c r="B119" s="79">
        <v>347.05</v>
      </c>
      <c r="C119" s="81">
        <f t="shared" si="2"/>
        <v>4.6498950190954702E-3</v>
      </c>
      <c r="D119" s="2"/>
      <c r="E119" s="2"/>
      <c r="F119" s="2"/>
      <c r="G119" s="2"/>
      <c r="H119" s="2"/>
      <c r="I119" s="2"/>
    </row>
    <row r="120" spans="1:9" x14ac:dyDescent="0.4">
      <c r="A120" s="38">
        <v>40665</v>
      </c>
      <c r="B120" s="79">
        <v>344.77</v>
      </c>
      <c r="C120" s="81">
        <f t="shared" si="2"/>
        <v>-6.5913337419367408E-3</v>
      </c>
      <c r="D120" s="2"/>
      <c r="E120" s="2"/>
      <c r="F120" s="2"/>
      <c r="G120" s="2"/>
      <c r="H120" s="2"/>
      <c r="I120" s="2"/>
    </row>
    <row r="121" spans="1:9" x14ac:dyDescent="0.4">
      <c r="A121" s="38">
        <v>40695</v>
      </c>
      <c r="B121" s="79">
        <v>332.72</v>
      </c>
      <c r="C121" s="81">
        <f t="shared" si="2"/>
        <v>-3.5576232608999662E-2</v>
      </c>
      <c r="D121" s="2"/>
      <c r="E121" s="2"/>
      <c r="F121" s="2"/>
      <c r="G121" s="2"/>
      <c r="H121" s="2"/>
      <c r="I121" s="2"/>
    </row>
    <row r="122" spans="1:9" x14ac:dyDescent="0.4">
      <c r="A122" s="38">
        <v>40725</v>
      </c>
      <c r="B122" s="79">
        <v>387.04</v>
      </c>
      <c r="C122" s="81">
        <f t="shared" si="2"/>
        <v>0.15122675142706085</v>
      </c>
      <c r="D122" s="2"/>
      <c r="E122" s="2"/>
      <c r="F122" s="2"/>
      <c r="G122" s="2"/>
      <c r="H122" s="2"/>
      <c r="I122" s="2"/>
    </row>
    <row r="123" spans="1:9" x14ac:dyDescent="0.4">
      <c r="A123" s="38">
        <v>40756</v>
      </c>
      <c r="B123" s="79">
        <v>381.44</v>
      </c>
      <c r="C123" s="81">
        <f t="shared" si="2"/>
        <v>-1.4574482424786957E-2</v>
      </c>
      <c r="D123" s="2"/>
      <c r="E123" s="2"/>
      <c r="F123" s="2"/>
      <c r="G123" s="2"/>
      <c r="H123" s="2"/>
      <c r="I123" s="2"/>
    </row>
    <row r="124" spans="1:9" x14ac:dyDescent="0.4">
      <c r="A124" s="38">
        <v>40787</v>
      </c>
      <c r="B124" s="79">
        <v>377.96</v>
      </c>
      <c r="C124" s="81">
        <f t="shared" si="2"/>
        <v>-9.1651945225051795E-3</v>
      </c>
      <c r="D124" s="2"/>
      <c r="E124" s="2"/>
      <c r="F124" s="2"/>
      <c r="G124" s="2"/>
      <c r="H124" s="2"/>
      <c r="I124" s="2"/>
    </row>
    <row r="125" spans="1:9" x14ac:dyDescent="0.4">
      <c r="A125" s="38">
        <v>40819</v>
      </c>
      <c r="B125" s="79">
        <v>401.22</v>
      </c>
      <c r="C125" s="81">
        <f t="shared" si="2"/>
        <v>5.9721535379517118E-2</v>
      </c>
      <c r="D125" s="2"/>
      <c r="E125" s="2"/>
      <c r="F125" s="2"/>
      <c r="G125" s="2"/>
      <c r="H125" s="2"/>
      <c r="I125" s="2"/>
    </row>
    <row r="126" spans="1:9" x14ac:dyDescent="0.4">
      <c r="A126" s="38">
        <v>40848</v>
      </c>
      <c r="B126" s="79">
        <v>378.84</v>
      </c>
      <c r="C126" s="81">
        <f t="shared" si="2"/>
        <v>-5.7395952936041675E-2</v>
      </c>
      <c r="D126" s="2"/>
      <c r="E126" s="2"/>
      <c r="F126" s="2"/>
      <c r="G126" s="2"/>
      <c r="H126" s="2"/>
      <c r="I126" s="2"/>
    </row>
    <row r="127" spans="1:9" x14ac:dyDescent="0.4">
      <c r="A127" s="38">
        <v>40878</v>
      </c>
      <c r="B127" s="79">
        <v>401.44</v>
      </c>
      <c r="C127" s="81">
        <f t="shared" si="2"/>
        <v>5.7944130260211515E-2</v>
      </c>
      <c r="D127" s="2"/>
      <c r="E127" s="2"/>
      <c r="F127" s="2"/>
      <c r="G127" s="2"/>
      <c r="H127" s="2"/>
      <c r="I127" s="2"/>
    </row>
    <row r="128" spans="1:9" x14ac:dyDescent="0.4">
      <c r="A128" s="38">
        <v>40911</v>
      </c>
      <c r="B128" s="79">
        <v>452.46</v>
      </c>
      <c r="C128" s="81">
        <f t="shared" si="2"/>
        <v>0.11964127882449839</v>
      </c>
      <c r="D128" s="2"/>
      <c r="E128" s="2"/>
      <c r="F128" s="2"/>
      <c r="G128" s="2"/>
      <c r="H128" s="2"/>
      <c r="I128" s="2"/>
    </row>
    <row r="129" spans="1:9" x14ac:dyDescent="0.4">
      <c r="A129" s="38">
        <v>40940</v>
      </c>
      <c r="B129" s="79">
        <v>537.66999999999996</v>
      </c>
      <c r="C129" s="81">
        <f t="shared" si="2"/>
        <v>0.17254562762329329</v>
      </c>
      <c r="D129" s="2"/>
      <c r="E129" s="2"/>
      <c r="F129" s="2"/>
      <c r="G129" s="2"/>
      <c r="H129" s="2"/>
      <c r="I129" s="2"/>
    </row>
    <row r="130" spans="1:9" x14ac:dyDescent="0.4">
      <c r="A130" s="38">
        <v>40969</v>
      </c>
      <c r="B130" s="79">
        <v>594.27</v>
      </c>
      <c r="C130" s="81">
        <f t="shared" si="2"/>
        <v>0.10008877247679548</v>
      </c>
      <c r="D130" s="2"/>
      <c r="E130" s="2"/>
      <c r="F130" s="2"/>
      <c r="G130" s="2"/>
      <c r="H130" s="2"/>
      <c r="I130" s="2"/>
    </row>
    <row r="131" spans="1:9" x14ac:dyDescent="0.4">
      <c r="A131" s="38">
        <v>41001</v>
      </c>
      <c r="B131" s="79">
        <v>578.84</v>
      </c>
      <c r="C131" s="81">
        <f t="shared" si="2"/>
        <v>-2.6307660672907393E-2</v>
      </c>
      <c r="D131" s="2"/>
      <c r="E131" s="2"/>
      <c r="F131" s="2"/>
      <c r="G131" s="2"/>
      <c r="H131" s="2"/>
      <c r="I131" s="2"/>
    </row>
    <row r="132" spans="1:9" x14ac:dyDescent="0.4">
      <c r="A132" s="38">
        <v>41030</v>
      </c>
      <c r="B132" s="79">
        <v>572.64</v>
      </c>
      <c r="C132" s="81">
        <f t="shared" si="2"/>
        <v>-1.0768853852076338E-2</v>
      </c>
      <c r="D132" s="2"/>
      <c r="E132" s="2"/>
      <c r="F132" s="2"/>
      <c r="G132" s="2"/>
      <c r="H132" s="2"/>
      <c r="I132" s="2"/>
    </row>
    <row r="133" spans="1:9" x14ac:dyDescent="0.4">
      <c r="A133" s="38">
        <v>41061</v>
      </c>
      <c r="B133" s="79">
        <v>578.86</v>
      </c>
      <c r="C133" s="81">
        <f t="shared" si="2"/>
        <v>1.0803405117519954E-2</v>
      </c>
      <c r="D133" s="2"/>
      <c r="E133" s="2"/>
      <c r="F133" s="2"/>
      <c r="G133" s="2"/>
      <c r="H133" s="2"/>
      <c r="I133" s="2"/>
    </row>
    <row r="134" spans="1:9" x14ac:dyDescent="0.4">
      <c r="A134" s="38">
        <v>41092</v>
      </c>
      <c r="B134" s="79">
        <v>605.38</v>
      </c>
      <c r="C134" s="81">
        <f t="shared" ref="C134:C140" si="3">LN(B134/B133)</f>
        <v>4.4795707897431633E-2</v>
      </c>
      <c r="D134" s="2"/>
      <c r="E134" s="2"/>
      <c r="F134" s="2"/>
      <c r="G134" s="2"/>
      <c r="H134" s="2"/>
      <c r="I134" s="2"/>
    </row>
    <row r="135" spans="1:9" x14ac:dyDescent="0.4">
      <c r="A135" s="38">
        <v>41122</v>
      </c>
      <c r="B135" s="79">
        <v>662.22</v>
      </c>
      <c r="C135" s="81">
        <f t="shared" si="3"/>
        <v>8.974146698018047E-2</v>
      </c>
      <c r="D135" s="2"/>
      <c r="E135" s="2"/>
      <c r="F135" s="2"/>
      <c r="G135" s="2"/>
      <c r="H135" s="2"/>
      <c r="I135" s="2"/>
    </row>
    <row r="136" spans="1:9" x14ac:dyDescent="0.4">
      <c r="A136" s="38">
        <v>41156</v>
      </c>
      <c r="B136" s="79">
        <v>664.07</v>
      </c>
      <c r="C136" s="81">
        <f t="shared" si="3"/>
        <v>2.7897385938577138E-3</v>
      </c>
      <c r="D136" s="2"/>
      <c r="E136" s="2"/>
      <c r="F136" s="2"/>
      <c r="G136" s="2"/>
      <c r="H136" s="2"/>
      <c r="I136" s="2"/>
    </row>
    <row r="137" spans="1:9" x14ac:dyDescent="0.4">
      <c r="A137" s="38">
        <v>41183</v>
      </c>
      <c r="B137" s="79">
        <v>592.61</v>
      </c>
      <c r="C137" s="81">
        <f t="shared" si="3"/>
        <v>-0.11385105582055298</v>
      </c>
      <c r="D137" s="2"/>
      <c r="E137" s="2"/>
      <c r="F137" s="2"/>
      <c r="G137" s="2"/>
      <c r="H137" s="2"/>
      <c r="I137" s="2"/>
    </row>
    <row r="138" spans="1:9" x14ac:dyDescent="0.4">
      <c r="A138" s="38">
        <v>41214</v>
      </c>
      <c r="B138" s="79">
        <v>585.28</v>
      </c>
      <c r="C138" s="81">
        <f t="shared" si="3"/>
        <v>-1.244614458365159E-2</v>
      </c>
      <c r="D138" s="2"/>
      <c r="E138" s="2"/>
      <c r="F138" s="2"/>
      <c r="G138" s="2"/>
      <c r="H138" s="2"/>
      <c r="I138" s="2"/>
    </row>
    <row r="139" spans="1:9" x14ac:dyDescent="0.4">
      <c r="A139" s="38">
        <v>41246</v>
      </c>
      <c r="B139" s="79">
        <v>532.16999999999996</v>
      </c>
      <c r="C139" s="81">
        <f t="shared" si="3"/>
        <v>-9.5127378033543056E-2</v>
      </c>
      <c r="D139" s="2"/>
      <c r="E139" s="2"/>
      <c r="F139" s="2"/>
      <c r="G139" s="2"/>
      <c r="H139" s="2"/>
      <c r="I139" s="2"/>
    </row>
    <row r="140" spans="1:9" x14ac:dyDescent="0.4">
      <c r="A140" s="38">
        <v>41276</v>
      </c>
      <c r="B140" s="79">
        <v>523.51</v>
      </c>
      <c r="C140" s="81">
        <f t="shared" si="3"/>
        <v>-1.6406854844058287E-2</v>
      </c>
      <c r="D140" s="2"/>
      <c r="E140" s="2"/>
      <c r="F140" s="2"/>
      <c r="G140" s="2"/>
      <c r="H140" s="2"/>
      <c r="I140" s="2"/>
    </row>
  </sheetData>
  <mergeCells count="2">
    <mergeCell ref="A1:I1"/>
    <mergeCell ref="F2:H2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F93E-DC41-4EC1-8D60-11D21120A43E}">
  <dimension ref="A1:I140"/>
  <sheetViews>
    <sheetView workbookViewId="0">
      <selection activeCell="Q28" sqref="Q28"/>
    </sheetView>
  </sheetViews>
  <sheetFormatPr defaultRowHeight="13.9" x14ac:dyDescent="0.4"/>
  <cols>
    <col min="1" max="1" width="10.3984375" customWidth="1"/>
  </cols>
  <sheetData>
    <row r="1" spans="1:9" ht="17.649999999999999" x14ac:dyDescent="0.5">
      <c r="A1" s="1" t="s">
        <v>77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/>
      <c r="B2" s="2"/>
      <c r="C2" s="2"/>
      <c r="D2" s="2"/>
      <c r="E2" s="2"/>
      <c r="F2" s="75" t="s">
        <v>78</v>
      </c>
      <c r="G2" s="75"/>
      <c r="H2" s="75"/>
      <c r="I2" s="2"/>
    </row>
    <row r="3" spans="1:9" x14ac:dyDescent="0.4">
      <c r="A3" s="76" t="s">
        <v>50</v>
      </c>
      <c r="B3" s="77" t="s">
        <v>79</v>
      </c>
      <c r="C3" s="6" t="s">
        <v>80</v>
      </c>
      <c r="D3" s="2" t="s">
        <v>85</v>
      </c>
      <c r="E3" s="2"/>
      <c r="F3" s="78" t="s">
        <v>50</v>
      </c>
      <c r="G3" s="22" t="s">
        <v>79</v>
      </c>
      <c r="H3" s="22" t="s">
        <v>80</v>
      </c>
      <c r="I3" s="22" t="s">
        <v>85</v>
      </c>
    </row>
    <row r="4" spans="1:9" x14ac:dyDescent="0.4">
      <c r="A4" s="38">
        <v>37141</v>
      </c>
      <c r="B4" s="79">
        <v>7.69</v>
      </c>
      <c r="C4" s="2"/>
      <c r="D4" s="2"/>
      <c r="E4" s="2"/>
      <c r="F4" s="80"/>
      <c r="G4" s="80"/>
      <c r="H4" s="80"/>
      <c r="I4" s="80">
        <v>2001</v>
      </c>
    </row>
    <row r="5" spans="1:9" x14ac:dyDescent="0.4">
      <c r="A5" s="38">
        <v>37165</v>
      </c>
      <c r="B5" s="79">
        <v>8.6999999999999993</v>
      </c>
      <c r="C5" s="81">
        <f>LN(B5/B4)</f>
        <v>0.12340224214298533</v>
      </c>
      <c r="D5" s="2">
        <f>YEAR(A5)</f>
        <v>2001</v>
      </c>
      <c r="E5" s="2"/>
      <c r="F5" s="2"/>
      <c r="G5" s="2"/>
      <c r="H5" s="2"/>
      <c r="I5" s="2"/>
    </row>
    <row r="6" spans="1:9" x14ac:dyDescent="0.4">
      <c r="A6" s="38">
        <v>37196</v>
      </c>
      <c r="B6" s="79">
        <v>10.56</v>
      </c>
      <c r="C6" s="81">
        <f t="shared" ref="C6:C69" si="0">LN(B6/B5)</f>
        <v>0.19375025261757756</v>
      </c>
      <c r="D6" s="2">
        <f t="shared" ref="D6:D69" si="1">YEAR(A6)</f>
        <v>2001</v>
      </c>
      <c r="E6" s="2"/>
      <c r="F6" s="2" t="s">
        <v>64</v>
      </c>
      <c r="G6" s="81">
        <f>DAVERAGE(A3:D140,3,F3:I4)</f>
        <v>0.11474809882297198</v>
      </c>
      <c r="H6" s="2" t="str">
        <f ca="1">_xlfn.FORMULATEXT(G6)</f>
        <v>=DAVERAGE(A3:D140,3,F3:I4)</v>
      </c>
      <c r="I6" s="2"/>
    </row>
    <row r="7" spans="1:9" x14ac:dyDescent="0.4">
      <c r="A7" s="38">
        <v>37228</v>
      </c>
      <c r="B7" s="79">
        <v>10.85</v>
      </c>
      <c r="C7" s="81">
        <f t="shared" si="0"/>
        <v>2.7091801708353038E-2</v>
      </c>
      <c r="D7" s="2">
        <f t="shared" si="1"/>
        <v>2001</v>
      </c>
      <c r="E7" s="2"/>
      <c r="F7" s="2" t="s">
        <v>82</v>
      </c>
      <c r="G7" s="81">
        <f>DSTDEV(A3:D140,3,F3:I4)</f>
        <v>8.3665587085241314E-2</v>
      </c>
      <c r="H7" s="2" t="str">
        <f ca="1">_xlfn.FORMULATEXT(G7)</f>
        <v>=DSTDEV(A3:D140,3,F3:I4)</v>
      </c>
      <c r="I7" s="2"/>
    </row>
    <row r="8" spans="1:9" x14ac:dyDescent="0.4">
      <c r="A8" s="38">
        <v>37258</v>
      </c>
      <c r="B8" s="79">
        <v>12.25</v>
      </c>
      <c r="C8" s="81">
        <f t="shared" si="0"/>
        <v>0.12136085700426753</v>
      </c>
      <c r="D8" s="2">
        <f t="shared" si="1"/>
        <v>2002</v>
      </c>
      <c r="E8" s="2"/>
      <c r="F8" s="2"/>
      <c r="G8" s="81"/>
      <c r="H8" s="2"/>
      <c r="I8" s="2"/>
    </row>
    <row r="9" spans="1:9" x14ac:dyDescent="0.4">
      <c r="A9" s="38">
        <v>37288</v>
      </c>
      <c r="B9" s="79">
        <v>10.75</v>
      </c>
      <c r="C9" s="81">
        <f t="shared" si="0"/>
        <v>-0.13062018241706422</v>
      </c>
      <c r="D9" s="2">
        <f t="shared" si="1"/>
        <v>2002</v>
      </c>
      <c r="E9" s="2"/>
      <c r="F9" s="2"/>
      <c r="G9" s="2"/>
      <c r="H9" s="2"/>
      <c r="I9" s="2"/>
    </row>
    <row r="10" spans="1:9" x14ac:dyDescent="0.4">
      <c r="A10" s="38">
        <v>37316</v>
      </c>
      <c r="B10" s="79">
        <v>11.73</v>
      </c>
      <c r="C10" s="81">
        <f t="shared" si="0"/>
        <v>8.7243908091712286E-2</v>
      </c>
      <c r="D10" s="2">
        <f t="shared" si="1"/>
        <v>2002</v>
      </c>
      <c r="E10" s="2"/>
      <c r="F10" s="2"/>
      <c r="G10" s="2"/>
      <c r="H10" s="2"/>
      <c r="I10" s="2"/>
    </row>
    <row r="11" spans="1:9" x14ac:dyDescent="0.4">
      <c r="A11" s="38">
        <v>37347</v>
      </c>
      <c r="B11" s="79">
        <v>12.03</v>
      </c>
      <c r="C11" s="81">
        <f t="shared" si="0"/>
        <v>2.525386732120341E-2</v>
      </c>
      <c r="D11" s="2">
        <f t="shared" si="1"/>
        <v>2002</v>
      </c>
      <c r="E11" s="2"/>
      <c r="F11" s="2" t="s">
        <v>88</v>
      </c>
      <c r="G11" s="2"/>
      <c r="H11" s="2"/>
      <c r="I11" s="2"/>
    </row>
    <row r="12" spans="1:9" x14ac:dyDescent="0.4">
      <c r="A12" s="38">
        <v>37377</v>
      </c>
      <c r="B12" s="79">
        <v>11.55</v>
      </c>
      <c r="C12" s="81">
        <f t="shared" si="0"/>
        <v>-4.0718093018784804E-2</v>
      </c>
      <c r="D12" s="2">
        <f t="shared" si="1"/>
        <v>2002</v>
      </c>
      <c r="E12" s="2"/>
      <c r="F12" s="2"/>
      <c r="G12" s="2" t="s">
        <v>86</v>
      </c>
      <c r="H12" s="2" t="s">
        <v>87</v>
      </c>
      <c r="I12" s="2"/>
    </row>
    <row r="13" spans="1:9" x14ac:dyDescent="0.4">
      <c r="A13" s="38">
        <v>37410</v>
      </c>
      <c r="B13" s="79">
        <v>8.7799999999999994</v>
      </c>
      <c r="C13" s="81">
        <f t="shared" si="0"/>
        <v>-0.2742090293207774</v>
      </c>
      <c r="D13" s="2">
        <f t="shared" si="1"/>
        <v>2002</v>
      </c>
      <c r="E13" s="2"/>
      <c r="F13" s="2"/>
      <c r="G13" s="84">
        <f>G6</f>
        <v>0.11474809882297198</v>
      </c>
      <c r="H13" s="84">
        <f>G7</f>
        <v>8.3665587085241314E-2</v>
      </c>
      <c r="I13" s="2" t="str">
        <f ca="1">_xlfn.FORMULATEXT(H13)</f>
        <v>=G7</v>
      </c>
    </row>
    <row r="14" spans="1:9" x14ac:dyDescent="0.4">
      <c r="A14" s="38">
        <v>37438</v>
      </c>
      <c r="B14" s="79">
        <v>7.56</v>
      </c>
      <c r="C14" s="81">
        <f t="shared" si="0"/>
        <v>-0.14960521745558364</v>
      </c>
      <c r="D14" s="2">
        <f t="shared" si="1"/>
        <v>2002</v>
      </c>
      <c r="E14" s="2"/>
      <c r="F14" s="6">
        <v>2001</v>
      </c>
      <c r="G14" s="13">
        <f t="dataTable" ref="G14:H25" dt2D="0" dtr="0" r1="I4"/>
        <v>0.11474809882297198</v>
      </c>
      <c r="H14" s="13">
        <v>8.3665587085241314E-2</v>
      </c>
      <c r="I14" s="2"/>
    </row>
    <row r="15" spans="1:9" x14ac:dyDescent="0.4">
      <c r="A15" s="38">
        <v>37469</v>
      </c>
      <c r="B15" s="79">
        <v>7.31</v>
      </c>
      <c r="C15" s="81">
        <f t="shared" si="0"/>
        <v>-3.3627916429754448E-2</v>
      </c>
      <c r="D15" s="2">
        <f t="shared" si="1"/>
        <v>2002</v>
      </c>
      <c r="E15" s="2"/>
      <c r="F15" s="6">
        <v>2002</v>
      </c>
      <c r="G15" s="13">
        <v>-3.5339191328266559E-2</v>
      </c>
      <c r="H15" s="13">
        <v>0.11421159447869059</v>
      </c>
      <c r="I15" s="2"/>
    </row>
    <row r="16" spans="1:9" x14ac:dyDescent="0.4">
      <c r="A16" s="38">
        <v>37502</v>
      </c>
      <c r="B16" s="79">
        <v>7.19</v>
      </c>
      <c r="C16" s="81">
        <f t="shared" si="0"/>
        <v>-1.6552102028731759E-2</v>
      </c>
      <c r="D16" s="2">
        <f t="shared" si="1"/>
        <v>2002</v>
      </c>
      <c r="E16" s="2"/>
      <c r="F16" s="6">
        <v>2003</v>
      </c>
      <c r="G16" s="13">
        <v>3.3317947963837129E-2</v>
      </c>
      <c r="H16" s="13">
        <v>9.1095594614649888E-2</v>
      </c>
      <c r="I16" s="2"/>
    </row>
    <row r="17" spans="1:9" x14ac:dyDescent="0.4">
      <c r="A17" s="38">
        <v>37530</v>
      </c>
      <c r="B17" s="79">
        <v>7.96</v>
      </c>
      <c r="C17" s="81">
        <f t="shared" si="0"/>
        <v>0.1017378281233363</v>
      </c>
      <c r="D17" s="2">
        <f t="shared" si="1"/>
        <v>2002</v>
      </c>
      <c r="E17" s="2"/>
      <c r="F17" s="6">
        <v>2004</v>
      </c>
      <c r="G17" s="13">
        <v>9.1943551080691063E-2</v>
      </c>
      <c r="H17" s="13">
        <v>0.10559052294720277</v>
      </c>
      <c r="I17" s="2"/>
    </row>
    <row r="18" spans="1:9" x14ac:dyDescent="0.4">
      <c r="A18" s="38">
        <v>37561</v>
      </c>
      <c r="B18" s="79">
        <v>7.68</v>
      </c>
      <c r="C18" s="81">
        <f t="shared" si="0"/>
        <v>-3.5809452696710889E-2</v>
      </c>
      <c r="D18" s="2">
        <f t="shared" si="1"/>
        <v>2002</v>
      </c>
      <c r="E18" s="2"/>
      <c r="F18" s="6">
        <v>2005</v>
      </c>
      <c r="G18" s="13">
        <v>6.692519896634018E-2</v>
      </c>
      <c r="H18" s="13">
        <v>0.10752204242481647</v>
      </c>
      <c r="I18" s="2"/>
    </row>
    <row r="19" spans="1:9" x14ac:dyDescent="0.4">
      <c r="A19" s="38">
        <v>37592</v>
      </c>
      <c r="B19" s="79">
        <v>7.1</v>
      </c>
      <c r="C19" s="81">
        <f t="shared" si="0"/>
        <v>-7.8524763112311102E-2</v>
      </c>
      <c r="D19" s="2">
        <f t="shared" si="1"/>
        <v>2002</v>
      </c>
      <c r="E19" s="2"/>
      <c r="F19" s="6">
        <v>2006</v>
      </c>
      <c r="G19" s="13">
        <v>1.3796041138926393E-2</v>
      </c>
      <c r="H19" s="13">
        <v>0.10795116013126621</v>
      </c>
      <c r="I19" s="2"/>
    </row>
    <row r="20" spans="1:9" x14ac:dyDescent="0.4">
      <c r="A20" s="38">
        <v>37623</v>
      </c>
      <c r="B20" s="79">
        <v>7.12</v>
      </c>
      <c r="C20" s="81">
        <f t="shared" si="0"/>
        <v>2.8129413766146577E-3</v>
      </c>
      <c r="D20" s="2">
        <f t="shared" si="1"/>
        <v>2003</v>
      </c>
      <c r="E20" s="2"/>
      <c r="F20" s="6">
        <v>2007</v>
      </c>
      <c r="G20" s="13">
        <v>7.0663349701630726E-2</v>
      </c>
      <c r="H20" s="13">
        <v>7.6904258586256977E-2</v>
      </c>
      <c r="I20" s="2"/>
    </row>
    <row r="21" spans="1:9" x14ac:dyDescent="0.4">
      <c r="A21" s="38">
        <v>37655</v>
      </c>
      <c r="B21" s="79">
        <v>7.44</v>
      </c>
      <c r="C21" s="81">
        <f t="shared" si="0"/>
        <v>4.3963123421116204E-2</v>
      </c>
      <c r="D21" s="2">
        <f t="shared" si="1"/>
        <v>2003</v>
      </c>
      <c r="E21" s="2"/>
      <c r="F21" s="6">
        <v>2008</v>
      </c>
      <c r="G21" s="13">
        <v>-7.01594653043498E-2</v>
      </c>
      <c r="H21" s="13">
        <v>0.18291992867919715</v>
      </c>
      <c r="I21" s="2"/>
    </row>
    <row r="22" spans="1:9" x14ac:dyDescent="0.4">
      <c r="A22" s="38">
        <v>37683</v>
      </c>
      <c r="B22" s="79">
        <v>7.01</v>
      </c>
      <c r="C22" s="81">
        <f t="shared" si="0"/>
        <v>-5.9533147798501836E-2</v>
      </c>
      <c r="D22" s="2">
        <f t="shared" si="1"/>
        <v>2003</v>
      </c>
      <c r="E22" s="2"/>
      <c r="F22" s="6">
        <v>2009</v>
      </c>
      <c r="G22" s="13">
        <v>7.5318804814891324E-2</v>
      </c>
      <c r="H22" s="13">
        <v>5.8471445843082941E-2</v>
      </c>
      <c r="I22" s="2"/>
    </row>
    <row r="23" spans="1:9" x14ac:dyDescent="0.4">
      <c r="A23" s="38">
        <v>37712</v>
      </c>
      <c r="B23" s="79">
        <v>7.05</v>
      </c>
      <c r="C23" s="81">
        <f t="shared" si="0"/>
        <v>5.689915777678676E-3</v>
      </c>
      <c r="D23" s="2">
        <f t="shared" si="1"/>
        <v>2003</v>
      </c>
      <c r="E23" s="2"/>
      <c r="F23" s="6">
        <v>2010</v>
      </c>
      <c r="G23" s="13">
        <v>3.5473807363912098E-2</v>
      </c>
      <c r="H23" s="13">
        <v>7.5053443736460862E-2</v>
      </c>
      <c r="I23" s="2"/>
    </row>
    <row r="24" spans="1:9" x14ac:dyDescent="0.4">
      <c r="A24" s="38">
        <v>37742</v>
      </c>
      <c r="B24" s="79">
        <v>8.9</v>
      </c>
      <c r="C24" s="81">
        <f t="shared" si="0"/>
        <v>0.23302365991391691</v>
      </c>
      <c r="D24" s="2">
        <f t="shared" si="1"/>
        <v>2003</v>
      </c>
      <c r="E24" s="2"/>
      <c r="F24" s="6">
        <v>2011</v>
      </c>
      <c r="G24" s="13">
        <v>1.8967705821691137E-2</v>
      </c>
      <c r="H24" s="13">
        <v>5.6207948066194252E-2</v>
      </c>
      <c r="I24" s="2"/>
    </row>
    <row r="25" spans="1:9" x14ac:dyDescent="0.4">
      <c r="A25" s="38">
        <v>37774</v>
      </c>
      <c r="B25" s="79">
        <v>9.4499999999999993</v>
      </c>
      <c r="C25" s="81">
        <f t="shared" si="0"/>
        <v>5.9963464767557061E-2</v>
      </c>
      <c r="D25" s="2">
        <f t="shared" si="1"/>
        <v>2003</v>
      </c>
      <c r="E25" s="2"/>
      <c r="F25" s="6">
        <v>2012</v>
      </c>
      <c r="G25" s="13">
        <v>2.3492075379237129E-2</v>
      </c>
      <c r="H25" s="13">
        <v>8.5620829860391406E-2</v>
      </c>
      <c r="I25" s="2"/>
    </row>
    <row r="26" spans="1:9" x14ac:dyDescent="0.4">
      <c r="A26" s="38">
        <v>37803</v>
      </c>
      <c r="B26" s="79">
        <v>10.45</v>
      </c>
      <c r="C26" s="81">
        <f t="shared" si="0"/>
        <v>0.10058723690516862</v>
      </c>
      <c r="D26" s="2">
        <f t="shared" si="1"/>
        <v>2003</v>
      </c>
      <c r="E26" s="2"/>
      <c r="F26" s="2"/>
      <c r="G26" s="2"/>
      <c r="H26" s="2"/>
      <c r="I26" s="2"/>
    </row>
    <row r="27" spans="1:9" x14ac:dyDescent="0.4">
      <c r="A27" s="38">
        <v>37834</v>
      </c>
      <c r="B27" s="79">
        <v>11.21</v>
      </c>
      <c r="C27" s="81">
        <f t="shared" si="0"/>
        <v>7.0204258673248768E-2</v>
      </c>
      <c r="D27" s="2">
        <f t="shared" si="1"/>
        <v>2003</v>
      </c>
      <c r="E27" s="2"/>
      <c r="F27" s="2"/>
      <c r="G27" s="2"/>
      <c r="H27" s="2"/>
      <c r="I27" s="2"/>
    </row>
    <row r="28" spans="1:9" x14ac:dyDescent="0.4">
      <c r="A28" s="38">
        <v>37866</v>
      </c>
      <c r="B28" s="79">
        <v>10.27</v>
      </c>
      <c r="C28" s="81">
        <f t="shared" si="0"/>
        <v>-8.7579213143601758E-2</v>
      </c>
      <c r="D28" s="2">
        <f t="shared" si="1"/>
        <v>2003</v>
      </c>
      <c r="E28" s="2"/>
      <c r="F28" s="2"/>
      <c r="G28" s="2"/>
      <c r="H28" s="2"/>
      <c r="I28" s="2"/>
    </row>
    <row r="29" spans="1:9" x14ac:dyDescent="0.4">
      <c r="A29" s="38">
        <v>37895</v>
      </c>
      <c r="B29" s="79">
        <v>11.34</v>
      </c>
      <c r="C29" s="81">
        <f t="shared" si="0"/>
        <v>9.9109274359139202E-2</v>
      </c>
      <c r="D29" s="2">
        <f t="shared" si="1"/>
        <v>2003</v>
      </c>
      <c r="E29" s="2"/>
      <c r="F29" s="2"/>
      <c r="G29" s="2"/>
      <c r="H29" s="2"/>
      <c r="I29" s="2"/>
    </row>
    <row r="30" spans="1:9" x14ac:dyDescent="0.4">
      <c r="A30" s="38">
        <v>37928</v>
      </c>
      <c r="B30" s="79">
        <v>10.36</v>
      </c>
      <c r="C30" s="81">
        <f t="shared" si="0"/>
        <v>-9.0384061468269064E-2</v>
      </c>
      <c r="D30" s="2">
        <f t="shared" si="1"/>
        <v>2003</v>
      </c>
      <c r="E30" s="2"/>
      <c r="F30" s="2"/>
      <c r="G30" s="2"/>
      <c r="H30" s="2"/>
      <c r="I30" s="2"/>
    </row>
    <row r="31" spans="1:9" x14ac:dyDescent="0.4">
      <c r="A31" s="38">
        <v>37956</v>
      </c>
      <c r="B31" s="79">
        <v>10.59</v>
      </c>
      <c r="C31" s="81">
        <f t="shared" si="0"/>
        <v>2.1957922781978102E-2</v>
      </c>
      <c r="D31" s="2">
        <f t="shared" si="1"/>
        <v>2003</v>
      </c>
      <c r="E31" s="2"/>
      <c r="F31" s="2"/>
      <c r="G31" s="2"/>
      <c r="H31" s="2"/>
      <c r="I31" s="2"/>
    </row>
    <row r="32" spans="1:9" x14ac:dyDescent="0.4">
      <c r="A32" s="38">
        <v>37988</v>
      </c>
      <c r="B32" s="79">
        <v>11.18</v>
      </c>
      <c r="C32" s="81">
        <f t="shared" si="0"/>
        <v>5.4216308113637923E-2</v>
      </c>
      <c r="D32" s="2">
        <f t="shared" si="1"/>
        <v>2004</v>
      </c>
      <c r="E32" s="2"/>
      <c r="F32" s="2"/>
      <c r="G32" s="2"/>
      <c r="H32" s="2"/>
      <c r="I32" s="2"/>
    </row>
    <row r="33" spans="1:9" x14ac:dyDescent="0.4">
      <c r="A33" s="38">
        <v>38019</v>
      </c>
      <c r="B33" s="79">
        <v>11.85</v>
      </c>
      <c r="C33" s="81">
        <f t="shared" si="0"/>
        <v>5.8201399854187097E-2</v>
      </c>
      <c r="D33" s="2">
        <f t="shared" si="1"/>
        <v>2004</v>
      </c>
      <c r="E33" s="2"/>
      <c r="F33" s="2"/>
      <c r="G33" s="2"/>
      <c r="H33" s="2"/>
      <c r="I33" s="2"/>
    </row>
    <row r="34" spans="1:9" x14ac:dyDescent="0.4">
      <c r="A34" s="38">
        <v>38047</v>
      </c>
      <c r="B34" s="79">
        <v>13.4</v>
      </c>
      <c r="C34" s="81">
        <f t="shared" si="0"/>
        <v>0.12292683937572546</v>
      </c>
      <c r="D34" s="2">
        <f t="shared" si="1"/>
        <v>2004</v>
      </c>
      <c r="E34" s="2"/>
      <c r="F34" s="2"/>
      <c r="G34" s="2"/>
      <c r="H34" s="2"/>
      <c r="I34" s="2"/>
    </row>
    <row r="35" spans="1:9" x14ac:dyDescent="0.4">
      <c r="A35" s="38">
        <v>38078</v>
      </c>
      <c r="B35" s="79">
        <v>12.78</v>
      </c>
      <c r="C35" s="81">
        <f t="shared" si="0"/>
        <v>-4.7373258007477034E-2</v>
      </c>
      <c r="D35" s="2">
        <f t="shared" si="1"/>
        <v>2004</v>
      </c>
      <c r="E35" s="2"/>
      <c r="F35" s="2"/>
      <c r="G35" s="2"/>
      <c r="H35" s="2"/>
      <c r="I35" s="2"/>
    </row>
    <row r="36" spans="1:9" x14ac:dyDescent="0.4">
      <c r="A36" s="38">
        <v>38110</v>
      </c>
      <c r="B36" s="79">
        <v>13.91</v>
      </c>
      <c r="C36" s="81">
        <f t="shared" si="0"/>
        <v>8.4726556985962848E-2</v>
      </c>
      <c r="D36" s="2">
        <f t="shared" si="1"/>
        <v>2004</v>
      </c>
      <c r="E36" s="2"/>
      <c r="F36" s="2"/>
      <c r="G36" s="2"/>
      <c r="H36" s="2"/>
      <c r="I36" s="2"/>
    </row>
    <row r="37" spans="1:9" x14ac:dyDescent="0.4">
      <c r="A37" s="38">
        <v>38139</v>
      </c>
      <c r="B37" s="79">
        <v>16.13</v>
      </c>
      <c r="C37" s="81">
        <f t="shared" si="0"/>
        <v>0.14807288620176579</v>
      </c>
      <c r="D37" s="2">
        <f t="shared" si="1"/>
        <v>2004</v>
      </c>
      <c r="E37" s="2"/>
      <c r="F37" s="2"/>
      <c r="G37" s="2"/>
      <c r="H37" s="2"/>
      <c r="I37" s="2"/>
    </row>
    <row r="38" spans="1:9" x14ac:dyDescent="0.4">
      <c r="A38" s="38">
        <v>38169</v>
      </c>
      <c r="B38" s="79">
        <v>16.03</v>
      </c>
      <c r="C38" s="81">
        <f t="shared" si="0"/>
        <v>-6.2189255156557951E-3</v>
      </c>
      <c r="D38" s="2">
        <f t="shared" si="1"/>
        <v>2004</v>
      </c>
      <c r="E38" s="2"/>
      <c r="F38" s="2"/>
      <c r="G38" s="2"/>
      <c r="H38" s="2"/>
      <c r="I38" s="2"/>
    </row>
    <row r="39" spans="1:9" x14ac:dyDescent="0.4">
      <c r="A39" s="38">
        <v>38201</v>
      </c>
      <c r="B39" s="79">
        <v>17.09</v>
      </c>
      <c r="C39" s="81">
        <f t="shared" si="0"/>
        <v>6.4031530506037909E-2</v>
      </c>
      <c r="D39" s="2">
        <f t="shared" si="1"/>
        <v>2004</v>
      </c>
      <c r="E39" s="2"/>
      <c r="F39" s="2"/>
      <c r="G39" s="2"/>
      <c r="H39" s="2"/>
      <c r="I39" s="2"/>
    </row>
    <row r="40" spans="1:9" x14ac:dyDescent="0.4">
      <c r="A40" s="38">
        <v>38231</v>
      </c>
      <c r="B40" s="79">
        <v>19.2</v>
      </c>
      <c r="C40" s="81">
        <f t="shared" si="0"/>
        <v>0.11641678190623628</v>
      </c>
      <c r="D40" s="2">
        <f t="shared" si="1"/>
        <v>2004</v>
      </c>
      <c r="E40" s="2"/>
      <c r="F40" s="2"/>
      <c r="G40" s="2"/>
      <c r="H40" s="2"/>
      <c r="I40" s="2"/>
    </row>
    <row r="41" spans="1:9" x14ac:dyDescent="0.4">
      <c r="A41" s="38">
        <v>38261</v>
      </c>
      <c r="B41" s="79">
        <v>25.97</v>
      </c>
      <c r="C41" s="81">
        <f t="shared" si="0"/>
        <v>0.30203174664092119</v>
      </c>
      <c r="D41" s="2">
        <f t="shared" si="1"/>
        <v>2004</v>
      </c>
      <c r="E41" s="2"/>
      <c r="F41" s="2"/>
      <c r="G41" s="2"/>
      <c r="H41" s="2"/>
      <c r="I41" s="2"/>
    </row>
    <row r="42" spans="1:9" x14ac:dyDescent="0.4">
      <c r="A42" s="38">
        <v>38292</v>
      </c>
      <c r="B42" s="79">
        <v>33.229999999999997</v>
      </c>
      <c r="C42" s="81">
        <f t="shared" si="0"/>
        <v>0.24651105669184584</v>
      </c>
      <c r="D42" s="2">
        <f t="shared" si="1"/>
        <v>2004</v>
      </c>
      <c r="E42" s="2"/>
      <c r="F42" s="2"/>
      <c r="G42" s="2"/>
      <c r="H42" s="2"/>
      <c r="I42" s="2"/>
    </row>
    <row r="43" spans="1:9" x14ac:dyDescent="0.4">
      <c r="A43" s="38">
        <v>38322</v>
      </c>
      <c r="B43" s="79">
        <v>31.92</v>
      </c>
      <c r="C43" s="81">
        <f t="shared" si="0"/>
        <v>-4.0220309784894728E-2</v>
      </c>
      <c r="D43" s="2">
        <f t="shared" si="1"/>
        <v>2004</v>
      </c>
      <c r="E43" s="2"/>
      <c r="F43" s="2"/>
      <c r="G43" s="2"/>
      <c r="H43" s="2"/>
      <c r="I43" s="2"/>
    </row>
    <row r="44" spans="1:9" x14ac:dyDescent="0.4">
      <c r="A44" s="38">
        <v>38355</v>
      </c>
      <c r="B44" s="79">
        <v>38.11</v>
      </c>
      <c r="C44" s="81">
        <f t="shared" si="0"/>
        <v>0.17724394230416085</v>
      </c>
      <c r="D44" s="2">
        <f t="shared" si="1"/>
        <v>2005</v>
      </c>
      <c r="E44" s="2"/>
      <c r="F44" s="2"/>
      <c r="G44" s="2"/>
      <c r="H44" s="2"/>
      <c r="I44" s="2"/>
    </row>
    <row r="45" spans="1:9" x14ac:dyDescent="0.4">
      <c r="A45" s="38">
        <v>38384</v>
      </c>
      <c r="B45" s="79">
        <v>44.47</v>
      </c>
      <c r="C45" s="81">
        <f t="shared" si="0"/>
        <v>0.15433808963683626</v>
      </c>
      <c r="D45" s="2">
        <f t="shared" si="1"/>
        <v>2005</v>
      </c>
      <c r="E45" s="2"/>
      <c r="F45" s="2"/>
      <c r="G45" s="2"/>
      <c r="H45" s="2"/>
      <c r="I45" s="2"/>
    </row>
    <row r="46" spans="1:9" x14ac:dyDescent="0.4">
      <c r="A46" s="38">
        <v>38412</v>
      </c>
      <c r="B46" s="79">
        <v>41.3</v>
      </c>
      <c r="C46" s="81">
        <f t="shared" si="0"/>
        <v>-7.3952304555618006E-2</v>
      </c>
      <c r="D46" s="2">
        <f t="shared" si="1"/>
        <v>2005</v>
      </c>
      <c r="E46" s="2"/>
      <c r="F46" s="2"/>
      <c r="G46" s="2"/>
      <c r="H46" s="2"/>
      <c r="I46" s="2"/>
    </row>
    <row r="47" spans="1:9" x14ac:dyDescent="0.4">
      <c r="A47" s="38">
        <v>38443</v>
      </c>
      <c r="B47" s="79">
        <v>35.74</v>
      </c>
      <c r="C47" s="81">
        <f t="shared" si="0"/>
        <v>-0.14459199023570501</v>
      </c>
      <c r="D47" s="2">
        <f t="shared" si="1"/>
        <v>2005</v>
      </c>
      <c r="E47" s="2"/>
      <c r="F47" s="2"/>
      <c r="G47" s="2"/>
      <c r="H47" s="2"/>
      <c r="I47" s="2"/>
    </row>
    <row r="48" spans="1:9" x14ac:dyDescent="0.4">
      <c r="A48" s="38">
        <v>38474</v>
      </c>
      <c r="B48" s="79">
        <v>39.409999999999997</v>
      </c>
      <c r="C48" s="81">
        <f t="shared" si="0"/>
        <v>9.7749081475630176E-2</v>
      </c>
      <c r="D48" s="2">
        <f t="shared" si="1"/>
        <v>2005</v>
      </c>
      <c r="E48" s="2"/>
      <c r="F48" s="2"/>
      <c r="G48" s="2"/>
      <c r="H48" s="2"/>
      <c r="I48" s="2"/>
    </row>
    <row r="49" spans="1:9" x14ac:dyDescent="0.4">
      <c r="A49" s="38">
        <v>38504</v>
      </c>
      <c r="B49" s="79">
        <v>36.49</v>
      </c>
      <c r="C49" s="81">
        <f t="shared" si="0"/>
        <v>-7.6981340758555949E-2</v>
      </c>
      <c r="D49" s="2">
        <f t="shared" si="1"/>
        <v>2005</v>
      </c>
      <c r="E49" s="2"/>
      <c r="F49" s="2"/>
      <c r="G49" s="2"/>
      <c r="H49" s="2"/>
      <c r="I49" s="2"/>
    </row>
    <row r="50" spans="1:9" x14ac:dyDescent="0.4">
      <c r="A50" s="38">
        <v>38534</v>
      </c>
      <c r="B50" s="79">
        <v>42.27</v>
      </c>
      <c r="C50" s="81">
        <f t="shared" si="0"/>
        <v>0.14703936413034219</v>
      </c>
      <c r="D50" s="2">
        <f t="shared" si="1"/>
        <v>2005</v>
      </c>
      <c r="E50" s="2"/>
      <c r="F50" s="2"/>
      <c r="G50" s="2"/>
      <c r="H50" s="2"/>
      <c r="I50" s="2"/>
    </row>
    <row r="51" spans="1:9" x14ac:dyDescent="0.4">
      <c r="A51" s="38">
        <v>38565</v>
      </c>
      <c r="B51" s="79">
        <v>46.48</v>
      </c>
      <c r="C51" s="81">
        <f t="shared" si="0"/>
        <v>9.4944497964957145E-2</v>
      </c>
      <c r="D51" s="2">
        <f t="shared" si="1"/>
        <v>2005</v>
      </c>
      <c r="E51" s="2"/>
      <c r="F51" s="2"/>
      <c r="G51" s="2"/>
      <c r="H51" s="2"/>
      <c r="I51" s="2"/>
    </row>
    <row r="52" spans="1:9" x14ac:dyDescent="0.4">
      <c r="A52" s="38">
        <v>38596</v>
      </c>
      <c r="B52" s="79">
        <v>53.14</v>
      </c>
      <c r="C52" s="81">
        <f t="shared" si="0"/>
        <v>0.13390782778801172</v>
      </c>
      <c r="D52" s="2">
        <f t="shared" si="1"/>
        <v>2005</v>
      </c>
      <c r="E52" s="2"/>
      <c r="F52" s="2"/>
      <c r="G52" s="2"/>
      <c r="H52" s="2"/>
      <c r="I52" s="2"/>
    </row>
    <row r="53" spans="1:9" x14ac:dyDescent="0.4">
      <c r="A53" s="38">
        <v>38628</v>
      </c>
      <c r="B53" s="79">
        <v>57.08</v>
      </c>
      <c r="C53" s="81">
        <f t="shared" si="0"/>
        <v>7.1523852276968267E-2</v>
      </c>
      <c r="D53" s="2">
        <f t="shared" si="1"/>
        <v>2005</v>
      </c>
      <c r="E53" s="2"/>
      <c r="F53" s="2"/>
      <c r="G53" s="2"/>
      <c r="H53" s="2"/>
      <c r="I53" s="2"/>
    </row>
    <row r="54" spans="1:9" x14ac:dyDescent="0.4">
      <c r="A54" s="38">
        <v>38657</v>
      </c>
      <c r="B54" s="79">
        <v>67.22</v>
      </c>
      <c r="C54" s="81">
        <f t="shared" si="0"/>
        <v>0.16351702968832402</v>
      </c>
      <c r="D54" s="2">
        <f t="shared" si="1"/>
        <v>2005</v>
      </c>
      <c r="E54" s="2"/>
      <c r="F54" s="2"/>
      <c r="G54" s="2"/>
      <c r="H54" s="2"/>
      <c r="I54" s="2"/>
    </row>
    <row r="55" spans="1:9" x14ac:dyDescent="0.4">
      <c r="A55" s="38">
        <v>38687</v>
      </c>
      <c r="B55" s="79">
        <v>71.260000000000005</v>
      </c>
      <c r="C55" s="81">
        <f t="shared" si="0"/>
        <v>5.8364337880730435E-2</v>
      </c>
      <c r="D55" s="2">
        <f t="shared" si="1"/>
        <v>2005</v>
      </c>
      <c r="E55" s="2"/>
      <c r="F55" s="2"/>
      <c r="G55" s="2"/>
      <c r="H55" s="2"/>
      <c r="I55" s="2"/>
    </row>
    <row r="56" spans="1:9" x14ac:dyDescent="0.4">
      <c r="A56" s="38">
        <v>38720</v>
      </c>
      <c r="B56" s="79">
        <v>74.849999999999994</v>
      </c>
      <c r="C56" s="81">
        <f t="shared" si="0"/>
        <v>4.9150950687947254E-2</v>
      </c>
      <c r="D56" s="2">
        <f t="shared" si="1"/>
        <v>2006</v>
      </c>
      <c r="E56" s="2"/>
      <c r="F56" s="2"/>
      <c r="G56" s="2"/>
      <c r="H56" s="2"/>
      <c r="I56" s="2"/>
    </row>
    <row r="57" spans="1:9" x14ac:dyDescent="0.4">
      <c r="A57" s="38">
        <v>38749</v>
      </c>
      <c r="B57" s="79">
        <v>67.89</v>
      </c>
      <c r="C57" s="81">
        <f t="shared" si="0"/>
        <v>-9.7597362552081568E-2</v>
      </c>
      <c r="D57" s="2">
        <f t="shared" si="1"/>
        <v>2006</v>
      </c>
      <c r="E57" s="2"/>
      <c r="F57" s="2"/>
      <c r="G57" s="2"/>
      <c r="H57" s="2"/>
      <c r="I57" s="2"/>
    </row>
    <row r="58" spans="1:9" x14ac:dyDescent="0.4">
      <c r="A58" s="38">
        <v>38777</v>
      </c>
      <c r="B58" s="79">
        <v>62.17</v>
      </c>
      <c r="C58" s="81">
        <f t="shared" si="0"/>
        <v>-8.8016180032309502E-2</v>
      </c>
      <c r="D58" s="2">
        <f t="shared" si="1"/>
        <v>2006</v>
      </c>
      <c r="E58" s="2"/>
      <c r="F58" s="2"/>
      <c r="G58" s="2"/>
      <c r="H58" s="2"/>
      <c r="I58" s="2"/>
    </row>
    <row r="59" spans="1:9" x14ac:dyDescent="0.4">
      <c r="A59" s="38">
        <v>38810</v>
      </c>
      <c r="B59" s="79">
        <v>69.77</v>
      </c>
      <c r="C59" s="81">
        <f t="shared" si="0"/>
        <v>0.11533154966989892</v>
      </c>
      <c r="D59" s="2">
        <f t="shared" si="1"/>
        <v>2006</v>
      </c>
      <c r="E59" s="2"/>
      <c r="F59" s="2"/>
      <c r="G59" s="2"/>
      <c r="H59" s="2"/>
      <c r="I59" s="2"/>
    </row>
    <row r="60" spans="1:9" x14ac:dyDescent="0.4">
      <c r="A60" s="38">
        <v>38838</v>
      </c>
      <c r="B60" s="79">
        <v>59.24</v>
      </c>
      <c r="C60" s="81">
        <f t="shared" si="0"/>
        <v>-0.16360712855154702</v>
      </c>
      <c r="D60" s="2">
        <f t="shared" si="1"/>
        <v>2006</v>
      </c>
      <c r="E60" s="2"/>
      <c r="F60" s="2"/>
      <c r="G60" s="2"/>
      <c r="H60" s="2"/>
      <c r="I60" s="2"/>
    </row>
    <row r="61" spans="1:9" x14ac:dyDescent="0.4">
      <c r="A61" s="38">
        <v>38869</v>
      </c>
      <c r="B61" s="79">
        <v>56.77</v>
      </c>
      <c r="C61" s="81">
        <f t="shared" si="0"/>
        <v>-4.2588972216963172E-2</v>
      </c>
      <c r="D61" s="2">
        <f t="shared" si="1"/>
        <v>2006</v>
      </c>
      <c r="E61" s="2"/>
      <c r="F61" s="2"/>
      <c r="G61" s="2"/>
      <c r="H61" s="2"/>
      <c r="I61" s="2"/>
    </row>
    <row r="62" spans="1:9" x14ac:dyDescent="0.4">
      <c r="A62" s="38">
        <v>38901</v>
      </c>
      <c r="B62" s="79">
        <v>67.36</v>
      </c>
      <c r="C62" s="81">
        <f t="shared" si="0"/>
        <v>0.17104335275143639</v>
      </c>
      <c r="D62" s="2">
        <f t="shared" si="1"/>
        <v>2006</v>
      </c>
      <c r="E62" s="2"/>
      <c r="F62" s="2"/>
      <c r="G62" s="2"/>
      <c r="H62" s="2"/>
      <c r="I62" s="2"/>
    </row>
    <row r="63" spans="1:9" x14ac:dyDescent="0.4">
      <c r="A63" s="38">
        <v>38930</v>
      </c>
      <c r="B63" s="79">
        <v>67.25</v>
      </c>
      <c r="C63" s="81">
        <f t="shared" si="0"/>
        <v>-1.6343514521227913E-3</v>
      </c>
      <c r="D63" s="2">
        <f t="shared" si="1"/>
        <v>2006</v>
      </c>
      <c r="E63" s="2"/>
      <c r="F63" s="2"/>
      <c r="G63" s="2"/>
      <c r="H63" s="2"/>
      <c r="I63" s="2"/>
    </row>
    <row r="64" spans="1:9" x14ac:dyDescent="0.4">
      <c r="A64" s="38">
        <v>38961</v>
      </c>
      <c r="B64" s="79">
        <v>76.3</v>
      </c>
      <c r="C64" s="81">
        <f t="shared" si="0"/>
        <v>0.12625591980846285</v>
      </c>
      <c r="D64" s="2">
        <f t="shared" si="1"/>
        <v>2006</v>
      </c>
      <c r="E64" s="2"/>
      <c r="F64" s="2"/>
      <c r="G64" s="2"/>
      <c r="H64" s="2"/>
      <c r="I64" s="2"/>
    </row>
    <row r="65" spans="1:9" x14ac:dyDescent="0.4">
      <c r="A65" s="38">
        <v>38992</v>
      </c>
      <c r="B65" s="79">
        <v>80.37</v>
      </c>
      <c r="C65" s="81">
        <f t="shared" si="0"/>
        <v>5.1968033934215778E-2</v>
      </c>
      <c r="D65" s="2">
        <f t="shared" si="1"/>
        <v>2006</v>
      </c>
      <c r="E65" s="2"/>
      <c r="F65" s="2"/>
      <c r="G65" s="2"/>
      <c r="H65" s="2"/>
      <c r="I65" s="2"/>
    </row>
    <row r="66" spans="1:9" x14ac:dyDescent="0.4">
      <c r="A66" s="38">
        <v>39022</v>
      </c>
      <c r="B66" s="79">
        <v>90.85</v>
      </c>
      <c r="C66" s="81">
        <f t="shared" si="0"/>
        <v>0.12256882261755304</v>
      </c>
      <c r="D66" s="2">
        <f t="shared" si="1"/>
        <v>2006</v>
      </c>
      <c r="E66" s="2"/>
      <c r="F66" s="2"/>
      <c r="G66" s="2"/>
      <c r="H66" s="2"/>
      <c r="I66" s="2"/>
    </row>
    <row r="67" spans="1:9" x14ac:dyDescent="0.4">
      <c r="A67" s="38">
        <v>39052</v>
      </c>
      <c r="B67" s="79">
        <v>84.09</v>
      </c>
      <c r="C67" s="81">
        <f t="shared" si="0"/>
        <v>-7.7322140997373445E-2</v>
      </c>
      <c r="D67" s="2">
        <f t="shared" si="1"/>
        <v>2006</v>
      </c>
      <c r="E67" s="2"/>
      <c r="F67" s="2"/>
      <c r="G67" s="2"/>
      <c r="H67" s="2"/>
      <c r="I67" s="2"/>
    </row>
    <row r="68" spans="1:9" x14ac:dyDescent="0.4">
      <c r="A68" s="38">
        <v>39085</v>
      </c>
      <c r="B68" s="79">
        <v>84.98</v>
      </c>
      <c r="C68" s="81">
        <f t="shared" si="0"/>
        <v>1.0528280841858938E-2</v>
      </c>
      <c r="D68" s="2">
        <f t="shared" si="1"/>
        <v>2007</v>
      </c>
      <c r="E68" s="2"/>
      <c r="F68" s="2"/>
      <c r="G68" s="2"/>
      <c r="H68" s="2"/>
      <c r="I68" s="2"/>
    </row>
    <row r="69" spans="1:9" x14ac:dyDescent="0.4">
      <c r="A69" s="38">
        <v>39114</v>
      </c>
      <c r="B69" s="79">
        <v>83.87</v>
      </c>
      <c r="C69" s="81">
        <f t="shared" si="0"/>
        <v>-1.3147953690345344E-2</v>
      </c>
      <c r="D69" s="2">
        <f t="shared" si="1"/>
        <v>2007</v>
      </c>
      <c r="E69" s="2"/>
      <c r="F69" s="2"/>
      <c r="G69" s="2"/>
      <c r="H69" s="2"/>
      <c r="I69" s="2"/>
    </row>
    <row r="70" spans="1:9" x14ac:dyDescent="0.4">
      <c r="A70" s="38">
        <v>39142</v>
      </c>
      <c r="B70" s="79">
        <v>92.09</v>
      </c>
      <c r="C70" s="81">
        <f t="shared" ref="C70:C133" si="2">LN(B70/B69)</f>
        <v>9.3498378736955573E-2</v>
      </c>
      <c r="D70" s="2">
        <f t="shared" ref="D70:D133" si="3">YEAR(A70)</f>
        <v>2007</v>
      </c>
      <c r="E70" s="2"/>
      <c r="F70" s="2"/>
      <c r="G70" s="2"/>
      <c r="H70" s="2"/>
      <c r="I70" s="2"/>
    </row>
    <row r="71" spans="1:9" x14ac:dyDescent="0.4">
      <c r="A71" s="38">
        <v>39174</v>
      </c>
      <c r="B71" s="79">
        <v>98.92</v>
      </c>
      <c r="C71" s="81">
        <f t="shared" si="2"/>
        <v>7.154508291993969E-2</v>
      </c>
      <c r="D71" s="2">
        <f t="shared" si="3"/>
        <v>2007</v>
      </c>
      <c r="E71" s="2"/>
      <c r="F71" s="2"/>
      <c r="G71" s="2"/>
      <c r="H71" s="2"/>
      <c r="I71" s="2"/>
    </row>
    <row r="72" spans="1:9" x14ac:dyDescent="0.4">
      <c r="A72" s="38">
        <v>39203</v>
      </c>
      <c r="B72" s="79">
        <v>120.12</v>
      </c>
      <c r="C72" s="81">
        <f t="shared" si="2"/>
        <v>0.19417980046191416</v>
      </c>
      <c r="D72" s="2">
        <f t="shared" si="3"/>
        <v>2007</v>
      </c>
      <c r="E72" s="2"/>
      <c r="F72" s="2"/>
      <c r="G72" s="2"/>
      <c r="H72" s="2"/>
      <c r="I72" s="2"/>
    </row>
    <row r="73" spans="1:9" x14ac:dyDescent="0.4">
      <c r="A73" s="38">
        <v>39234</v>
      </c>
      <c r="B73" s="79">
        <v>120.97</v>
      </c>
      <c r="C73" s="81">
        <f t="shared" si="2"/>
        <v>7.0513378566272938E-3</v>
      </c>
      <c r="D73" s="2">
        <f t="shared" si="3"/>
        <v>2007</v>
      </c>
      <c r="E73" s="2"/>
      <c r="F73" s="2"/>
      <c r="G73" s="2"/>
      <c r="H73" s="2"/>
      <c r="I73" s="2"/>
    </row>
    <row r="74" spans="1:9" x14ac:dyDescent="0.4">
      <c r="A74" s="38">
        <v>39265</v>
      </c>
      <c r="B74" s="79">
        <v>130.6</v>
      </c>
      <c r="C74" s="81">
        <f t="shared" si="2"/>
        <v>7.6596635870573734E-2</v>
      </c>
      <c r="D74" s="2">
        <f t="shared" si="3"/>
        <v>2007</v>
      </c>
      <c r="E74" s="2"/>
      <c r="F74" s="2"/>
      <c r="G74" s="2"/>
      <c r="H74" s="2"/>
      <c r="I74" s="2"/>
    </row>
    <row r="75" spans="1:9" x14ac:dyDescent="0.4">
      <c r="A75" s="38">
        <v>39295</v>
      </c>
      <c r="B75" s="79">
        <v>137.26</v>
      </c>
      <c r="C75" s="81">
        <f t="shared" si="2"/>
        <v>4.9737720638157984E-2</v>
      </c>
      <c r="D75" s="2">
        <f t="shared" si="3"/>
        <v>2007</v>
      </c>
      <c r="E75" s="2"/>
      <c r="F75" s="2"/>
      <c r="G75" s="2"/>
      <c r="H75" s="2"/>
      <c r="I75" s="2"/>
    </row>
    <row r="76" spans="1:9" x14ac:dyDescent="0.4">
      <c r="A76" s="38">
        <v>39329</v>
      </c>
      <c r="B76" s="79">
        <v>152.12</v>
      </c>
      <c r="C76" s="81">
        <f t="shared" si="2"/>
        <v>0.10279274557957034</v>
      </c>
      <c r="D76" s="2">
        <f t="shared" si="3"/>
        <v>2007</v>
      </c>
      <c r="E76" s="2"/>
      <c r="F76" s="2"/>
      <c r="G76" s="2"/>
      <c r="H76" s="2"/>
      <c r="I76" s="2"/>
    </row>
    <row r="77" spans="1:9" x14ac:dyDescent="0.4">
      <c r="A77" s="38">
        <v>39356</v>
      </c>
      <c r="B77" s="79">
        <v>188.28</v>
      </c>
      <c r="C77" s="81">
        <f t="shared" si="2"/>
        <v>0.2132605334728826</v>
      </c>
      <c r="D77" s="2">
        <f t="shared" si="3"/>
        <v>2007</v>
      </c>
      <c r="E77" s="2"/>
      <c r="F77" s="2"/>
      <c r="G77" s="2"/>
      <c r="H77" s="2"/>
      <c r="I77" s="2"/>
    </row>
    <row r="78" spans="1:9" x14ac:dyDescent="0.4">
      <c r="A78" s="38">
        <v>39387</v>
      </c>
      <c r="B78" s="79">
        <v>180.62</v>
      </c>
      <c r="C78" s="81">
        <f t="shared" si="2"/>
        <v>-4.1534839710288839E-2</v>
      </c>
      <c r="D78" s="2">
        <f t="shared" si="3"/>
        <v>2007</v>
      </c>
      <c r="E78" s="2"/>
      <c r="F78" s="2"/>
      <c r="G78" s="2"/>
      <c r="H78" s="2"/>
      <c r="I78" s="2"/>
    </row>
    <row r="79" spans="1:9" x14ac:dyDescent="0.4">
      <c r="A79" s="38">
        <v>39419</v>
      </c>
      <c r="B79" s="79">
        <v>196.34</v>
      </c>
      <c r="C79" s="81">
        <f t="shared" si="2"/>
        <v>8.3452473441722616E-2</v>
      </c>
      <c r="D79" s="2">
        <f t="shared" si="3"/>
        <v>2007</v>
      </c>
      <c r="E79" s="2"/>
      <c r="F79" s="2"/>
      <c r="G79" s="2"/>
      <c r="H79" s="2"/>
      <c r="I79" s="2"/>
    </row>
    <row r="80" spans="1:9" x14ac:dyDescent="0.4">
      <c r="A80" s="38">
        <v>39449</v>
      </c>
      <c r="B80" s="79">
        <v>134.16999999999999</v>
      </c>
      <c r="C80" s="81">
        <f t="shared" si="2"/>
        <v>-0.38074019766199513</v>
      </c>
      <c r="D80" s="2">
        <f t="shared" si="3"/>
        <v>2008</v>
      </c>
      <c r="E80" s="2"/>
      <c r="F80" s="2"/>
      <c r="G80" s="2"/>
      <c r="H80" s="2"/>
      <c r="I80" s="2"/>
    </row>
    <row r="81" spans="1:9" x14ac:dyDescent="0.4">
      <c r="A81" s="38">
        <v>39479</v>
      </c>
      <c r="B81" s="79">
        <v>123.92</v>
      </c>
      <c r="C81" s="81">
        <f t="shared" si="2"/>
        <v>-7.9471456493766968E-2</v>
      </c>
      <c r="D81" s="2">
        <f t="shared" si="3"/>
        <v>2008</v>
      </c>
      <c r="E81" s="2"/>
      <c r="F81" s="2"/>
      <c r="G81" s="2"/>
      <c r="H81" s="2"/>
      <c r="I81" s="2"/>
    </row>
    <row r="82" spans="1:9" x14ac:dyDescent="0.4">
      <c r="A82" s="38">
        <v>39510</v>
      </c>
      <c r="B82" s="79">
        <v>142.24</v>
      </c>
      <c r="C82" s="81">
        <f t="shared" si="2"/>
        <v>0.13787957565698139</v>
      </c>
      <c r="D82" s="2">
        <f t="shared" si="3"/>
        <v>2008</v>
      </c>
      <c r="E82" s="2"/>
      <c r="F82" s="2"/>
      <c r="G82" s="2"/>
      <c r="H82" s="2"/>
      <c r="I82" s="2"/>
    </row>
    <row r="83" spans="1:9" x14ac:dyDescent="0.4">
      <c r="A83" s="38">
        <v>39539</v>
      </c>
      <c r="B83" s="79">
        <v>172.42</v>
      </c>
      <c r="C83" s="81">
        <f t="shared" si="2"/>
        <v>0.19241758901618444</v>
      </c>
      <c r="D83" s="2">
        <f t="shared" si="3"/>
        <v>2008</v>
      </c>
      <c r="E83" s="2"/>
      <c r="F83" s="2"/>
      <c r="G83" s="2"/>
      <c r="H83" s="2"/>
      <c r="I83" s="2"/>
    </row>
    <row r="84" spans="1:9" x14ac:dyDescent="0.4">
      <c r="A84" s="38">
        <v>39569</v>
      </c>
      <c r="B84" s="79">
        <v>187.09</v>
      </c>
      <c r="C84" s="81">
        <f t="shared" si="2"/>
        <v>8.1656423715548404E-2</v>
      </c>
      <c r="D84" s="2">
        <f t="shared" si="3"/>
        <v>2008</v>
      </c>
      <c r="E84" s="2"/>
      <c r="F84" s="2"/>
      <c r="G84" s="2"/>
      <c r="H84" s="2"/>
      <c r="I84" s="2"/>
    </row>
    <row r="85" spans="1:9" x14ac:dyDescent="0.4">
      <c r="A85" s="38">
        <v>39601</v>
      </c>
      <c r="B85" s="79">
        <v>165.97</v>
      </c>
      <c r="C85" s="81">
        <f t="shared" si="2"/>
        <v>-0.11978273536469983</v>
      </c>
      <c r="D85" s="2">
        <f t="shared" si="3"/>
        <v>2008</v>
      </c>
      <c r="E85" s="2"/>
      <c r="F85" s="2"/>
      <c r="G85" s="2"/>
      <c r="H85" s="2"/>
      <c r="I85" s="2"/>
    </row>
    <row r="86" spans="1:9" x14ac:dyDescent="0.4">
      <c r="A86" s="38">
        <v>39630</v>
      </c>
      <c r="B86" s="79">
        <v>157.55000000000001</v>
      </c>
      <c r="C86" s="81">
        <f t="shared" si="2"/>
        <v>-5.2064180929343763E-2</v>
      </c>
      <c r="D86" s="2">
        <f t="shared" si="3"/>
        <v>2008</v>
      </c>
      <c r="E86" s="2"/>
      <c r="F86" s="2"/>
      <c r="G86" s="2"/>
      <c r="H86" s="2"/>
      <c r="I86" s="2"/>
    </row>
    <row r="87" spans="1:9" x14ac:dyDescent="0.4">
      <c r="A87" s="38">
        <v>39661</v>
      </c>
      <c r="B87" s="79">
        <v>168.04</v>
      </c>
      <c r="C87" s="81">
        <f t="shared" si="2"/>
        <v>6.4459178097897585E-2</v>
      </c>
      <c r="D87" s="2">
        <f t="shared" si="3"/>
        <v>2008</v>
      </c>
      <c r="E87" s="2"/>
      <c r="F87" s="2"/>
      <c r="G87" s="2"/>
      <c r="H87" s="2"/>
      <c r="I87" s="2"/>
    </row>
    <row r="88" spans="1:9" x14ac:dyDescent="0.4">
      <c r="A88" s="38">
        <v>39693</v>
      </c>
      <c r="B88" s="79">
        <v>112.66</v>
      </c>
      <c r="C88" s="81">
        <f t="shared" si="2"/>
        <v>-0.39982761283461332</v>
      </c>
      <c r="D88" s="2">
        <f t="shared" si="3"/>
        <v>2008</v>
      </c>
      <c r="E88" s="2"/>
      <c r="F88" s="2"/>
      <c r="G88" s="2"/>
      <c r="H88" s="2"/>
      <c r="I88" s="2"/>
    </row>
    <row r="89" spans="1:9" x14ac:dyDescent="0.4">
      <c r="A89" s="38">
        <v>39722</v>
      </c>
      <c r="B89" s="79">
        <v>106.64</v>
      </c>
      <c r="C89" s="81">
        <f t="shared" si="2"/>
        <v>-5.4915757596114653E-2</v>
      </c>
      <c r="D89" s="2">
        <f t="shared" si="3"/>
        <v>2008</v>
      </c>
      <c r="E89" s="2"/>
      <c r="F89" s="2"/>
      <c r="G89" s="2"/>
      <c r="H89" s="2"/>
      <c r="I89" s="2"/>
    </row>
    <row r="90" spans="1:9" x14ac:dyDescent="0.4">
      <c r="A90" s="38">
        <v>39755</v>
      </c>
      <c r="B90" s="79">
        <v>91.85</v>
      </c>
      <c r="C90" s="81">
        <f t="shared" si="2"/>
        <v>-0.14930186420931865</v>
      </c>
      <c r="D90" s="2">
        <f t="shared" si="3"/>
        <v>2008</v>
      </c>
      <c r="E90" s="2"/>
      <c r="F90" s="2"/>
      <c r="G90" s="2"/>
      <c r="H90" s="2"/>
      <c r="I90" s="2"/>
    </row>
    <row r="91" spans="1:9" x14ac:dyDescent="0.4">
      <c r="A91" s="38">
        <v>39783</v>
      </c>
      <c r="B91" s="79">
        <v>84.6</v>
      </c>
      <c r="C91" s="81">
        <f t="shared" si="2"/>
        <v>-8.222254504895711E-2</v>
      </c>
      <c r="D91" s="2">
        <f t="shared" si="3"/>
        <v>2008</v>
      </c>
      <c r="E91" s="2"/>
      <c r="F91" s="2"/>
      <c r="G91" s="2"/>
      <c r="H91" s="2"/>
      <c r="I91" s="2"/>
    </row>
    <row r="92" spans="1:9" x14ac:dyDescent="0.4">
      <c r="A92" s="38">
        <v>39815</v>
      </c>
      <c r="B92" s="79">
        <v>89.34</v>
      </c>
      <c r="C92" s="81">
        <f t="shared" si="2"/>
        <v>5.4515049311795155E-2</v>
      </c>
      <c r="D92" s="2">
        <f t="shared" si="3"/>
        <v>2009</v>
      </c>
      <c r="E92" s="2"/>
      <c r="F92" s="2"/>
      <c r="G92" s="2"/>
      <c r="H92" s="2"/>
      <c r="I92" s="2"/>
    </row>
    <row r="93" spans="1:9" x14ac:dyDescent="0.4">
      <c r="A93" s="38">
        <v>39846</v>
      </c>
      <c r="B93" s="79">
        <v>88.52</v>
      </c>
      <c r="C93" s="81">
        <f t="shared" si="2"/>
        <v>-9.2208007411237816E-3</v>
      </c>
      <c r="D93" s="2">
        <f t="shared" si="3"/>
        <v>2009</v>
      </c>
      <c r="E93" s="2"/>
      <c r="F93" s="2"/>
      <c r="G93" s="2"/>
      <c r="H93" s="2"/>
      <c r="I93" s="2"/>
    </row>
    <row r="94" spans="1:9" x14ac:dyDescent="0.4">
      <c r="A94" s="38">
        <v>39874</v>
      </c>
      <c r="B94" s="79">
        <v>104.19</v>
      </c>
      <c r="C94" s="81">
        <f t="shared" si="2"/>
        <v>0.16298764024124343</v>
      </c>
      <c r="D94" s="2">
        <f t="shared" si="3"/>
        <v>2009</v>
      </c>
      <c r="E94" s="2"/>
      <c r="F94" s="2"/>
      <c r="G94" s="2"/>
      <c r="H94" s="2"/>
      <c r="I94" s="2"/>
    </row>
    <row r="95" spans="1:9" x14ac:dyDescent="0.4">
      <c r="A95" s="38">
        <v>39904</v>
      </c>
      <c r="B95" s="79">
        <v>124.72</v>
      </c>
      <c r="C95" s="81">
        <f t="shared" si="2"/>
        <v>0.1798550693254288</v>
      </c>
      <c r="D95" s="2">
        <f t="shared" si="3"/>
        <v>2009</v>
      </c>
      <c r="E95" s="2"/>
      <c r="F95" s="2"/>
      <c r="G95" s="2"/>
      <c r="H95" s="2"/>
      <c r="I95" s="2"/>
    </row>
    <row r="96" spans="1:9" x14ac:dyDescent="0.4">
      <c r="A96" s="38">
        <v>39934</v>
      </c>
      <c r="B96" s="79">
        <v>134.61000000000001</v>
      </c>
      <c r="C96" s="81">
        <f t="shared" si="2"/>
        <v>7.6310483906480653E-2</v>
      </c>
      <c r="D96" s="2">
        <f t="shared" si="3"/>
        <v>2009</v>
      </c>
      <c r="E96" s="2"/>
      <c r="F96" s="2"/>
      <c r="G96" s="2"/>
      <c r="H96" s="2"/>
      <c r="I96" s="2"/>
    </row>
    <row r="97" spans="1:9" x14ac:dyDescent="0.4">
      <c r="A97" s="38">
        <v>39965</v>
      </c>
      <c r="B97" s="79">
        <v>141.18</v>
      </c>
      <c r="C97" s="81">
        <f t="shared" si="2"/>
        <v>4.7653963311324474E-2</v>
      </c>
      <c r="D97" s="2">
        <f t="shared" si="3"/>
        <v>2009</v>
      </c>
      <c r="E97" s="2"/>
      <c r="F97" s="2"/>
      <c r="G97" s="2"/>
      <c r="H97" s="2"/>
      <c r="I97" s="2"/>
    </row>
    <row r="98" spans="1:9" x14ac:dyDescent="0.4">
      <c r="A98" s="38">
        <v>39995</v>
      </c>
      <c r="B98" s="79">
        <v>161.94999999999999</v>
      </c>
      <c r="C98" s="81">
        <f t="shared" si="2"/>
        <v>0.13725197365001213</v>
      </c>
      <c r="D98" s="2">
        <f t="shared" si="3"/>
        <v>2009</v>
      </c>
      <c r="E98" s="2"/>
      <c r="F98" s="2"/>
      <c r="G98" s="2"/>
      <c r="H98" s="2"/>
      <c r="I98" s="2"/>
    </row>
    <row r="99" spans="1:9" x14ac:dyDescent="0.4">
      <c r="A99" s="38">
        <v>40028</v>
      </c>
      <c r="B99" s="79">
        <v>166.73</v>
      </c>
      <c r="C99" s="81">
        <f t="shared" si="2"/>
        <v>2.9088091955029111E-2</v>
      </c>
      <c r="D99" s="2">
        <f t="shared" si="3"/>
        <v>2009</v>
      </c>
      <c r="E99" s="2"/>
      <c r="F99" s="2"/>
      <c r="G99" s="2"/>
      <c r="H99" s="2"/>
      <c r="I99" s="2"/>
    </row>
    <row r="100" spans="1:9" x14ac:dyDescent="0.4">
      <c r="A100" s="38">
        <v>40057</v>
      </c>
      <c r="B100" s="79">
        <v>183.72</v>
      </c>
      <c r="C100" s="81">
        <f t="shared" si="2"/>
        <v>9.7037121885225189E-2</v>
      </c>
      <c r="D100" s="2">
        <f t="shared" si="3"/>
        <v>2009</v>
      </c>
      <c r="E100" s="2"/>
      <c r="F100" s="2"/>
      <c r="G100" s="2"/>
      <c r="H100" s="2"/>
      <c r="I100" s="2"/>
    </row>
    <row r="101" spans="1:9" x14ac:dyDescent="0.4">
      <c r="A101" s="38">
        <v>40087</v>
      </c>
      <c r="B101" s="79">
        <v>186.84</v>
      </c>
      <c r="C101" s="81">
        <f t="shared" si="2"/>
        <v>1.6839776176314703E-2</v>
      </c>
      <c r="D101" s="2">
        <f t="shared" si="3"/>
        <v>2009</v>
      </c>
      <c r="E101" s="2"/>
      <c r="F101" s="2"/>
      <c r="G101" s="2"/>
      <c r="H101" s="2"/>
      <c r="I101" s="2"/>
    </row>
    <row r="102" spans="1:9" x14ac:dyDescent="0.4">
      <c r="A102" s="38">
        <v>40119</v>
      </c>
      <c r="B102" s="79">
        <v>198.15</v>
      </c>
      <c r="C102" s="81">
        <f t="shared" si="2"/>
        <v>5.8771684002536725E-2</v>
      </c>
      <c r="D102" s="2">
        <f t="shared" si="3"/>
        <v>2009</v>
      </c>
      <c r="E102" s="2"/>
      <c r="F102" s="2"/>
      <c r="G102" s="2"/>
      <c r="H102" s="2"/>
      <c r="I102" s="2"/>
    </row>
    <row r="103" spans="1:9" x14ac:dyDescent="0.4">
      <c r="A103" s="38">
        <v>40148</v>
      </c>
      <c r="B103" s="79">
        <v>208.88</v>
      </c>
      <c r="C103" s="81">
        <f t="shared" si="2"/>
        <v>5.2735604754429316E-2</v>
      </c>
      <c r="D103" s="2">
        <f t="shared" si="3"/>
        <v>2009</v>
      </c>
      <c r="E103" s="2"/>
      <c r="F103" s="2"/>
      <c r="G103" s="2"/>
      <c r="H103" s="2"/>
      <c r="I103" s="2"/>
    </row>
    <row r="104" spans="1:9" x14ac:dyDescent="0.4">
      <c r="A104" s="38">
        <v>40182</v>
      </c>
      <c r="B104" s="79">
        <v>190.37</v>
      </c>
      <c r="C104" s="81">
        <f t="shared" si="2"/>
        <v>-9.2790377473176006E-2</v>
      </c>
      <c r="D104" s="2">
        <f t="shared" si="3"/>
        <v>2010</v>
      </c>
      <c r="E104" s="2"/>
      <c r="F104" s="2"/>
      <c r="G104" s="2"/>
      <c r="H104" s="2"/>
      <c r="I104" s="2"/>
    </row>
    <row r="105" spans="1:9" x14ac:dyDescent="0.4">
      <c r="A105" s="38">
        <v>40210</v>
      </c>
      <c r="B105" s="79">
        <v>202.82</v>
      </c>
      <c r="C105" s="81">
        <f t="shared" si="2"/>
        <v>6.3349339266152882E-2</v>
      </c>
      <c r="D105" s="2">
        <f t="shared" si="3"/>
        <v>2010</v>
      </c>
      <c r="E105" s="2"/>
      <c r="F105" s="2"/>
      <c r="G105" s="2"/>
      <c r="H105" s="2"/>
      <c r="I105" s="2"/>
    </row>
    <row r="106" spans="1:9" x14ac:dyDescent="0.4">
      <c r="A106" s="38">
        <v>40238</v>
      </c>
      <c r="B106" s="79">
        <v>232.93</v>
      </c>
      <c r="C106" s="81">
        <f t="shared" si="2"/>
        <v>0.13841909305941275</v>
      </c>
      <c r="D106" s="2">
        <f t="shared" si="3"/>
        <v>2010</v>
      </c>
      <c r="E106" s="2"/>
      <c r="F106" s="2"/>
      <c r="G106" s="2"/>
      <c r="H106" s="2"/>
      <c r="I106" s="2"/>
    </row>
    <row r="107" spans="1:9" x14ac:dyDescent="0.4">
      <c r="A107" s="38">
        <v>40269</v>
      </c>
      <c r="B107" s="79">
        <v>258.79000000000002</v>
      </c>
      <c r="C107" s="81">
        <f t="shared" si="2"/>
        <v>0.10527894276059094</v>
      </c>
      <c r="D107" s="2">
        <f t="shared" si="3"/>
        <v>2010</v>
      </c>
      <c r="E107" s="2"/>
      <c r="F107" s="2"/>
      <c r="G107" s="2"/>
      <c r="H107" s="2"/>
      <c r="I107" s="2"/>
    </row>
    <row r="108" spans="1:9" x14ac:dyDescent="0.4">
      <c r="A108" s="38">
        <v>40301</v>
      </c>
      <c r="B108" s="79">
        <v>254.62</v>
      </c>
      <c r="C108" s="81">
        <f t="shared" si="2"/>
        <v>-1.6244684370354548E-2</v>
      </c>
      <c r="D108" s="2">
        <f t="shared" si="3"/>
        <v>2010</v>
      </c>
      <c r="E108" s="2"/>
      <c r="F108" s="2"/>
      <c r="G108" s="2"/>
      <c r="H108" s="2"/>
      <c r="I108" s="2"/>
    </row>
    <row r="109" spans="1:9" x14ac:dyDescent="0.4">
      <c r="A109" s="38">
        <v>40330</v>
      </c>
      <c r="B109" s="79">
        <v>249.32</v>
      </c>
      <c r="C109" s="81">
        <f t="shared" si="2"/>
        <v>-2.1035025692849561E-2</v>
      </c>
      <c r="D109" s="2">
        <f t="shared" si="3"/>
        <v>2010</v>
      </c>
      <c r="E109" s="2"/>
      <c r="F109" s="2"/>
      <c r="G109" s="2"/>
      <c r="H109" s="2"/>
      <c r="I109" s="2"/>
    </row>
    <row r="110" spans="1:9" x14ac:dyDescent="0.4">
      <c r="A110" s="38">
        <v>40360</v>
      </c>
      <c r="B110" s="79">
        <v>254.99</v>
      </c>
      <c r="C110" s="81">
        <f t="shared" si="2"/>
        <v>2.2487116762546659E-2</v>
      </c>
      <c r="D110" s="2">
        <f t="shared" si="3"/>
        <v>2010</v>
      </c>
      <c r="E110" s="2"/>
      <c r="F110" s="2"/>
      <c r="G110" s="2"/>
      <c r="H110" s="2"/>
      <c r="I110" s="2"/>
    </row>
    <row r="111" spans="1:9" x14ac:dyDescent="0.4">
      <c r="A111" s="38">
        <v>40392</v>
      </c>
      <c r="B111" s="79">
        <v>240.96</v>
      </c>
      <c r="C111" s="81">
        <f t="shared" si="2"/>
        <v>-5.6593384091667774E-2</v>
      </c>
      <c r="D111" s="2">
        <f t="shared" si="3"/>
        <v>2010</v>
      </c>
      <c r="E111" s="2"/>
      <c r="F111" s="2"/>
      <c r="G111" s="2"/>
      <c r="H111" s="2"/>
      <c r="I111" s="2"/>
    </row>
    <row r="112" spans="1:9" x14ac:dyDescent="0.4">
      <c r="A112" s="38">
        <v>40422</v>
      </c>
      <c r="B112" s="79">
        <v>281.25</v>
      </c>
      <c r="C112" s="81">
        <f t="shared" si="2"/>
        <v>0.15461300890710111</v>
      </c>
      <c r="D112" s="2">
        <f t="shared" si="3"/>
        <v>2010</v>
      </c>
      <c r="E112" s="2"/>
      <c r="F112" s="2"/>
      <c r="G112" s="2"/>
      <c r="H112" s="2"/>
      <c r="I112" s="2"/>
    </row>
    <row r="113" spans="1:9" x14ac:dyDescent="0.4">
      <c r="A113" s="38">
        <v>40452</v>
      </c>
      <c r="B113" s="79">
        <v>298.33</v>
      </c>
      <c r="C113" s="81">
        <f t="shared" si="2"/>
        <v>5.895630284133771E-2</v>
      </c>
      <c r="D113" s="2">
        <f t="shared" si="3"/>
        <v>2010</v>
      </c>
      <c r="E113" s="2"/>
      <c r="F113" s="2"/>
      <c r="G113" s="2"/>
      <c r="H113" s="2"/>
      <c r="I113" s="2"/>
    </row>
    <row r="114" spans="1:9" x14ac:dyDescent="0.4">
      <c r="A114" s="38">
        <v>40483</v>
      </c>
      <c r="B114" s="79">
        <v>308.41000000000003</v>
      </c>
      <c r="C114" s="81">
        <f t="shared" si="2"/>
        <v>3.322981022504487E-2</v>
      </c>
      <c r="D114" s="2">
        <f t="shared" si="3"/>
        <v>2010</v>
      </c>
      <c r="E114" s="2"/>
      <c r="F114" s="2"/>
      <c r="G114" s="2"/>
      <c r="H114" s="2"/>
      <c r="I114" s="2"/>
    </row>
    <row r="115" spans="1:9" x14ac:dyDescent="0.4">
      <c r="A115" s="38">
        <v>40513</v>
      </c>
      <c r="B115" s="79">
        <v>319.72000000000003</v>
      </c>
      <c r="C115" s="81">
        <f t="shared" si="2"/>
        <v>3.6015546172806112E-2</v>
      </c>
      <c r="D115" s="2">
        <f t="shared" si="3"/>
        <v>2010</v>
      </c>
      <c r="E115" s="2"/>
      <c r="F115" s="2"/>
      <c r="G115" s="2"/>
      <c r="H115" s="2"/>
      <c r="I115" s="2"/>
    </row>
    <row r="116" spans="1:9" x14ac:dyDescent="0.4">
      <c r="A116" s="38">
        <v>40546</v>
      </c>
      <c r="B116" s="79">
        <v>336.33</v>
      </c>
      <c r="C116" s="81">
        <f t="shared" si="2"/>
        <v>5.0647208075793537E-2</v>
      </c>
      <c r="D116" s="2">
        <f t="shared" si="3"/>
        <v>2011</v>
      </c>
      <c r="E116" s="2"/>
      <c r="F116" s="2"/>
      <c r="G116" s="2"/>
      <c r="H116" s="2"/>
      <c r="I116" s="2"/>
    </row>
    <row r="117" spans="1:9" x14ac:dyDescent="0.4">
      <c r="A117" s="38">
        <v>40575</v>
      </c>
      <c r="B117" s="79">
        <v>350.1</v>
      </c>
      <c r="C117" s="81">
        <f t="shared" si="2"/>
        <v>4.0126007127008263E-2</v>
      </c>
      <c r="D117" s="2">
        <f t="shared" si="3"/>
        <v>2011</v>
      </c>
      <c r="E117" s="2"/>
      <c r="F117" s="2"/>
      <c r="G117" s="2"/>
      <c r="H117" s="2"/>
      <c r="I117" s="2"/>
    </row>
    <row r="118" spans="1:9" x14ac:dyDescent="0.4">
      <c r="A118" s="38">
        <v>40603</v>
      </c>
      <c r="B118" s="79">
        <v>345.44</v>
      </c>
      <c r="C118" s="81">
        <f t="shared" si="2"/>
        <v>-1.3399861194122885E-2</v>
      </c>
      <c r="D118" s="2">
        <f t="shared" si="3"/>
        <v>2011</v>
      </c>
      <c r="E118" s="2"/>
      <c r="F118" s="2"/>
      <c r="G118" s="2"/>
      <c r="H118" s="2"/>
      <c r="I118" s="2"/>
    </row>
    <row r="119" spans="1:9" x14ac:dyDescent="0.4">
      <c r="A119" s="38">
        <v>40634</v>
      </c>
      <c r="B119" s="79">
        <v>347.05</v>
      </c>
      <c r="C119" s="81">
        <f t="shared" si="2"/>
        <v>4.6498950190954702E-3</v>
      </c>
      <c r="D119" s="2">
        <f t="shared" si="3"/>
        <v>2011</v>
      </c>
      <c r="E119" s="2"/>
      <c r="F119" s="2"/>
      <c r="G119" s="2"/>
      <c r="H119" s="2"/>
      <c r="I119" s="2"/>
    </row>
    <row r="120" spans="1:9" x14ac:dyDescent="0.4">
      <c r="A120" s="38">
        <v>40665</v>
      </c>
      <c r="B120" s="79">
        <v>344.77</v>
      </c>
      <c r="C120" s="81">
        <f t="shared" si="2"/>
        <v>-6.5913337419367408E-3</v>
      </c>
      <c r="D120" s="2">
        <f t="shared" si="3"/>
        <v>2011</v>
      </c>
      <c r="E120" s="2"/>
      <c r="F120" s="2"/>
      <c r="G120" s="2"/>
      <c r="H120" s="2"/>
      <c r="I120" s="2"/>
    </row>
    <row r="121" spans="1:9" x14ac:dyDescent="0.4">
      <c r="A121" s="38">
        <v>40695</v>
      </c>
      <c r="B121" s="79">
        <v>332.72</v>
      </c>
      <c r="C121" s="81">
        <f t="shared" si="2"/>
        <v>-3.5576232608999662E-2</v>
      </c>
      <c r="D121" s="2">
        <f t="shared" si="3"/>
        <v>2011</v>
      </c>
      <c r="E121" s="2"/>
      <c r="F121" s="2"/>
      <c r="G121" s="2"/>
      <c r="H121" s="2"/>
      <c r="I121" s="2"/>
    </row>
    <row r="122" spans="1:9" x14ac:dyDescent="0.4">
      <c r="A122" s="38">
        <v>40725</v>
      </c>
      <c r="B122" s="79">
        <v>387.04</v>
      </c>
      <c r="C122" s="81">
        <f t="shared" si="2"/>
        <v>0.15122675142706085</v>
      </c>
      <c r="D122" s="2">
        <f t="shared" si="3"/>
        <v>2011</v>
      </c>
      <c r="E122" s="2"/>
      <c r="F122" s="2"/>
      <c r="G122" s="2"/>
      <c r="H122" s="2"/>
      <c r="I122" s="2"/>
    </row>
    <row r="123" spans="1:9" x14ac:dyDescent="0.4">
      <c r="A123" s="38">
        <v>40756</v>
      </c>
      <c r="B123" s="79">
        <v>381.44</v>
      </c>
      <c r="C123" s="81">
        <f t="shared" si="2"/>
        <v>-1.4574482424786957E-2</v>
      </c>
      <c r="D123" s="2">
        <f t="shared" si="3"/>
        <v>2011</v>
      </c>
      <c r="E123" s="2"/>
      <c r="F123" s="2"/>
      <c r="G123" s="2"/>
      <c r="H123" s="2"/>
      <c r="I123" s="2"/>
    </row>
    <row r="124" spans="1:9" x14ac:dyDescent="0.4">
      <c r="A124" s="38">
        <v>40787</v>
      </c>
      <c r="B124" s="79">
        <v>377.96</v>
      </c>
      <c r="C124" s="81">
        <f t="shared" si="2"/>
        <v>-9.1651945225051795E-3</v>
      </c>
      <c r="D124" s="2">
        <f t="shared" si="3"/>
        <v>2011</v>
      </c>
      <c r="E124" s="2"/>
      <c r="F124" s="2"/>
      <c r="G124" s="2"/>
      <c r="H124" s="2"/>
      <c r="I124" s="2"/>
    </row>
    <row r="125" spans="1:9" x14ac:dyDescent="0.4">
      <c r="A125" s="38">
        <v>40819</v>
      </c>
      <c r="B125" s="79">
        <v>401.22</v>
      </c>
      <c r="C125" s="81">
        <f t="shared" si="2"/>
        <v>5.9721535379517118E-2</v>
      </c>
      <c r="D125" s="2">
        <f t="shared" si="3"/>
        <v>2011</v>
      </c>
      <c r="E125" s="2"/>
      <c r="F125" s="2"/>
      <c r="G125" s="2"/>
      <c r="H125" s="2"/>
      <c r="I125" s="2"/>
    </row>
    <row r="126" spans="1:9" x14ac:dyDescent="0.4">
      <c r="A126" s="38">
        <v>40848</v>
      </c>
      <c r="B126" s="79">
        <v>378.84</v>
      </c>
      <c r="C126" s="81">
        <f t="shared" si="2"/>
        <v>-5.7395952936041675E-2</v>
      </c>
      <c r="D126" s="2">
        <f t="shared" si="3"/>
        <v>2011</v>
      </c>
      <c r="E126" s="2"/>
      <c r="F126" s="2"/>
      <c r="G126" s="2"/>
      <c r="H126" s="2"/>
      <c r="I126" s="2"/>
    </row>
    <row r="127" spans="1:9" x14ac:dyDescent="0.4">
      <c r="A127" s="38">
        <v>40878</v>
      </c>
      <c r="B127" s="79">
        <v>401.44</v>
      </c>
      <c r="C127" s="81">
        <f t="shared" si="2"/>
        <v>5.7944130260211515E-2</v>
      </c>
      <c r="D127" s="2">
        <f t="shared" si="3"/>
        <v>2011</v>
      </c>
      <c r="E127" s="2"/>
      <c r="F127" s="2"/>
      <c r="G127" s="2"/>
      <c r="H127" s="2"/>
      <c r="I127" s="2"/>
    </row>
    <row r="128" spans="1:9" x14ac:dyDescent="0.4">
      <c r="A128" s="38">
        <v>40911</v>
      </c>
      <c r="B128" s="79">
        <v>452.46</v>
      </c>
      <c r="C128" s="81">
        <f t="shared" si="2"/>
        <v>0.11964127882449839</v>
      </c>
      <c r="D128" s="2">
        <f t="shared" si="3"/>
        <v>2012</v>
      </c>
      <c r="E128" s="2"/>
      <c r="F128" s="2"/>
      <c r="G128" s="2"/>
      <c r="H128" s="2"/>
      <c r="I128" s="2"/>
    </row>
    <row r="129" spans="1:9" x14ac:dyDescent="0.4">
      <c r="A129" s="38">
        <v>40940</v>
      </c>
      <c r="B129" s="79">
        <v>537.66999999999996</v>
      </c>
      <c r="C129" s="81">
        <f t="shared" si="2"/>
        <v>0.17254562762329329</v>
      </c>
      <c r="D129" s="2">
        <f t="shared" si="3"/>
        <v>2012</v>
      </c>
      <c r="E129" s="2"/>
      <c r="F129" s="2"/>
      <c r="G129" s="2"/>
      <c r="H129" s="2"/>
      <c r="I129" s="2"/>
    </row>
    <row r="130" spans="1:9" x14ac:dyDescent="0.4">
      <c r="A130" s="38">
        <v>40969</v>
      </c>
      <c r="B130" s="79">
        <v>594.27</v>
      </c>
      <c r="C130" s="81">
        <f t="shared" si="2"/>
        <v>0.10008877247679548</v>
      </c>
      <c r="D130" s="2">
        <f t="shared" si="3"/>
        <v>2012</v>
      </c>
      <c r="E130" s="2"/>
      <c r="F130" s="2"/>
      <c r="G130" s="2"/>
      <c r="H130" s="2"/>
      <c r="I130" s="2"/>
    </row>
    <row r="131" spans="1:9" x14ac:dyDescent="0.4">
      <c r="A131" s="38">
        <v>41001</v>
      </c>
      <c r="B131" s="79">
        <v>578.84</v>
      </c>
      <c r="C131" s="81">
        <f t="shared" si="2"/>
        <v>-2.6307660672907393E-2</v>
      </c>
      <c r="D131" s="2">
        <f t="shared" si="3"/>
        <v>2012</v>
      </c>
      <c r="E131" s="2"/>
      <c r="F131" s="2"/>
      <c r="G131" s="2"/>
      <c r="H131" s="2"/>
      <c r="I131" s="2"/>
    </row>
    <row r="132" spans="1:9" x14ac:dyDescent="0.4">
      <c r="A132" s="38">
        <v>41030</v>
      </c>
      <c r="B132" s="79">
        <v>572.64</v>
      </c>
      <c r="C132" s="81">
        <f t="shared" si="2"/>
        <v>-1.0768853852076338E-2</v>
      </c>
      <c r="D132" s="2">
        <f t="shared" si="3"/>
        <v>2012</v>
      </c>
      <c r="E132" s="2"/>
      <c r="F132" s="2"/>
      <c r="G132" s="2"/>
      <c r="H132" s="2"/>
      <c r="I132" s="2"/>
    </row>
    <row r="133" spans="1:9" x14ac:dyDescent="0.4">
      <c r="A133" s="38">
        <v>41061</v>
      </c>
      <c r="B133" s="79">
        <v>578.86</v>
      </c>
      <c r="C133" s="81">
        <f t="shared" si="2"/>
        <v>1.0803405117519954E-2</v>
      </c>
      <c r="D133" s="2">
        <f t="shared" si="3"/>
        <v>2012</v>
      </c>
      <c r="E133" s="2"/>
      <c r="F133" s="2"/>
      <c r="G133" s="2"/>
      <c r="H133" s="2"/>
      <c r="I133" s="2"/>
    </row>
    <row r="134" spans="1:9" x14ac:dyDescent="0.4">
      <c r="A134" s="38">
        <v>41092</v>
      </c>
      <c r="B134" s="79">
        <v>605.38</v>
      </c>
      <c r="C134" s="81">
        <f t="shared" ref="C134:C140" si="4">LN(B134/B133)</f>
        <v>4.4795707897431633E-2</v>
      </c>
      <c r="D134" s="2">
        <f t="shared" ref="D134:D140" si="5">YEAR(A134)</f>
        <v>2012</v>
      </c>
      <c r="E134" s="2"/>
      <c r="F134" s="2"/>
      <c r="G134" s="2"/>
      <c r="H134" s="2"/>
      <c r="I134" s="2"/>
    </row>
    <row r="135" spans="1:9" x14ac:dyDescent="0.4">
      <c r="A135" s="38">
        <v>41122</v>
      </c>
      <c r="B135" s="79">
        <v>662.22</v>
      </c>
      <c r="C135" s="81">
        <f t="shared" si="4"/>
        <v>8.974146698018047E-2</v>
      </c>
      <c r="D135" s="2">
        <f t="shared" si="5"/>
        <v>2012</v>
      </c>
      <c r="E135" s="2"/>
      <c r="F135" s="2"/>
      <c r="G135" s="2"/>
      <c r="H135" s="2"/>
      <c r="I135" s="2"/>
    </row>
    <row r="136" spans="1:9" x14ac:dyDescent="0.4">
      <c r="A136" s="38">
        <v>41156</v>
      </c>
      <c r="B136" s="79">
        <v>664.07</v>
      </c>
      <c r="C136" s="81">
        <f t="shared" si="4"/>
        <v>2.7897385938577138E-3</v>
      </c>
      <c r="D136" s="2">
        <f t="shared" si="5"/>
        <v>2012</v>
      </c>
      <c r="E136" s="2"/>
      <c r="F136" s="2"/>
      <c r="G136" s="2"/>
      <c r="H136" s="2"/>
      <c r="I136" s="2"/>
    </row>
    <row r="137" spans="1:9" x14ac:dyDescent="0.4">
      <c r="A137" s="38">
        <v>41183</v>
      </c>
      <c r="B137" s="79">
        <v>592.61</v>
      </c>
      <c r="C137" s="81">
        <f t="shared" si="4"/>
        <v>-0.11385105582055298</v>
      </c>
      <c r="D137" s="2">
        <f t="shared" si="5"/>
        <v>2012</v>
      </c>
      <c r="E137" s="2"/>
      <c r="F137" s="2"/>
      <c r="G137" s="2"/>
      <c r="H137" s="2"/>
      <c r="I137" s="2"/>
    </row>
    <row r="138" spans="1:9" x14ac:dyDescent="0.4">
      <c r="A138" s="38">
        <v>41214</v>
      </c>
      <c r="B138" s="79">
        <v>585.28</v>
      </c>
      <c r="C138" s="81">
        <f t="shared" si="4"/>
        <v>-1.244614458365159E-2</v>
      </c>
      <c r="D138" s="2">
        <f t="shared" si="5"/>
        <v>2012</v>
      </c>
      <c r="E138" s="2"/>
      <c r="F138" s="2"/>
      <c r="G138" s="2"/>
      <c r="H138" s="2"/>
      <c r="I138" s="2"/>
    </row>
    <row r="139" spans="1:9" x14ac:dyDescent="0.4">
      <c r="A139" s="38">
        <v>41246</v>
      </c>
      <c r="B139" s="79">
        <v>532.16999999999996</v>
      </c>
      <c r="C139" s="81">
        <f t="shared" si="4"/>
        <v>-9.5127378033543056E-2</v>
      </c>
      <c r="D139" s="2">
        <f t="shared" si="5"/>
        <v>2012</v>
      </c>
      <c r="E139" s="2"/>
      <c r="F139" s="2"/>
      <c r="G139" s="2"/>
      <c r="H139" s="2"/>
      <c r="I139" s="2"/>
    </row>
    <row r="140" spans="1:9" x14ac:dyDescent="0.4">
      <c r="A140" s="38">
        <v>41276</v>
      </c>
      <c r="B140" s="79">
        <v>523.51</v>
      </c>
      <c r="C140" s="81">
        <f t="shared" si="4"/>
        <v>-1.6406854844058287E-2</v>
      </c>
      <c r="D140" s="2">
        <f t="shared" si="5"/>
        <v>2013</v>
      </c>
      <c r="E140" s="2"/>
      <c r="F140" s="2"/>
      <c r="G140" s="2"/>
      <c r="H140" s="2"/>
      <c r="I140" s="2"/>
    </row>
  </sheetData>
  <mergeCells count="2">
    <mergeCell ref="A1:I1"/>
    <mergeCell ref="F2:H2"/>
  </mergeCells>
  <phoneticPr fontId="19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E62D-0887-418D-BFFA-96ACE3E94085}">
  <dimension ref="A1:K28"/>
  <sheetViews>
    <sheetView workbookViewId="0">
      <selection activeCell="M19" sqref="M19"/>
    </sheetView>
  </sheetViews>
  <sheetFormatPr defaultRowHeight="13.9" x14ac:dyDescent="0.4"/>
  <cols>
    <col min="10" max="10" width="9.06640625" customWidth="1"/>
  </cols>
  <sheetData>
    <row r="1" spans="1:11" ht="17.649999999999999" x14ac:dyDescent="0.4">
      <c r="A1" s="65" t="s">
        <v>89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35">
      <c r="A2" s="85" t="s">
        <v>50</v>
      </c>
      <c r="B2" s="86" t="s">
        <v>95</v>
      </c>
      <c r="C2" s="86" t="s">
        <v>96</v>
      </c>
      <c r="D2" s="86"/>
      <c r="E2" s="87"/>
      <c r="F2" s="86"/>
      <c r="G2" s="86"/>
      <c r="H2" s="86"/>
      <c r="I2" s="86"/>
      <c r="J2" s="86"/>
      <c r="K2" s="86"/>
    </row>
    <row r="3" spans="1:11" x14ac:dyDescent="0.4">
      <c r="A3" s="88">
        <v>38565</v>
      </c>
      <c r="B3" s="89">
        <v>4.0097385978425507E-2</v>
      </c>
      <c r="C3" s="89">
        <v>-8.9704618585273316E-2</v>
      </c>
      <c r="D3" s="87"/>
      <c r="E3" s="90"/>
      <c r="F3" s="91"/>
      <c r="G3" s="87"/>
      <c r="H3" s="87"/>
      <c r="I3" s="87"/>
      <c r="J3" s="87"/>
      <c r="K3" s="87"/>
    </row>
    <row r="4" spans="1:11" x14ac:dyDescent="0.4">
      <c r="A4" s="88">
        <v>38596</v>
      </c>
      <c r="B4" s="89">
        <v>3.1396268306048775E-2</v>
      </c>
      <c r="C4" s="89">
        <v>-4.2981822573685144E-2</v>
      </c>
      <c r="D4" s="87"/>
      <c r="E4" s="90"/>
      <c r="F4" s="91"/>
      <c r="G4" s="87"/>
      <c r="H4" s="87"/>
      <c r="I4" s="87"/>
      <c r="J4" s="87"/>
      <c r="K4" s="87"/>
    </row>
    <row r="5" spans="1:11" x14ac:dyDescent="0.4">
      <c r="A5" s="88">
        <v>38628</v>
      </c>
      <c r="B5" s="89">
        <v>-5.7838154829700089E-2</v>
      </c>
      <c r="C5" s="89">
        <v>3.4158918811319078E-2</v>
      </c>
      <c r="D5" s="87"/>
      <c r="E5" s="92"/>
      <c r="F5" s="87"/>
      <c r="G5" s="87"/>
      <c r="H5" s="87"/>
      <c r="I5" s="87"/>
      <c r="J5" s="87"/>
      <c r="K5" s="87"/>
    </row>
    <row r="6" spans="1:11" x14ac:dyDescent="0.4">
      <c r="A6" s="88">
        <v>38657</v>
      </c>
      <c r="B6" s="89">
        <v>8.8884139861410597E-2</v>
      </c>
      <c r="C6" s="89">
        <v>8.7050244393486367E-2</v>
      </c>
      <c r="D6" s="87"/>
      <c r="E6" s="92"/>
      <c r="F6" s="87"/>
      <c r="G6" s="87"/>
      <c r="H6" s="87"/>
      <c r="I6" s="87"/>
      <c r="J6" s="87"/>
      <c r="K6" s="87"/>
    </row>
    <row r="7" spans="1:11" x14ac:dyDescent="0.4">
      <c r="A7" s="88">
        <v>38687</v>
      </c>
      <c r="B7" s="89">
        <v>-3.63857284390818E-3</v>
      </c>
      <c r="C7" s="89">
        <v>8.4407162400444102E-2</v>
      </c>
      <c r="D7" s="87"/>
      <c r="E7" s="92"/>
      <c r="F7" s="87"/>
      <c r="G7" s="87"/>
      <c r="H7" s="87"/>
      <c r="I7" s="87"/>
      <c r="J7" s="87"/>
      <c r="K7" s="87"/>
    </row>
    <row r="8" spans="1:11" x14ac:dyDescent="0.4">
      <c r="A8" s="88">
        <v>38720</v>
      </c>
      <c r="B8" s="89">
        <v>3.7560301878575605E-2</v>
      </c>
      <c r="C8" s="89">
        <v>6.4661303383412763E-2</v>
      </c>
      <c r="D8" s="87"/>
      <c r="E8" s="87"/>
      <c r="F8" s="87"/>
      <c r="G8" s="87"/>
      <c r="H8" s="87"/>
      <c r="I8" s="87"/>
      <c r="J8" s="87"/>
      <c r="K8" s="87"/>
    </row>
    <row r="9" spans="1:11" x14ac:dyDescent="0.4">
      <c r="A9" s="88">
        <v>38749</v>
      </c>
      <c r="B9" s="89">
        <v>-2.9299757263299415E-3</v>
      </c>
      <c r="C9" s="89">
        <v>-1.5216474706147332E-2</v>
      </c>
      <c r="D9" s="87"/>
      <c r="E9" s="92"/>
      <c r="F9" s="91"/>
      <c r="G9" s="87"/>
      <c r="H9" s="87"/>
      <c r="I9" s="87"/>
      <c r="J9" s="87"/>
      <c r="K9" s="87"/>
    </row>
    <row r="10" spans="1:11" x14ac:dyDescent="0.4">
      <c r="A10" s="88">
        <v>38777</v>
      </c>
      <c r="B10" s="89">
        <v>-1.5971945566052113E-2</v>
      </c>
      <c r="C10" s="89">
        <v>6.9690708221481407E-2</v>
      </c>
      <c r="D10" s="87"/>
      <c r="E10" s="92"/>
      <c r="F10" s="91"/>
      <c r="G10" s="87"/>
      <c r="H10" s="87"/>
      <c r="I10" s="87"/>
      <c r="J10" s="87"/>
      <c r="K10" s="87"/>
    </row>
    <row r="11" spans="1:11" x14ac:dyDescent="0.4">
      <c r="A11" s="88">
        <v>38810</v>
      </c>
      <c r="B11" s="89">
        <v>6.2416609234761337E-3</v>
      </c>
      <c r="C11" s="89">
        <v>-4.5446678465881924E-3</v>
      </c>
      <c r="D11" s="87"/>
      <c r="E11" s="92"/>
      <c r="F11" s="87"/>
      <c r="G11" s="87"/>
      <c r="H11" s="87"/>
      <c r="I11" s="87"/>
      <c r="J11" s="87"/>
      <c r="K11" s="87"/>
    </row>
    <row r="12" spans="1:11" x14ac:dyDescent="0.4">
      <c r="A12" s="88">
        <v>38838</v>
      </c>
      <c r="B12" s="89">
        <v>-4.1439469069049675E-2</v>
      </c>
      <c r="C12" s="89">
        <v>-2.1963334154518552E-2</v>
      </c>
      <c r="D12" s="87"/>
      <c r="E12" s="92"/>
      <c r="F12" s="87"/>
      <c r="G12" s="87"/>
      <c r="H12" s="87"/>
      <c r="I12" s="87"/>
      <c r="J12" s="87"/>
      <c r="K12" s="87"/>
    </row>
    <row r="13" spans="1:11" x14ac:dyDescent="0.4">
      <c r="A13" s="88">
        <v>38869</v>
      </c>
      <c r="B13" s="89">
        <v>1.288756714060884E-2</v>
      </c>
      <c r="C13" s="89">
        <v>-3.3506411889842699E-2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4">
      <c r="A14" s="88">
        <v>38901</v>
      </c>
      <c r="B14" s="89">
        <v>5.1979034823580954E-2</v>
      </c>
      <c r="C14" s="89">
        <v>3.1713975489527702E-2</v>
      </c>
      <c r="D14" s="87"/>
      <c r="E14" s="87"/>
      <c r="F14" s="87"/>
      <c r="G14" s="87"/>
      <c r="H14" s="87"/>
      <c r="I14" s="87"/>
      <c r="J14" s="87"/>
      <c r="K14" s="87"/>
    </row>
    <row r="15" spans="1:11" x14ac:dyDescent="0.4">
      <c r="A15" s="88">
        <v>38930</v>
      </c>
      <c r="B15" s="89">
        <v>1.4082715854511953E-2</v>
      </c>
      <c r="C15" s="89">
        <v>6.2922576805322705E-2</v>
      </c>
      <c r="D15" s="87"/>
      <c r="E15" s="87"/>
      <c r="F15" s="87"/>
      <c r="G15" s="87"/>
      <c r="H15" s="87"/>
      <c r="I15" s="87"/>
      <c r="J15" s="87"/>
      <c r="K15" s="87"/>
    </row>
    <row r="16" spans="1:11" x14ac:dyDescent="0.4">
      <c r="A16" s="88">
        <v>38961</v>
      </c>
      <c r="B16" s="89">
        <v>8.6083435169234043E-2</v>
      </c>
      <c r="C16" s="89">
        <v>4.7377281011011116E-2</v>
      </c>
      <c r="D16" s="87"/>
      <c r="E16" s="87"/>
      <c r="F16" s="87"/>
      <c r="G16" s="87"/>
      <c r="H16" s="87"/>
      <c r="I16" s="87"/>
      <c r="J16" s="87"/>
      <c r="K16" s="87"/>
    </row>
    <row r="17" spans="1:11" x14ac:dyDescent="0.4">
      <c r="A17" s="88">
        <v>38992</v>
      </c>
      <c r="B17" s="89">
        <v>6.9045239846001E-2</v>
      </c>
      <c r="C17" s="89">
        <v>9.7586157560167475E-2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4">
      <c r="A18" s="88">
        <v>39022</v>
      </c>
      <c r="B18" s="89">
        <v>2.5336136262073743E-2</v>
      </c>
      <c r="C18" s="89">
        <v>-5.7895908620869282E-2</v>
      </c>
      <c r="D18" s="87"/>
      <c r="E18" s="87"/>
      <c r="F18" s="87"/>
      <c r="G18" s="87"/>
      <c r="H18" s="87"/>
      <c r="I18" s="87"/>
      <c r="J18" s="87"/>
      <c r="K18" s="87"/>
    </row>
    <row r="19" spans="1:11" x14ac:dyDescent="0.4">
      <c r="A19" s="88">
        <v>39052</v>
      </c>
      <c r="B19" s="89">
        <v>5.4706571411462721E-2</v>
      </c>
      <c r="C19" s="89">
        <v>1.5931709521836937E-2</v>
      </c>
      <c r="D19" s="87"/>
      <c r="E19" s="93" t="s">
        <v>90</v>
      </c>
      <c r="F19" s="87"/>
      <c r="G19" s="87"/>
      <c r="H19" s="87"/>
      <c r="I19" s="87"/>
      <c r="J19" s="87"/>
      <c r="K19" s="87"/>
    </row>
    <row r="20" spans="1:11" x14ac:dyDescent="0.4">
      <c r="A20" s="88">
        <v>39085</v>
      </c>
      <c r="B20" s="89">
        <v>4.5105999862642392E-4</v>
      </c>
      <c r="C20" s="89">
        <v>2.5804011956430211E-2</v>
      </c>
      <c r="D20" s="87"/>
      <c r="E20" s="94" t="s">
        <v>91</v>
      </c>
      <c r="F20" s="95">
        <f>INTERCEPT(C3:C26,B3:B26)</f>
        <v>3.7724112920055983E-3</v>
      </c>
      <c r="G20" s="87" t="str">
        <f ca="1">_xlfn.FORMULATEXT(F20)</f>
        <v>=INTERCEPT(C3:C26,B3:B26)</v>
      </c>
      <c r="H20" s="87"/>
      <c r="I20" s="87"/>
      <c r="J20" s="87"/>
      <c r="K20" s="87"/>
    </row>
    <row r="21" spans="1:11" x14ac:dyDescent="0.4">
      <c r="A21" s="88">
        <v>39114</v>
      </c>
      <c r="B21" s="89">
        <v>-1.4993465792244113E-2</v>
      </c>
      <c r="C21" s="89">
        <v>-5.5104488904212476E-2</v>
      </c>
      <c r="D21" s="87"/>
      <c r="E21" s="94" t="s">
        <v>92</v>
      </c>
      <c r="F21" s="95">
        <f>SLOPE(C3:C26,B3:B26)</f>
        <v>0.63806149126351341</v>
      </c>
      <c r="G21" s="87" t="str">
        <f t="shared" ref="G21:G28" ca="1" si="0">_xlfn.FORMULATEXT(F21)</f>
        <v>=SLOPE(C3:C26,B3:B26)</v>
      </c>
      <c r="H21" s="87"/>
      <c r="I21" s="87"/>
      <c r="J21" s="87"/>
      <c r="K21" s="87"/>
    </row>
    <row r="22" spans="1:11" x14ac:dyDescent="0.4">
      <c r="A22" s="88">
        <v>39142</v>
      </c>
      <c r="B22" s="89">
        <v>3.0653741091002305E-2</v>
      </c>
      <c r="C22" s="89">
        <v>-2.3754086008107144E-2</v>
      </c>
      <c r="D22" s="87"/>
      <c r="E22" s="94" t="s">
        <v>93</v>
      </c>
      <c r="F22" s="95">
        <f>RSQ(C3:C26,B3:B26)</f>
        <v>0.1310735810361468</v>
      </c>
      <c r="G22" s="87" t="str">
        <f t="shared" ca="1" si="0"/>
        <v>=RSQ(C3:C26,B3:B26)</v>
      </c>
      <c r="H22" s="87"/>
      <c r="I22" s="87"/>
      <c r="J22" s="87"/>
      <c r="K22" s="87"/>
    </row>
    <row r="23" spans="1:11" x14ac:dyDescent="0.4">
      <c r="A23" s="88">
        <v>39174</v>
      </c>
      <c r="B23" s="89">
        <v>6.924441217498381E-2</v>
      </c>
      <c r="C23" s="89">
        <v>0.18605389916988255</v>
      </c>
      <c r="D23" s="87"/>
      <c r="E23" s="87"/>
      <c r="F23" s="87"/>
      <c r="G23" s="87"/>
      <c r="H23" s="87"/>
      <c r="I23" s="87"/>
      <c r="J23" s="87"/>
      <c r="K23" s="87"/>
    </row>
    <row r="24" spans="1:11" x14ac:dyDescent="0.4">
      <c r="A24" s="88">
        <v>39203</v>
      </c>
      <c r="B24" s="89">
        <v>4.5945549237149656E-2</v>
      </c>
      <c r="C24" s="89">
        <v>6.5652190293506246E-2</v>
      </c>
      <c r="D24" s="87"/>
      <c r="E24" s="93" t="s">
        <v>94</v>
      </c>
      <c r="F24" s="87"/>
      <c r="G24" s="87"/>
      <c r="H24" s="87"/>
      <c r="I24" s="87"/>
      <c r="J24" s="87"/>
      <c r="K24" s="87"/>
    </row>
    <row r="25" spans="1:11" x14ac:dyDescent="0.4">
      <c r="A25" s="88">
        <v>39234</v>
      </c>
      <c r="B25" s="89">
        <v>4.1456973797065659E-3</v>
      </c>
      <c r="C25" s="89">
        <v>-8.7985958619979751E-2</v>
      </c>
      <c r="D25" s="87"/>
      <c r="E25" s="87" t="s">
        <v>91</v>
      </c>
      <c r="F25" s="92">
        <f>AVERAGE(C3:C26)-F21*AVERAGE(B3:B26)</f>
        <v>3.7724112920055983E-3</v>
      </c>
      <c r="G25" s="87" t="str">
        <f t="shared" ca="1" si="0"/>
        <v>=AVERAGE(C3:C26)-F21*AVERAGE(B3:B26)</v>
      </c>
      <c r="H25" s="87"/>
      <c r="I25" s="87"/>
      <c r="J25" s="87"/>
      <c r="K25" s="87"/>
    </row>
    <row r="26" spans="1:11" x14ac:dyDescent="0.4">
      <c r="A26" s="88">
        <v>39265</v>
      </c>
      <c r="B26" s="89">
        <v>3.3704526751391253E-2</v>
      </c>
      <c r="C26" s="89">
        <v>1.1094688286792071E-2</v>
      </c>
      <c r="D26" s="87"/>
      <c r="E26" s="87" t="s">
        <v>92</v>
      </c>
      <c r="F26" s="92">
        <f>_xlfn.COVARIANCE.P(B3:B26,C3:C26)/_xlfn.VAR.P(B3:B26)</f>
        <v>0.63806149126351364</v>
      </c>
      <c r="G26" s="87" t="str">
        <f t="shared" ca="1" si="0"/>
        <v>=COVARIANCE.P(B3:B26,C3:C26)/VAR.P(B3:B26)</v>
      </c>
      <c r="H26" s="87"/>
      <c r="I26" s="87"/>
      <c r="J26" s="87"/>
      <c r="K26" s="87"/>
    </row>
    <row r="27" spans="1:11" x14ac:dyDescent="0.35">
      <c r="A27" s="87"/>
      <c r="B27" s="87"/>
      <c r="C27" s="87"/>
      <c r="D27" s="87"/>
      <c r="E27" s="87"/>
      <c r="F27" s="92">
        <f>_xlfn.COVARIANCE.S(B3:B26,C3:C26)/_xlfn.VAR.S(B3:B26)</f>
        <v>0.63806149126351375</v>
      </c>
      <c r="G27" s="87" t="str">
        <f t="shared" ca="1" si="0"/>
        <v>=COVARIANCE.S(B3:B26,C3:C26)/VAR.S(B3:B26)</v>
      </c>
      <c r="H27" s="87"/>
      <c r="I27" s="87"/>
      <c r="J27" s="87"/>
      <c r="K27" s="87"/>
    </row>
    <row r="28" spans="1:11" x14ac:dyDescent="0.35">
      <c r="A28" s="87"/>
      <c r="B28" s="87"/>
      <c r="C28" s="87"/>
      <c r="D28" s="87"/>
      <c r="E28" s="87" t="s">
        <v>93</v>
      </c>
      <c r="F28" s="90">
        <f>CORREL(B3:B26,C3:C26)^2</f>
        <v>0.1310735810361468</v>
      </c>
      <c r="G28" s="87" t="str">
        <f t="shared" ca="1" si="0"/>
        <v>=CORREL(B3:B26,C3:C26)^2</v>
      </c>
      <c r="H28" s="87"/>
      <c r="I28" s="87"/>
      <c r="J28" s="87"/>
      <c r="K28" s="87"/>
    </row>
  </sheetData>
  <mergeCells count="1">
    <mergeCell ref="A1:K1"/>
  </mergeCells>
  <phoneticPr fontId="19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C321-794A-4B5B-9878-45EA453DF37E}">
  <dimension ref="A1:M26"/>
  <sheetViews>
    <sheetView workbookViewId="0">
      <selection activeCell="J22" sqref="J22"/>
    </sheetView>
  </sheetViews>
  <sheetFormatPr defaultRowHeight="13.9" x14ac:dyDescent="0.4"/>
  <sheetData>
    <row r="1" spans="1:11" ht="17.649999999999999" x14ac:dyDescent="0.4">
      <c r="A1" s="65" t="s">
        <v>89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35">
      <c r="A2" s="85" t="s">
        <v>50</v>
      </c>
      <c r="B2" s="86" t="s">
        <v>95</v>
      </c>
      <c r="C2" s="86" t="s">
        <v>96</v>
      </c>
      <c r="D2" s="86"/>
      <c r="E2" s="87"/>
      <c r="F2" s="86"/>
      <c r="G2" s="86"/>
      <c r="H2" s="86"/>
      <c r="I2" s="86"/>
      <c r="J2" s="86"/>
      <c r="K2" s="86"/>
    </row>
    <row r="3" spans="1:11" x14ac:dyDescent="0.4">
      <c r="A3" s="88">
        <v>38565</v>
      </c>
      <c r="B3" s="89">
        <v>4.0097385978425507E-2</v>
      </c>
      <c r="C3" s="89">
        <v>-8.9704618585273316E-2</v>
      </c>
      <c r="D3" s="87"/>
      <c r="E3" t="s">
        <v>97</v>
      </c>
    </row>
    <row r="4" spans="1:11" ht="14.25" thickBot="1" x14ac:dyDescent="0.45">
      <c r="A4" s="88">
        <v>38596</v>
      </c>
      <c r="B4" s="89">
        <v>3.1396268306048775E-2</v>
      </c>
      <c r="C4" s="89">
        <v>-4.2981822573685144E-2</v>
      </c>
      <c r="D4" s="87"/>
    </row>
    <row r="5" spans="1:11" x14ac:dyDescent="0.4">
      <c r="A5" s="88">
        <v>38628</v>
      </c>
      <c r="B5" s="89">
        <v>-5.7838154829700089E-2</v>
      </c>
      <c r="C5" s="89">
        <v>3.4158918811319078E-2</v>
      </c>
      <c r="D5" s="87"/>
      <c r="E5" s="99" t="s">
        <v>98</v>
      </c>
      <c r="F5" s="99"/>
    </row>
    <row r="6" spans="1:11" x14ac:dyDescent="0.4">
      <c r="A6" s="88">
        <v>38657</v>
      </c>
      <c r="B6" s="89">
        <v>8.8884139861410597E-2</v>
      </c>
      <c r="C6" s="89">
        <v>8.7050244393486367E-2</v>
      </c>
      <c r="D6" s="87"/>
      <c r="E6" s="96" t="s">
        <v>99</v>
      </c>
      <c r="F6" s="96">
        <v>0.36204085547924919</v>
      </c>
    </row>
    <row r="7" spans="1:11" x14ac:dyDescent="0.4">
      <c r="A7" s="88">
        <v>38687</v>
      </c>
      <c r="B7" s="89">
        <v>-3.63857284390818E-3</v>
      </c>
      <c r="C7" s="89">
        <v>8.4407162400444102E-2</v>
      </c>
      <c r="D7" s="87"/>
      <c r="E7" s="96" t="s">
        <v>100</v>
      </c>
      <c r="F7" s="96">
        <v>0.13107358103614658</v>
      </c>
    </row>
    <row r="8" spans="1:11" x14ac:dyDescent="0.4">
      <c r="A8" s="88">
        <v>38720</v>
      </c>
      <c r="B8" s="89">
        <v>3.7560301878575605E-2</v>
      </c>
      <c r="C8" s="89">
        <v>6.4661303383412763E-2</v>
      </c>
      <c r="D8" s="87"/>
      <c r="E8" s="96" t="s">
        <v>101</v>
      </c>
      <c r="F8" s="96">
        <v>9.1576925628698694E-2</v>
      </c>
    </row>
    <row r="9" spans="1:11" x14ac:dyDescent="0.4">
      <c r="A9" s="88">
        <v>38749</v>
      </c>
      <c r="B9" s="89">
        <v>-2.9299757263299415E-3</v>
      </c>
      <c r="C9" s="89">
        <v>-1.5216474706147332E-2</v>
      </c>
      <c r="D9" s="87"/>
      <c r="E9" s="96" t="s">
        <v>102</v>
      </c>
      <c r="F9" s="96">
        <v>6.2708810432269557E-2</v>
      </c>
    </row>
    <row r="10" spans="1:11" ht="14.25" thickBot="1" x14ac:dyDescent="0.45">
      <c r="A10" s="88">
        <v>38777</v>
      </c>
      <c r="B10" s="89">
        <v>-1.5971945566052113E-2</v>
      </c>
      <c r="C10" s="89">
        <v>6.9690708221481407E-2</v>
      </c>
      <c r="D10" s="87"/>
      <c r="E10" s="97" t="s">
        <v>103</v>
      </c>
      <c r="F10" s="97">
        <v>24</v>
      </c>
    </row>
    <row r="11" spans="1:11" x14ac:dyDescent="0.4">
      <c r="A11" s="88">
        <v>38810</v>
      </c>
      <c r="B11" s="89">
        <v>6.2416609234761337E-3</v>
      </c>
      <c r="C11" s="89">
        <v>-4.5446678465881924E-3</v>
      </c>
      <c r="D11" s="87"/>
    </row>
    <row r="12" spans="1:11" ht="14.25" thickBot="1" x14ac:dyDescent="0.45">
      <c r="A12" s="88">
        <v>38838</v>
      </c>
      <c r="B12" s="89">
        <v>-4.1439469069049675E-2</v>
      </c>
      <c r="C12" s="89">
        <v>-2.1963334154518552E-2</v>
      </c>
      <c r="D12" s="87"/>
      <c r="E12" t="s">
        <v>104</v>
      </c>
    </row>
    <row r="13" spans="1:11" x14ac:dyDescent="0.4">
      <c r="A13" s="88">
        <v>38869</v>
      </c>
      <c r="B13" s="89">
        <v>1.288756714060884E-2</v>
      </c>
      <c r="C13" s="89">
        <v>-3.3506411889842699E-2</v>
      </c>
      <c r="D13" s="87"/>
      <c r="E13" s="98"/>
      <c r="F13" s="98" t="s">
        <v>108</v>
      </c>
      <c r="G13" s="98" t="s">
        <v>109</v>
      </c>
      <c r="H13" s="98" t="s">
        <v>110</v>
      </c>
      <c r="I13" s="98" t="s">
        <v>111</v>
      </c>
      <c r="J13" s="98" t="s">
        <v>112</v>
      </c>
    </row>
    <row r="14" spans="1:11" x14ac:dyDescent="0.4">
      <c r="A14" s="88">
        <v>38901</v>
      </c>
      <c r="B14" s="89">
        <v>5.1979034823580954E-2</v>
      </c>
      <c r="C14" s="89">
        <v>3.1713975489527702E-2</v>
      </c>
      <c r="D14" s="87"/>
      <c r="E14" s="96" t="s">
        <v>105</v>
      </c>
      <c r="F14" s="96">
        <v>1</v>
      </c>
      <c r="G14" s="96">
        <v>1.3050043783157522E-2</v>
      </c>
      <c r="H14" s="96">
        <v>1.3050043783157522E-2</v>
      </c>
      <c r="I14" s="96">
        <v>3.3185995037805158</v>
      </c>
      <c r="J14" s="96">
        <v>8.2125954625472383E-2</v>
      </c>
    </row>
    <row r="15" spans="1:11" x14ac:dyDescent="0.4">
      <c r="A15" s="88">
        <v>38930</v>
      </c>
      <c r="B15" s="89">
        <v>1.4082715854511953E-2</v>
      </c>
      <c r="C15" s="89">
        <v>6.2922576805322705E-2</v>
      </c>
      <c r="D15" s="87"/>
      <c r="E15" s="96" t="s">
        <v>106</v>
      </c>
      <c r="F15" s="96">
        <v>22</v>
      </c>
      <c r="G15" s="96">
        <v>8.6512687928266996E-2</v>
      </c>
      <c r="H15" s="96">
        <v>3.9323949058303184E-3</v>
      </c>
      <c r="I15" s="96"/>
      <c r="J15" s="96"/>
    </row>
    <row r="16" spans="1:11" ht="14.25" thickBot="1" x14ac:dyDescent="0.45">
      <c r="A16" s="88">
        <v>38961</v>
      </c>
      <c r="B16" s="89">
        <v>8.6083435169234043E-2</v>
      </c>
      <c r="C16" s="89">
        <v>4.7377281011011116E-2</v>
      </c>
      <c r="D16" s="87"/>
      <c r="E16" s="97" t="s">
        <v>107</v>
      </c>
      <c r="F16" s="97">
        <v>23</v>
      </c>
      <c r="G16" s="97">
        <v>9.9562731711424518E-2</v>
      </c>
      <c r="H16" s="97"/>
      <c r="I16" s="97"/>
      <c r="J16" s="97"/>
    </row>
    <row r="17" spans="1:13" ht="14.25" thickBot="1" x14ac:dyDescent="0.45">
      <c r="A17" s="88">
        <v>38992</v>
      </c>
      <c r="B17" s="89">
        <v>6.9045239846001E-2</v>
      </c>
      <c r="C17" s="89">
        <v>9.7586157560167475E-2</v>
      </c>
      <c r="D17" s="87"/>
    </row>
    <row r="18" spans="1:13" x14ac:dyDescent="0.4">
      <c r="A18" s="88">
        <v>39022</v>
      </c>
      <c r="B18" s="89">
        <v>2.5336136262073743E-2</v>
      </c>
      <c r="C18" s="89">
        <v>-5.7895908620869282E-2</v>
      </c>
      <c r="D18" s="87"/>
      <c r="E18" s="98"/>
      <c r="F18" s="98" t="s">
        <v>113</v>
      </c>
      <c r="G18" s="98" t="s">
        <v>102</v>
      </c>
      <c r="H18" s="98" t="s">
        <v>114</v>
      </c>
      <c r="I18" s="98" t="s">
        <v>115</v>
      </c>
      <c r="J18" s="98" t="s">
        <v>116</v>
      </c>
      <c r="K18" s="98" t="s">
        <v>117</v>
      </c>
      <c r="L18" s="98" t="s">
        <v>118</v>
      </c>
      <c r="M18" s="98" t="s">
        <v>119</v>
      </c>
    </row>
    <row r="19" spans="1:13" x14ac:dyDescent="0.4">
      <c r="A19" s="88">
        <v>39052</v>
      </c>
      <c r="B19" s="89">
        <v>5.4706571411462721E-2</v>
      </c>
      <c r="C19" s="89">
        <v>1.5931709521836937E-2</v>
      </c>
      <c r="D19" s="87"/>
      <c r="E19" s="96" t="s">
        <v>91</v>
      </c>
      <c r="F19" s="96">
        <v>3.7724112920056035E-3</v>
      </c>
      <c r="G19" s="96">
        <v>1.5231295504422881E-2</v>
      </c>
      <c r="H19" s="96">
        <v>0.24767501168302897</v>
      </c>
      <c r="I19" s="96">
        <v>0.80668282147624004</v>
      </c>
      <c r="J19" s="96">
        <v>-2.781536224390467E-2</v>
      </c>
      <c r="K19" s="96">
        <v>3.5360184827915878E-2</v>
      </c>
      <c r="L19" s="96">
        <v>-2.781536224390467E-2</v>
      </c>
      <c r="M19" s="96">
        <v>3.5360184827915878E-2</v>
      </c>
    </row>
    <row r="20" spans="1:13" ht="14.25" thickBot="1" x14ac:dyDescent="0.45">
      <c r="A20" s="88">
        <v>39085</v>
      </c>
      <c r="B20" s="89">
        <v>4.5105999862642392E-4</v>
      </c>
      <c r="C20" s="89">
        <v>2.5804011956430211E-2</v>
      </c>
      <c r="D20" s="87"/>
      <c r="E20" s="97" t="s">
        <v>120</v>
      </c>
      <c r="F20" s="97">
        <v>0.63806149126351319</v>
      </c>
      <c r="G20" s="97">
        <v>0.35025562012652972</v>
      </c>
      <c r="H20" s="97">
        <v>1.8217023642133527</v>
      </c>
      <c r="I20" s="97">
        <v>8.2125954625472244E-2</v>
      </c>
      <c r="J20" s="97">
        <v>-8.8324206198920008E-2</v>
      </c>
      <c r="K20" s="97">
        <v>1.3644471887259464</v>
      </c>
      <c r="L20" s="97">
        <v>-8.8324206198920008E-2</v>
      </c>
      <c r="M20" s="97">
        <v>1.3644471887259464</v>
      </c>
    </row>
    <row r="21" spans="1:13" x14ac:dyDescent="0.4">
      <c r="A21" s="88">
        <v>39114</v>
      </c>
      <c r="B21" s="89">
        <v>-1.4993465792244113E-2</v>
      </c>
      <c r="C21" s="89">
        <v>-5.5104488904212476E-2</v>
      </c>
      <c r="D21" s="87"/>
    </row>
    <row r="22" spans="1:13" x14ac:dyDescent="0.4">
      <c r="A22" s="88">
        <v>39142</v>
      </c>
      <c r="B22" s="89">
        <v>3.0653741091002305E-2</v>
      </c>
      <c r="C22" s="89">
        <v>-2.3754086008107144E-2</v>
      </c>
      <c r="D22" s="87"/>
    </row>
    <row r="23" spans="1:13" x14ac:dyDescent="0.4">
      <c r="A23" s="88">
        <v>39174</v>
      </c>
      <c r="B23" s="89">
        <v>6.924441217498381E-2</v>
      </c>
      <c r="C23" s="89">
        <v>0.18605389916988255</v>
      </c>
      <c r="D23" s="87"/>
    </row>
    <row r="24" spans="1:13" x14ac:dyDescent="0.4">
      <c r="A24" s="88">
        <v>39203</v>
      </c>
      <c r="B24" s="89">
        <v>4.5945549237149656E-2</v>
      </c>
      <c r="C24" s="89">
        <v>6.5652190293506246E-2</v>
      </c>
      <c r="D24" s="87"/>
      <c r="E24" s="87"/>
      <c r="F24" s="87"/>
      <c r="G24" s="87"/>
      <c r="H24" s="87"/>
      <c r="I24" s="87"/>
      <c r="J24" s="87"/>
      <c r="K24" s="87"/>
    </row>
    <row r="25" spans="1:13" x14ac:dyDescent="0.4">
      <c r="A25" s="88">
        <v>39234</v>
      </c>
      <c r="B25" s="89">
        <v>4.1456973797065659E-3</v>
      </c>
      <c r="C25" s="89">
        <v>-8.7985958619979751E-2</v>
      </c>
      <c r="D25" s="87"/>
      <c r="E25" s="87"/>
      <c r="F25" s="92"/>
      <c r="G25" s="87"/>
      <c r="H25" s="87"/>
      <c r="I25" s="87"/>
      <c r="J25" s="87"/>
      <c r="K25" s="87"/>
    </row>
    <row r="26" spans="1:13" x14ac:dyDescent="0.4">
      <c r="A26" s="88">
        <v>39265</v>
      </c>
      <c r="B26" s="89">
        <v>3.3704526751391253E-2</v>
      </c>
      <c r="C26" s="89">
        <v>1.1094688286792071E-2</v>
      </c>
      <c r="D26" s="87"/>
      <c r="E26" s="87"/>
      <c r="F26" s="92"/>
      <c r="G26" s="87"/>
      <c r="H26" s="87"/>
      <c r="I26" s="87"/>
      <c r="J26" s="87"/>
      <c r="K26" s="87"/>
    </row>
  </sheetData>
  <mergeCells count="1">
    <mergeCell ref="A1:K1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6F4D-4828-41D4-9C4E-7D9CD6659F63}">
  <dimension ref="A1:N21"/>
  <sheetViews>
    <sheetView workbookViewId="0">
      <selection activeCell="K6" sqref="K6"/>
    </sheetView>
  </sheetViews>
  <sheetFormatPr defaultRowHeight="13.9" x14ac:dyDescent="0.4"/>
  <cols>
    <col min="1" max="1" width="11.86328125" bestFit="1" customWidth="1"/>
    <col min="6" max="6" width="18.19921875" customWidth="1"/>
  </cols>
  <sheetData>
    <row r="1" spans="1:11" ht="17.649999999999999" x14ac:dyDescent="0.4">
      <c r="A1" s="65" t="s">
        <v>121</v>
      </c>
      <c r="B1" s="65"/>
      <c r="C1" s="65"/>
      <c r="D1" s="65"/>
      <c r="E1" s="65"/>
    </row>
    <row r="2" spans="1:11" ht="14.65" x14ac:dyDescent="0.5">
      <c r="A2" s="100" t="s">
        <v>61</v>
      </c>
      <c r="B2" s="100" t="s">
        <v>122</v>
      </c>
      <c r="C2" s="100" t="s">
        <v>123</v>
      </c>
      <c r="D2" s="100" t="s">
        <v>63</v>
      </c>
      <c r="E2" s="87"/>
    </row>
    <row r="3" spans="1:11" x14ac:dyDescent="0.35">
      <c r="A3" s="101">
        <v>1</v>
      </c>
      <c r="B3" s="102">
        <v>35.299999999999997</v>
      </c>
      <c r="C3" s="102">
        <v>81.2</v>
      </c>
      <c r="D3" s="102">
        <v>10.98</v>
      </c>
      <c r="E3" s="87"/>
      <c r="F3" t="s">
        <v>97</v>
      </c>
    </row>
    <row r="4" spans="1:11" ht="14.25" thickBot="1" x14ac:dyDescent="0.4">
      <c r="A4" s="101">
        <v>2</v>
      </c>
      <c r="B4" s="102">
        <v>29.7</v>
      </c>
      <c r="C4" s="102">
        <v>22.5</v>
      </c>
      <c r="D4" s="102">
        <v>11.13</v>
      </c>
      <c r="E4" s="87"/>
    </row>
    <row r="5" spans="1:11" x14ac:dyDescent="0.35">
      <c r="A5" s="101">
        <v>3</v>
      </c>
      <c r="B5" s="102">
        <v>30.8</v>
      </c>
      <c r="C5" s="102">
        <v>77.3</v>
      </c>
      <c r="D5" s="102">
        <v>12.51</v>
      </c>
      <c r="E5" s="87"/>
      <c r="F5" s="99" t="s">
        <v>98</v>
      </c>
      <c r="G5" s="99"/>
    </row>
    <row r="6" spans="1:11" x14ac:dyDescent="0.35">
      <c r="A6" s="101">
        <v>4</v>
      </c>
      <c r="B6" s="102">
        <v>58.8</v>
      </c>
      <c r="C6" s="102">
        <v>34.799999999999997</v>
      </c>
      <c r="D6" s="102">
        <v>8.4</v>
      </c>
      <c r="E6" s="87"/>
      <c r="F6" s="96" t="s">
        <v>99</v>
      </c>
      <c r="G6" s="96">
        <v>0.95894860553935568</v>
      </c>
    </row>
    <row r="7" spans="1:11" x14ac:dyDescent="0.35">
      <c r="A7" s="101">
        <v>5</v>
      </c>
      <c r="B7" s="102">
        <v>61.4</v>
      </c>
      <c r="C7" s="102">
        <v>55.1</v>
      </c>
      <c r="D7" s="102">
        <v>9.27</v>
      </c>
      <c r="E7" s="87"/>
      <c r="F7" s="96" t="s">
        <v>100</v>
      </c>
      <c r="G7" s="103">
        <v>0.91958242806587487</v>
      </c>
    </row>
    <row r="8" spans="1:11" x14ac:dyDescent="0.35">
      <c r="A8" s="101">
        <v>6</v>
      </c>
      <c r="B8" s="102">
        <v>71.3</v>
      </c>
      <c r="C8" s="102">
        <v>124.8</v>
      </c>
      <c r="D8" s="102">
        <v>8.73</v>
      </c>
      <c r="E8" s="87"/>
      <c r="F8" s="96" t="s">
        <v>101</v>
      </c>
      <c r="G8" s="96">
        <v>0.89660597894183902</v>
      </c>
    </row>
    <row r="9" spans="1:11" x14ac:dyDescent="0.35">
      <c r="A9" s="101">
        <v>7</v>
      </c>
      <c r="B9" s="102">
        <v>74.400000000000006</v>
      </c>
      <c r="C9" s="102">
        <v>18.5</v>
      </c>
      <c r="D9" s="102">
        <v>6.36</v>
      </c>
      <c r="E9" s="87"/>
      <c r="F9" s="96" t="s">
        <v>102</v>
      </c>
      <c r="G9" s="96">
        <v>0.57827501910865142</v>
      </c>
    </row>
    <row r="10" spans="1:11" ht="14.25" thickBot="1" x14ac:dyDescent="0.4">
      <c r="A10" s="101">
        <v>8</v>
      </c>
      <c r="B10" s="102">
        <v>76.7</v>
      </c>
      <c r="C10" s="102">
        <v>234.6</v>
      </c>
      <c r="D10" s="102">
        <v>8.5</v>
      </c>
      <c r="E10" s="87"/>
      <c r="F10" s="97" t="s">
        <v>103</v>
      </c>
      <c r="G10" s="97">
        <v>10</v>
      </c>
    </row>
    <row r="11" spans="1:11" x14ac:dyDescent="0.35">
      <c r="A11" s="101">
        <v>9</v>
      </c>
      <c r="B11" s="102">
        <v>70.7</v>
      </c>
      <c r="C11" s="102">
        <v>22.5</v>
      </c>
      <c r="D11" s="102">
        <v>7.82</v>
      </c>
      <c r="E11" s="87"/>
    </row>
    <row r="12" spans="1:11" ht="14.25" thickBot="1" x14ac:dyDescent="0.4">
      <c r="A12" s="101">
        <v>10</v>
      </c>
      <c r="B12" s="102">
        <v>57.5</v>
      </c>
      <c r="C12" s="102">
        <v>123.3</v>
      </c>
      <c r="D12" s="102">
        <v>9.14</v>
      </c>
      <c r="E12" s="87"/>
      <c r="F12" t="s">
        <v>104</v>
      </c>
    </row>
    <row r="13" spans="1:11" x14ac:dyDescent="0.4">
      <c r="F13" s="98"/>
      <c r="G13" s="98" t="s">
        <v>108</v>
      </c>
      <c r="H13" s="98" t="s">
        <v>109</v>
      </c>
      <c r="I13" s="98" t="s">
        <v>110</v>
      </c>
      <c r="J13" s="98" t="s">
        <v>111</v>
      </c>
      <c r="K13" s="98" t="s">
        <v>112</v>
      </c>
    </row>
    <row r="14" spans="1:11" x14ac:dyDescent="0.4">
      <c r="F14" s="96" t="s">
        <v>105</v>
      </c>
      <c r="G14" s="96">
        <v>2</v>
      </c>
      <c r="H14" s="96">
        <v>26.767426015924219</v>
      </c>
      <c r="I14" s="96">
        <v>13.383713007962109</v>
      </c>
      <c r="J14" s="96">
        <v>40.022826116499267</v>
      </c>
      <c r="K14" s="96">
        <v>1.4747837604903302E-4</v>
      </c>
    </row>
    <row r="15" spans="1:11" x14ac:dyDescent="0.4">
      <c r="F15" s="96" t="s">
        <v>106</v>
      </c>
      <c r="G15" s="96">
        <v>7</v>
      </c>
      <c r="H15" s="96">
        <v>2.3408139840757785</v>
      </c>
      <c r="I15" s="96">
        <v>0.3344019977251112</v>
      </c>
      <c r="J15" s="96"/>
      <c r="K15" s="96"/>
    </row>
    <row r="16" spans="1:11" ht="14.25" thickBot="1" x14ac:dyDescent="0.45">
      <c r="F16" s="97" t="s">
        <v>107</v>
      </c>
      <c r="G16" s="97">
        <v>9</v>
      </c>
      <c r="H16" s="97">
        <v>29.108239999999999</v>
      </c>
      <c r="I16" s="97"/>
      <c r="J16" s="97"/>
      <c r="K16" s="97"/>
    </row>
    <row r="17" spans="6:14" ht="14.25" thickBot="1" x14ac:dyDescent="0.45"/>
    <row r="18" spans="6:14" x14ac:dyDescent="0.4">
      <c r="F18" s="98"/>
      <c r="G18" s="98" t="s">
        <v>113</v>
      </c>
      <c r="H18" s="98" t="s">
        <v>102</v>
      </c>
      <c r="I18" s="98" t="s">
        <v>114</v>
      </c>
      <c r="J18" s="98" t="s">
        <v>115</v>
      </c>
      <c r="K18" s="98" t="s">
        <v>116</v>
      </c>
      <c r="L18" s="98" t="s">
        <v>117</v>
      </c>
      <c r="M18" s="98" t="s">
        <v>118</v>
      </c>
      <c r="N18" s="98" t="s">
        <v>119</v>
      </c>
    </row>
    <row r="19" spans="6:14" x14ac:dyDescent="0.4">
      <c r="F19" s="96" t="s">
        <v>91</v>
      </c>
      <c r="G19" s="103">
        <v>14.170544581863924</v>
      </c>
      <c r="H19" s="96">
        <v>0.62710722284305487</v>
      </c>
      <c r="I19" s="96">
        <v>22.59668532857955</v>
      </c>
      <c r="J19" s="96">
        <v>8.4151612996817721E-8</v>
      </c>
      <c r="K19" s="96">
        <v>12.687671634380235</v>
      </c>
      <c r="L19" s="96">
        <v>15.653417529347612</v>
      </c>
      <c r="M19" s="96">
        <v>12.687671634380235</v>
      </c>
      <c r="N19" s="96">
        <v>15.653417529347612</v>
      </c>
    </row>
    <row r="20" spans="6:14" x14ac:dyDescent="0.4">
      <c r="F20" s="96" t="s">
        <v>120</v>
      </c>
      <c r="G20" s="103">
        <v>-9.8674278090986361E-2</v>
      </c>
      <c r="H20" s="96">
        <v>1.1036743784232701E-2</v>
      </c>
      <c r="I20" s="96">
        <v>-8.9405244898367826</v>
      </c>
      <c r="J20" s="96">
        <v>4.4535937523326922E-5</v>
      </c>
      <c r="K20" s="96">
        <v>-0.12477203010179894</v>
      </c>
      <c r="L20" s="96">
        <v>-7.2576526080173787E-2</v>
      </c>
      <c r="M20" s="96">
        <v>-0.12477203010179894</v>
      </c>
      <c r="N20" s="96">
        <v>-7.2576526080173787E-2</v>
      </c>
    </row>
    <row r="21" spans="6:14" ht="14.25" thickBot="1" x14ac:dyDescent="0.45">
      <c r="F21" s="97" t="s">
        <v>124</v>
      </c>
      <c r="G21" s="104">
        <v>8.8640827431583479E-3</v>
      </c>
      <c r="H21" s="97">
        <v>2.9947047105115141E-3</v>
      </c>
      <c r="I21" s="97">
        <v>2.9599187900046102</v>
      </c>
      <c r="J21" s="97">
        <v>2.1107491308507434E-2</v>
      </c>
      <c r="K21" s="97">
        <v>1.7827313583236712E-3</v>
      </c>
      <c r="L21" s="97">
        <v>1.5945434127993024E-2</v>
      </c>
      <c r="M21" s="97">
        <v>1.7827313583236712E-3</v>
      </c>
      <c r="N21" s="97">
        <v>1.5945434127993024E-2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CEF1-AF20-4848-960F-FAC6FBC8F5F3}">
  <dimension ref="A1:C6"/>
  <sheetViews>
    <sheetView workbookViewId="0">
      <selection activeCell="F8" sqref="F8"/>
    </sheetView>
  </sheetViews>
  <sheetFormatPr defaultRowHeight="13.9" x14ac:dyDescent="0.4"/>
  <cols>
    <col min="1" max="1" width="15.265625" customWidth="1"/>
    <col min="2" max="2" width="13.19921875" customWidth="1"/>
    <col min="3" max="3" width="14" customWidth="1"/>
  </cols>
  <sheetData>
    <row r="1" spans="1:3" ht="17.649999999999999" x14ac:dyDescent="0.4">
      <c r="A1" s="65" t="s">
        <v>125</v>
      </c>
      <c r="B1" s="65"/>
      <c r="C1" s="65"/>
    </row>
    <row r="2" spans="1:3" x14ac:dyDescent="0.35">
      <c r="A2" s="101" t="s">
        <v>126</v>
      </c>
      <c r="B2" s="101" t="s">
        <v>127</v>
      </c>
      <c r="C2" s="101">
        <v>3</v>
      </c>
    </row>
    <row r="3" spans="1:3" x14ac:dyDescent="0.35">
      <c r="A3" s="101" t="s">
        <v>128</v>
      </c>
      <c r="B3" s="101">
        <v>6</v>
      </c>
      <c r="C3" s="101" t="s">
        <v>129</v>
      </c>
    </row>
    <row r="4" spans="1:3" x14ac:dyDescent="0.35">
      <c r="A4" s="101" t="s">
        <v>130</v>
      </c>
      <c r="B4" s="101">
        <v>7</v>
      </c>
      <c r="C4" s="101" t="s">
        <v>131</v>
      </c>
    </row>
    <row r="5" spans="1:3" x14ac:dyDescent="0.35">
      <c r="A5" s="87"/>
      <c r="B5" s="87"/>
      <c r="C5" s="87"/>
    </row>
    <row r="6" spans="1:3" x14ac:dyDescent="0.35">
      <c r="A6" s="105" t="str">
        <f>INDEX(A2:C4,2,3)</f>
        <v>Howie</v>
      </c>
      <c r="B6" s="87" t="str">
        <f ca="1">_xlfn.FORMULATEXT(A6)</f>
        <v>=INDEX(A2:C4,2,3)</v>
      </c>
      <c r="C6" s="87"/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03A7-3153-42A1-A767-1471F0207A7B}">
  <dimension ref="A1:E29"/>
  <sheetViews>
    <sheetView workbookViewId="0">
      <selection activeCell="I25" sqref="I25"/>
    </sheetView>
  </sheetViews>
  <sheetFormatPr defaultRowHeight="13.9" x14ac:dyDescent="0.4"/>
  <cols>
    <col min="1" max="1" width="57.06640625" customWidth="1"/>
    <col min="2" max="2" width="16.3984375" customWidth="1"/>
    <col min="3" max="3" width="14.796875" customWidth="1"/>
  </cols>
  <sheetData>
    <row r="1" spans="1:5" ht="17.649999999999999" x14ac:dyDescent="0.5">
      <c r="A1" s="106" t="s">
        <v>132</v>
      </c>
      <c r="B1" s="106"/>
      <c r="C1" s="106"/>
      <c r="D1" s="106"/>
    </row>
    <row r="2" spans="1:5" x14ac:dyDescent="0.4">
      <c r="A2" s="100" t="s">
        <v>61</v>
      </c>
      <c r="B2" s="100" t="s">
        <v>62</v>
      </c>
      <c r="C2" s="100" t="s">
        <v>63</v>
      </c>
      <c r="D2" s="87"/>
    </row>
    <row r="3" spans="1:5" x14ac:dyDescent="0.35">
      <c r="A3" s="101">
        <v>1</v>
      </c>
      <c r="B3" s="101">
        <v>35.299999999999997</v>
      </c>
      <c r="C3" s="101">
        <v>10.98</v>
      </c>
      <c r="D3" s="87"/>
    </row>
    <row r="4" spans="1:5" x14ac:dyDescent="0.35">
      <c r="A4" s="101">
        <v>2</v>
      </c>
      <c r="B4" s="101">
        <v>29.7</v>
      </c>
      <c r="C4" s="101">
        <v>11.13</v>
      </c>
      <c r="D4" s="87"/>
    </row>
    <row r="5" spans="1:5" x14ac:dyDescent="0.35">
      <c r="A5" s="101">
        <v>3</v>
      </c>
      <c r="B5" s="101">
        <v>30.8</v>
      </c>
      <c r="C5" s="101">
        <v>12.51</v>
      </c>
      <c r="D5" s="87"/>
    </row>
    <row r="6" spans="1:5" x14ac:dyDescent="0.35">
      <c r="A6" s="101">
        <v>4</v>
      </c>
      <c r="B6" s="101">
        <v>58.8</v>
      </c>
      <c r="C6" s="101">
        <v>8.4</v>
      </c>
      <c r="D6" s="87"/>
    </row>
    <row r="7" spans="1:5" x14ac:dyDescent="0.35">
      <c r="A7" s="101">
        <v>5</v>
      </c>
      <c r="B7" s="101">
        <v>61.4</v>
      </c>
      <c r="C7" s="101">
        <v>9.27</v>
      </c>
      <c r="D7" s="87"/>
    </row>
    <row r="8" spans="1:5" x14ac:dyDescent="0.35">
      <c r="A8" s="101">
        <v>6</v>
      </c>
      <c r="B8" s="101">
        <v>71.3</v>
      </c>
      <c r="C8" s="101">
        <v>8.73</v>
      </c>
      <c r="D8" s="87"/>
    </row>
    <row r="9" spans="1:5" x14ac:dyDescent="0.35">
      <c r="A9" s="101">
        <v>7</v>
      </c>
      <c r="B9" s="101">
        <v>74.400000000000006</v>
      </c>
      <c r="C9" s="101">
        <v>6.36</v>
      </c>
      <c r="D9" s="87"/>
    </row>
    <row r="10" spans="1:5" x14ac:dyDescent="0.35">
      <c r="A10" s="101">
        <v>8</v>
      </c>
      <c r="B10" s="101">
        <v>76.7</v>
      </c>
      <c r="C10" s="101">
        <v>8.5</v>
      </c>
      <c r="D10" s="87"/>
    </row>
    <row r="11" spans="1:5" x14ac:dyDescent="0.35">
      <c r="A11" s="101">
        <v>9</v>
      </c>
      <c r="B11" s="101">
        <v>70.7</v>
      </c>
      <c r="C11" s="101">
        <v>7.82</v>
      </c>
      <c r="D11" s="87"/>
    </row>
    <row r="12" spans="1:5" x14ac:dyDescent="0.35">
      <c r="A12" s="101">
        <v>10</v>
      </c>
      <c r="B12" s="101">
        <v>57.5</v>
      </c>
      <c r="C12" s="101">
        <v>9.14</v>
      </c>
      <c r="D12" s="87"/>
    </row>
    <row r="13" spans="1:5" x14ac:dyDescent="0.35">
      <c r="A13" s="87"/>
      <c r="B13" s="87"/>
      <c r="C13" s="87"/>
      <c r="D13" s="87"/>
    </row>
    <row r="14" spans="1:5" x14ac:dyDescent="0.4">
      <c r="A14" s="87"/>
      <c r="B14" s="107" t="s">
        <v>133</v>
      </c>
      <c r="C14" s="107"/>
      <c r="D14" s="87"/>
      <c r="E14" t="str">
        <f ca="1">_xlfn.FORMULATEXT(B16)</f>
        <v>=LINEST(C3:C12,B3:B12,,TRUE)</v>
      </c>
    </row>
    <row r="15" spans="1:5" x14ac:dyDescent="0.4">
      <c r="A15" s="87"/>
      <c r="B15" s="100" t="s">
        <v>134</v>
      </c>
      <c r="C15" s="100" t="s">
        <v>135</v>
      </c>
      <c r="D15" s="87"/>
    </row>
    <row r="16" spans="1:5" x14ac:dyDescent="0.4">
      <c r="A16" s="102" t="s">
        <v>136</v>
      </c>
      <c r="B16" s="110" cm="1">
        <f t="array" ref="B16:C20">LINEST(C3:C12,B3:B12,,TRUE)</f>
        <v>-8.903085247314578E-2</v>
      </c>
      <c r="C16" s="110">
        <v>14.328488101128439</v>
      </c>
      <c r="D16" s="87" t="s">
        <v>137</v>
      </c>
    </row>
    <row r="17" spans="1:4" x14ac:dyDescent="0.35">
      <c r="A17" s="102" t="s">
        <v>138</v>
      </c>
      <c r="B17" s="110">
        <v>1.4801012019568701E-2</v>
      </c>
      <c r="C17" s="110">
        <v>0.87702584604611855</v>
      </c>
      <c r="D17" s="87" t="s">
        <v>139</v>
      </c>
    </row>
    <row r="18" spans="1:4" ht="14.65" x14ac:dyDescent="0.4">
      <c r="A18" s="102" t="s">
        <v>140</v>
      </c>
      <c r="B18" s="110">
        <v>0.8189327227828227</v>
      </c>
      <c r="C18" s="110">
        <v>0.81167648738460807</v>
      </c>
      <c r="D18" s="87" t="s">
        <v>141</v>
      </c>
    </row>
    <row r="19" spans="1:4" x14ac:dyDescent="0.35">
      <c r="A19" s="102" t="s">
        <v>142</v>
      </c>
      <c r="B19" s="110">
        <v>36.182472520446488</v>
      </c>
      <c r="C19" s="110">
        <v>8</v>
      </c>
      <c r="D19" s="87" t="s">
        <v>143</v>
      </c>
    </row>
    <row r="20" spans="1:4" ht="15" x14ac:dyDescent="0.5">
      <c r="A20" s="102" t="s">
        <v>144</v>
      </c>
      <c r="B20" s="110">
        <v>23.83769023861587</v>
      </c>
      <c r="C20" s="110">
        <v>5.2705497613841263</v>
      </c>
      <c r="D20" s="87" t="s">
        <v>145</v>
      </c>
    </row>
    <row r="21" spans="1:4" x14ac:dyDescent="0.35">
      <c r="A21" s="101"/>
      <c r="B21" s="87"/>
      <c r="C21" s="101"/>
      <c r="D21" s="101"/>
    </row>
    <row r="22" spans="1:4" x14ac:dyDescent="0.35">
      <c r="A22" s="87"/>
      <c r="B22" s="101" t="s">
        <v>92</v>
      </c>
      <c r="C22" s="108">
        <f>INDEX(LINEST(C3:C12,B3:B12,,1),1,1)</f>
        <v>-8.903085247314578E-2</v>
      </c>
      <c r="D22" s="109" t="str">
        <f ca="1">_xlfn.FORMULATEXT(C22)</f>
        <v>=INDEX(LINEST(C3:C12,B3:B12,,1),1,1)</v>
      </c>
    </row>
    <row r="23" spans="1:4" x14ac:dyDescent="0.35">
      <c r="A23" s="87"/>
      <c r="B23" s="101" t="s">
        <v>91</v>
      </c>
      <c r="C23" s="108">
        <f>INDEX(LINEST(C3:C12,B3:B12,,1),1,2)</f>
        <v>14.328488101128439</v>
      </c>
      <c r="D23" s="109" t="str">
        <f t="shared" ref="D23:D29" ca="1" si="0">_xlfn.FORMULATEXT(C23)</f>
        <v>=INDEX(LINEST(C3:C12,B3:B12,,1),1,2)</v>
      </c>
    </row>
    <row r="24" spans="1:4" ht="14.25" x14ac:dyDescent="0.35">
      <c r="A24" s="87"/>
      <c r="B24" s="101" t="s">
        <v>146</v>
      </c>
      <c r="C24" s="108">
        <f>INDEX(LINEST(C3:C12,B3:B12,,1),3,1)</f>
        <v>0.8189327227828227</v>
      </c>
      <c r="D24" s="109" t="str">
        <f t="shared" ca="1" si="0"/>
        <v>=INDEX(LINEST(C3:C12,B3:B12,,1),3,1)</v>
      </c>
    </row>
    <row r="25" spans="1:4" x14ac:dyDescent="0.35">
      <c r="A25" s="87"/>
      <c r="B25" s="101" t="s">
        <v>147</v>
      </c>
      <c r="C25" s="108">
        <f>C23/INDEX(LINEST(C3:C12,B3:B12,,1),2,2)</f>
        <v>16.337589326158778</v>
      </c>
      <c r="D25" s="109" t="str">
        <f t="shared" ca="1" si="0"/>
        <v>=C23/INDEX(LINEST(C3:C12,B3:B12,,1),2,2)</v>
      </c>
    </row>
    <row r="26" spans="1:4" x14ac:dyDescent="0.35">
      <c r="A26" s="87"/>
      <c r="B26" s="101"/>
      <c r="C26" s="101"/>
      <c r="D26" s="109"/>
    </row>
    <row r="27" spans="1:4" x14ac:dyDescent="0.35">
      <c r="A27" s="87"/>
      <c r="B27" s="101" t="s">
        <v>92</v>
      </c>
      <c r="C27" s="90">
        <f>INDEX(LINEST(C3:C12,B3:B12,,TRUE),1,1)</f>
        <v>-8.903085247314578E-2</v>
      </c>
      <c r="D27" s="109" t="str">
        <f t="shared" ca="1" si="0"/>
        <v>=INDEX(LINEST(C3:C12,B3:B12,,TRUE),1,1)</v>
      </c>
    </row>
    <row r="28" spans="1:4" x14ac:dyDescent="0.35">
      <c r="A28" s="87"/>
      <c r="B28" s="102" t="s">
        <v>148</v>
      </c>
      <c r="C28" s="90">
        <f>INDEX(LINEST(C3:C12,B3:B12,,TRUE),2,1)</f>
        <v>1.4801012019568701E-2</v>
      </c>
      <c r="D28" s="109" t="str">
        <f t="shared" ca="1" si="0"/>
        <v>=INDEX(LINEST(C3:C12,B3:B12,,TRUE),2,1)</v>
      </c>
    </row>
    <row r="29" spans="1:4" x14ac:dyDescent="0.35">
      <c r="A29" s="87"/>
      <c r="B29" s="101" t="s">
        <v>147</v>
      </c>
      <c r="C29" s="90">
        <f>C27/C28</f>
        <v>-6.0151868234034529</v>
      </c>
      <c r="D29" s="109" t="str">
        <f t="shared" ca="1" si="0"/>
        <v>=C27/C28</v>
      </c>
    </row>
  </sheetData>
  <mergeCells count="2">
    <mergeCell ref="A1:D1"/>
    <mergeCell ref="B14:C14"/>
  </mergeCells>
  <phoneticPr fontId="19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67F4-C8A6-4C32-84BE-5F0DB5A960D0}">
  <dimension ref="A1:N22"/>
  <sheetViews>
    <sheetView workbookViewId="0">
      <selection activeCell="R16" sqref="R16"/>
    </sheetView>
  </sheetViews>
  <sheetFormatPr defaultRowHeight="13.9" x14ac:dyDescent="0.4"/>
  <sheetData>
    <row r="1" spans="1:14" x14ac:dyDescent="0.35">
      <c r="A1" s="65" t="s">
        <v>149</v>
      </c>
      <c r="B1" s="111"/>
      <c r="C1" s="111"/>
      <c r="D1" s="111"/>
      <c r="E1" s="111"/>
      <c r="F1" s="111"/>
      <c r="G1" s="87"/>
      <c r="H1" s="87"/>
      <c r="I1" s="87"/>
      <c r="J1" s="87"/>
      <c r="K1" s="87"/>
      <c r="L1" s="87"/>
      <c r="M1" s="87"/>
      <c r="N1" s="87"/>
    </row>
    <row r="2" spans="1:14" ht="14.65" x14ac:dyDescent="0.5">
      <c r="A2" s="87"/>
      <c r="B2" s="100" t="s">
        <v>61</v>
      </c>
      <c r="C2" s="100" t="s">
        <v>122</v>
      </c>
      <c r="D2" s="100" t="s">
        <v>123</v>
      </c>
      <c r="E2" s="100" t="s">
        <v>63</v>
      </c>
      <c r="F2" s="87"/>
      <c r="G2" s="87"/>
      <c r="H2" s="100" t="s">
        <v>150</v>
      </c>
      <c r="I2" s="87"/>
      <c r="J2" s="87"/>
      <c r="K2" s="87"/>
      <c r="L2" s="87"/>
      <c r="M2" s="87"/>
      <c r="N2" s="87"/>
    </row>
    <row r="3" spans="1:14" x14ac:dyDescent="0.35">
      <c r="A3" s="87"/>
      <c r="B3" s="101">
        <v>1</v>
      </c>
      <c r="C3" s="102">
        <v>35.299999999999997</v>
      </c>
      <c r="D3" s="102">
        <v>81.2</v>
      </c>
      <c r="E3" s="102">
        <v>10.98</v>
      </c>
      <c r="F3" s="87"/>
      <c r="G3" s="87"/>
      <c r="H3" s="90">
        <f>$E$15+$D$15*C3+$C$15*D3</f>
        <v>11.407106083996563</v>
      </c>
      <c r="I3" s="87" t="str">
        <f ca="1">_xlfn.FORMULATEXT(H3)</f>
        <v>=$E$15+$D$15*C3+$C$15*D3</v>
      </c>
      <c r="J3" s="87"/>
      <c r="K3" s="87"/>
      <c r="L3" s="87"/>
      <c r="M3" s="87"/>
      <c r="N3" s="87"/>
    </row>
    <row r="4" spans="1:14" x14ac:dyDescent="0.35">
      <c r="A4" s="87"/>
      <c r="B4" s="101">
        <v>2</v>
      </c>
      <c r="C4" s="102">
        <v>29.7</v>
      </c>
      <c r="D4" s="102">
        <v>22.5</v>
      </c>
      <c r="E4" s="102">
        <v>11.13</v>
      </c>
      <c r="F4" s="87"/>
      <c r="G4" s="87"/>
      <c r="H4" s="90">
        <f t="shared" ref="H4:H12" si="0">$E$15+$D$15*C4+$C$15*D4</f>
        <v>11.439360384282692</v>
      </c>
      <c r="I4" s="87"/>
      <c r="J4" s="87"/>
      <c r="K4" s="87"/>
      <c r="L4" s="87"/>
      <c r="M4" s="87"/>
      <c r="N4" s="87"/>
    </row>
    <row r="5" spans="1:14" x14ac:dyDescent="0.35">
      <c r="A5" s="87"/>
      <c r="B5" s="101">
        <v>3</v>
      </c>
      <c r="C5" s="102">
        <v>30.8</v>
      </c>
      <c r="D5" s="102">
        <v>77.3</v>
      </c>
      <c r="E5" s="102">
        <v>12.51</v>
      </c>
      <c r="F5" s="87"/>
      <c r="G5" s="87"/>
      <c r="H5" s="90">
        <f t="shared" si="0"/>
        <v>11.816570412707684</v>
      </c>
      <c r="I5" s="87"/>
      <c r="J5" s="87"/>
      <c r="K5" s="87"/>
      <c r="L5" s="87"/>
      <c r="M5" s="87"/>
      <c r="N5" s="87"/>
    </row>
    <row r="6" spans="1:14" x14ac:dyDescent="0.35">
      <c r="A6" s="87"/>
      <c r="B6" s="101">
        <v>4</v>
      </c>
      <c r="C6" s="102">
        <v>58.8</v>
      </c>
      <c r="D6" s="102">
        <v>34.799999999999997</v>
      </c>
      <c r="E6" s="102">
        <v>8.4</v>
      </c>
      <c r="F6" s="87"/>
      <c r="G6" s="87"/>
      <c r="H6" s="90">
        <f t="shared" si="0"/>
        <v>8.6769671095758358</v>
      </c>
      <c r="I6" s="87"/>
      <c r="J6" s="87"/>
      <c r="K6" s="87"/>
      <c r="L6" s="87"/>
      <c r="M6" s="87"/>
      <c r="N6" s="87"/>
    </row>
    <row r="7" spans="1:14" x14ac:dyDescent="0.35">
      <c r="A7" s="87"/>
      <c r="B7" s="101">
        <v>5</v>
      </c>
      <c r="C7" s="102">
        <v>61.4</v>
      </c>
      <c r="D7" s="102">
        <v>55.1</v>
      </c>
      <c r="E7" s="102">
        <v>9.27</v>
      </c>
      <c r="F7" s="87"/>
      <c r="G7" s="87"/>
      <c r="H7" s="90">
        <f t="shared" si="0"/>
        <v>8.6003548662253859</v>
      </c>
      <c r="I7" s="87"/>
      <c r="J7" s="87"/>
      <c r="K7" s="87"/>
      <c r="L7" s="87"/>
      <c r="M7" s="87"/>
      <c r="N7" s="87"/>
    </row>
    <row r="8" spans="1:14" x14ac:dyDescent="0.35">
      <c r="A8" s="87"/>
      <c r="B8" s="101">
        <v>6</v>
      </c>
      <c r="C8" s="102">
        <v>71.3</v>
      </c>
      <c r="D8" s="102">
        <v>124.8</v>
      </c>
      <c r="E8" s="102">
        <v>8.73</v>
      </c>
      <c r="F8" s="87"/>
      <c r="G8" s="87"/>
      <c r="H8" s="90">
        <f t="shared" si="0"/>
        <v>8.241306080322758</v>
      </c>
      <c r="I8" s="87"/>
      <c r="J8" s="87"/>
      <c r="K8" s="87"/>
      <c r="L8" s="87"/>
      <c r="M8" s="87"/>
      <c r="N8" s="87"/>
    </row>
    <row r="9" spans="1:14" x14ac:dyDescent="0.35">
      <c r="A9" s="87"/>
      <c r="B9" s="101">
        <v>7</v>
      </c>
      <c r="C9" s="102">
        <v>74.400000000000006</v>
      </c>
      <c r="D9" s="102">
        <v>18.5</v>
      </c>
      <c r="E9" s="102">
        <v>6.36</v>
      </c>
      <c r="F9" s="87"/>
      <c r="G9" s="87"/>
      <c r="H9" s="90">
        <f t="shared" si="0"/>
        <v>6.9931638226429671</v>
      </c>
      <c r="I9" s="87"/>
      <c r="J9" s="87"/>
      <c r="K9" s="87"/>
      <c r="L9" s="87"/>
      <c r="M9" s="87"/>
      <c r="N9" s="87"/>
    </row>
    <row r="10" spans="1:14" x14ac:dyDescent="0.35">
      <c r="A10" s="87"/>
      <c r="B10" s="101">
        <v>8</v>
      </c>
      <c r="C10" s="102">
        <v>76.7</v>
      </c>
      <c r="D10" s="102">
        <v>234.6</v>
      </c>
      <c r="E10" s="102">
        <v>8.5</v>
      </c>
      <c r="F10" s="87"/>
      <c r="G10" s="87"/>
      <c r="H10" s="90">
        <f t="shared" si="0"/>
        <v>8.6817412638302187</v>
      </c>
      <c r="I10" s="87"/>
      <c r="J10" s="87"/>
      <c r="K10" s="87"/>
      <c r="L10" s="87"/>
      <c r="M10" s="87"/>
      <c r="N10" s="87"/>
    </row>
    <row r="11" spans="1:14" x14ac:dyDescent="0.35">
      <c r="A11" s="87"/>
      <c r="B11" s="101">
        <v>9</v>
      </c>
      <c r="C11" s="102">
        <v>70.7</v>
      </c>
      <c r="D11" s="102">
        <v>22.5</v>
      </c>
      <c r="E11" s="102">
        <v>7.82</v>
      </c>
      <c r="F11" s="87"/>
      <c r="G11" s="87"/>
      <c r="H11" s="90">
        <f t="shared" si="0"/>
        <v>7.3937149825522503</v>
      </c>
      <c r="I11" s="87"/>
      <c r="J11" s="87"/>
      <c r="K11" s="87"/>
      <c r="L11" s="87"/>
      <c r="M11" s="87"/>
      <c r="N11" s="87"/>
    </row>
    <row r="12" spans="1:14" x14ac:dyDescent="0.35">
      <c r="A12" s="87"/>
      <c r="B12" s="101">
        <v>10</v>
      </c>
      <c r="C12" s="102">
        <v>57.5</v>
      </c>
      <c r="D12" s="102">
        <v>123.3</v>
      </c>
      <c r="E12" s="102">
        <v>9.14</v>
      </c>
      <c r="F12" s="87"/>
      <c r="G12" s="87"/>
      <c r="H12" s="90">
        <f t="shared" si="0"/>
        <v>9.5897149938636339</v>
      </c>
      <c r="I12" s="87"/>
      <c r="J12" s="87"/>
      <c r="K12" s="87"/>
      <c r="L12" s="87"/>
      <c r="M12" s="87"/>
      <c r="N12" s="87"/>
    </row>
    <row r="13" spans="1:14" x14ac:dyDescent="0.35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</row>
    <row r="14" spans="1:14" ht="15" thickBot="1" x14ac:dyDescent="0.55000000000000004">
      <c r="A14" s="87"/>
      <c r="B14" s="87"/>
      <c r="C14" s="100" t="s">
        <v>151</v>
      </c>
      <c r="D14" s="100" t="s">
        <v>152</v>
      </c>
      <c r="E14" s="100" t="s">
        <v>135</v>
      </c>
      <c r="F14" s="87"/>
      <c r="G14" s="87"/>
      <c r="H14" s="87"/>
      <c r="I14" s="87"/>
      <c r="J14" s="87"/>
      <c r="K14" s="87"/>
      <c r="L14" s="87"/>
      <c r="M14" s="87"/>
      <c r="N14" s="87"/>
    </row>
    <row r="15" spans="1:14" ht="14.25" thickTop="1" x14ac:dyDescent="0.35">
      <c r="A15" s="87"/>
      <c r="B15" s="102" t="s">
        <v>153</v>
      </c>
      <c r="C15" s="112" cm="1">
        <f t="array" ref="C15:E19">LINEST(E3:E12,C3:D12,TRUE,TRUE)</f>
        <v>8.8640827431583479E-3</v>
      </c>
      <c r="D15" s="113">
        <v>-9.8674278090986361E-2</v>
      </c>
      <c r="E15" s="114">
        <v>14.170544581863924</v>
      </c>
      <c r="F15" s="87" t="s">
        <v>137</v>
      </c>
      <c r="G15" s="87"/>
      <c r="H15" s="87"/>
      <c r="I15" s="87"/>
      <c r="J15" s="87"/>
      <c r="K15" s="87"/>
      <c r="L15" s="87"/>
      <c r="M15" s="87"/>
      <c r="N15" s="87"/>
    </row>
    <row r="16" spans="1:14" x14ac:dyDescent="0.35">
      <c r="A16" s="87"/>
      <c r="B16" s="102" t="s">
        <v>154</v>
      </c>
      <c r="C16" s="115">
        <v>2.9947047105115141E-3</v>
      </c>
      <c r="D16" s="90">
        <v>1.1036743784232701E-2</v>
      </c>
      <c r="E16" s="116">
        <v>0.62710722284305487</v>
      </c>
      <c r="F16" s="87"/>
      <c r="G16" s="87"/>
      <c r="H16" s="87"/>
      <c r="I16" s="87"/>
      <c r="J16" s="87"/>
      <c r="K16" s="87"/>
      <c r="L16" s="87"/>
      <c r="M16" s="87"/>
      <c r="N16" s="87"/>
    </row>
    <row r="17" spans="1:14" ht="14.65" x14ac:dyDescent="0.4">
      <c r="A17" s="87"/>
      <c r="B17" s="102" t="s">
        <v>155</v>
      </c>
      <c r="C17" s="115">
        <v>0.91958242806587487</v>
      </c>
      <c r="D17" s="90">
        <v>0.57827501910865142</v>
      </c>
      <c r="E17" s="116" t="e">
        <v>#N/A</v>
      </c>
      <c r="F17" s="87"/>
      <c r="G17" s="87"/>
      <c r="H17" s="87"/>
      <c r="I17" s="87"/>
      <c r="J17" s="87"/>
      <c r="K17" s="87"/>
      <c r="L17" s="87"/>
      <c r="M17" s="87"/>
      <c r="N17" s="87"/>
    </row>
    <row r="18" spans="1:14" x14ac:dyDescent="0.35">
      <c r="A18" s="87"/>
      <c r="B18" s="102" t="s">
        <v>142</v>
      </c>
      <c r="C18" s="115">
        <v>40.022826116499267</v>
      </c>
      <c r="D18" s="90">
        <v>7</v>
      </c>
      <c r="E18" s="116" t="e">
        <v>#N/A</v>
      </c>
      <c r="F18" s="87"/>
      <c r="G18" s="87"/>
      <c r="H18" s="87"/>
      <c r="I18" s="87"/>
      <c r="J18" s="87"/>
      <c r="K18" s="87"/>
      <c r="L18" s="87"/>
      <c r="M18" s="87"/>
      <c r="N18" s="87"/>
    </row>
    <row r="19" spans="1:14" ht="15.4" thickBot="1" x14ac:dyDescent="0.55000000000000004">
      <c r="A19" s="87"/>
      <c r="B19" s="102" t="s">
        <v>156</v>
      </c>
      <c r="C19" s="117">
        <v>26.767426015924219</v>
      </c>
      <c r="D19" s="118">
        <v>2.3408139840757785</v>
      </c>
      <c r="E19" s="119" t="e">
        <v>#N/A</v>
      </c>
      <c r="F19" s="87"/>
      <c r="G19" s="87"/>
      <c r="H19" s="87"/>
      <c r="I19" s="87"/>
      <c r="J19" s="87"/>
      <c r="K19" s="87"/>
      <c r="L19" s="87"/>
      <c r="M19" s="87"/>
      <c r="N19" s="87"/>
    </row>
    <row r="20" spans="1:14" ht="14.25" thickTop="1" x14ac:dyDescent="0.35">
      <c r="A20" s="87"/>
      <c r="B20" s="87"/>
      <c r="C20" s="120"/>
      <c r="D20" s="87"/>
      <c r="E20" s="87"/>
      <c r="F20" s="87"/>
      <c r="G20" s="87"/>
      <c r="H20" s="87"/>
      <c r="I20" s="121"/>
      <c r="J20" s="121"/>
      <c r="K20" s="121"/>
      <c r="L20" s="121"/>
      <c r="M20" s="121"/>
      <c r="N20" s="121"/>
    </row>
    <row r="22" spans="1:14" x14ac:dyDescent="0.4">
      <c r="C22" t="str">
        <f ca="1">_xlfn.FORMULATEXT(C15)</f>
        <v>=LINEST(E3:E12,C3:D12,TRUE,TRUE)</v>
      </c>
    </row>
  </sheetData>
  <mergeCells count="2">
    <mergeCell ref="A1:F1"/>
    <mergeCell ref="I20:N20"/>
  </mergeCells>
  <phoneticPr fontId="19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43C-E9EC-4D8C-9E2B-DE6250236F20}">
  <dimension ref="A1:C6"/>
  <sheetViews>
    <sheetView workbookViewId="0">
      <selection activeCell="D12" sqref="D12"/>
    </sheetView>
  </sheetViews>
  <sheetFormatPr defaultRowHeight="13.9" x14ac:dyDescent="0.4"/>
  <cols>
    <col min="1" max="1" width="28" customWidth="1"/>
    <col min="2" max="2" width="22" customWidth="1"/>
  </cols>
  <sheetData>
    <row r="1" spans="1:3" ht="17.649999999999999" x14ac:dyDescent="0.5">
      <c r="A1" s="106" t="s">
        <v>157</v>
      </c>
      <c r="B1" s="106"/>
      <c r="C1" s="106"/>
    </row>
    <row r="2" spans="1:3" x14ac:dyDescent="0.35">
      <c r="A2" s="87" t="s">
        <v>158</v>
      </c>
      <c r="B2" s="87">
        <v>2</v>
      </c>
      <c r="C2" s="87"/>
    </row>
    <row r="3" spans="1:3" x14ac:dyDescent="0.35">
      <c r="A3" s="87" t="s">
        <v>159</v>
      </c>
      <c r="B3" s="87">
        <f>IF(B2&lt;=3,15,0)</f>
        <v>15</v>
      </c>
      <c r="C3" s="87" t="str">
        <f ca="1">_xlfn.FORMULATEXT(B3)</f>
        <v>=IF(B2&lt;=3,15,0)</v>
      </c>
    </row>
    <row r="4" spans="1:3" x14ac:dyDescent="0.35">
      <c r="A4" s="87"/>
      <c r="B4" s="87"/>
      <c r="C4" s="87"/>
    </row>
    <row r="5" spans="1:3" x14ac:dyDescent="0.35">
      <c r="A5" s="87" t="s">
        <v>158</v>
      </c>
      <c r="B5" s="87">
        <v>2</v>
      </c>
      <c r="C5" s="87"/>
    </row>
    <row r="6" spans="1:3" x14ac:dyDescent="0.35">
      <c r="A6" s="87" t="s">
        <v>159</v>
      </c>
      <c r="B6" s="102" t="str">
        <f>IF(B5&lt;=3,"Less than or equal to 3","More than 3")</f>
        <v>Less than or equal to 3</v>
      </c>
      <c r="C6" s="87" t="str">
        <f ca="1">_xlfn.FORMULATEXT(B6)</f>
        <v>=IF(B5&lt;=3,"Less than or equal to 3","More than 3")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26BC-61E8-4FB6-A776-1838D075E33D}">
  <dimension ref="A1:C9"/>
  <sheetViews>
    <sheetView workbookViewId="0">
      <selection activeCell="F11" sqref="F11"/>
    </sheetView>
  </sheetViews>
  <sheetFormatPr defaultRowHeight="13.9" x14ac:dyDescent="0.4"/>
  <cols>
    <col min="1" max="1" width="19.796875" customWidth="1"/>
  </cols>
  <sheetData>
    <row r="1" spans="1:3" ht="17.649999999999999" x14ac:dyDescent="0.5">
      <c r="A1" s="106" t="s">
        <v>160</v>
      </c>
      <c r="B1" s="106"/>
      <c r="C1" s="106"/>
    </row>
    <row r="2" spans="1:3" ht="26.25" x14ac:dyDescent="0.35">
      <c r="A2" s="85" t="s">
        <v>161</v>
      </c>
      <c r="B2" s="86" t="s">
        <v>162</v>
      </c>
      <c r="C2" s="87"/>
    </row>
    <row r="3" spans="1:3" x14ac:dyDescent="0.4">
      <c r="A3" s="122">
        <v>0</v>
      </c>
      <c r="B3" s="123">
        <v>0</v>
      </c>
      <c r="C3" s="87"/>
    </row>
    <row r="4" spans="1:3" x14ac:dyDescent="0.4">
      <c r="A4" s="122">
        <v>8000</v>
      </c>
      <c r="B4" s="123">
        <v>0.15</v>
      </c>
      <c r="C4" s="87"/>
    </row>
    <row r="5" spans="1:3" x14ac:dyDescent="0.4">
      <c r="A5" s="122">
        <v>14000</v>
      </c>
      <c r="B5" s="123">
        <v>0.25</v>
      </c>
      <c r="C5" s="87"/>
    </row>
    <row r="6" spans="1:3" x14ac:dyDescent="0.4">
      <c r="A6" s="122">
        <v>25000</v>
      </c>
      <c r="B6" s="123">
        <v>0.38</v>
      </c>
      <c r="C6" s="87"/>
    </row>
    <row r="7" spans="1:3" x14ac:dyDescent="0.35">
      <c r="A7" s="87"/>
      <c r="B7" s="87"/>
      <c r="C7" s="87"/>
    </row>
    <row r="8" spans="1:3" x14ac:dyDescent="0.35">
      <c r="A8" s="101" t="s">
        <v>161</v>
      </c>
      <c r="B8" s="124">
        <v>15000</v>
      </c>
      <c r="C8" s="87"/>
    </row>
    <row r="9" spans="1:3" x14ac:dyDescent="0.4">
      <c r="A9" s="105" t="s">
        <v>163</v>
      </c>
      <c r="B9" s="125">
        <f>VLOOKUP(B8,A3:B6,2,TRUE)</f>
        <v>0.25</v>
      </c>
      <c r="C9" s="87" t="str">
        <f ca="1">_xlfn.FORMULATEXT(B9)</f>
        <v>=VLOOKUP(B8,A3:B6,2,TRUE)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5DD9-EC24-436C-889D-57ECE8CBEFCE}">
  <dimension ref="A1:G4"/>
  <sheetViews>
    <sheetView workbookViewId="0">
      <selection activeCell="C7" sqref="C7"/>
    </sheetView>
  </sheetViews>
  <sheetFormatPr defaultRowHeight="13.9" x14ac:dyDescent="0.4"/>
  <cols>
    <col min="1" max="1" width="32.06640625" customWidth="1"/>
  </cols>
  <sheetData>
    <row r="1" spans="1:7" ht="17.649999999999999" x14ac:dyDescent="0.5">
      <c r="A1" s="106" t="s">
        <v>164</v>
      </c>
      <c r="B1" s="106"/>
      <c r="C1" s="106"/>
      <c r="D1" s="106"/>
      <c r="E1" s="106"/>
      <c r="F1" s="106"/>
      <c r="G1" s="106"/>
    </row>
    <row r="2" spans="1:7" x14ac:dyDescent="0.4">
      <c r="A2" s="93" t="s">
        <v>165</v>
      </c>
      <c r="B2" s="87">
        <f>COUNT(E2:G4)</f>
        <v>5</v>
      </c>
      <c r="C2" s="87" t="str">
        <f ca="1">_xlfn.FORMULATEXT(B2)</f>
        <v>=COUNT(E2:G4)</v>
      </c>
      <c r="D2" s="87"/>
      <c r="E2" s="101">
        <v>1</v>
      </c>
      <c r="F2" s="101" t="s">
        <v>166</v>
      </c>
      <c r="G2" s="101">
        <v>3</v>
      </c>
    </row>
    <row r="3" spans="1:7" x14ac:dyDescent="0.4">
      <c r="A3" s="93" t="s">
        <v>167</v>
      </c>
      <c r="B3" s="87">
        <f>COUNTA(E2:G4)</f>
        <v>8</v>
      </c>
      <c r="C3" s="87" t="str">
        <f ca="1">_xlfn.FORMULATEXT(B3)</f>
        <v>=COUNTA(E2:G4)</v>
      </c>
      <c r="D3" s="87"/>
      <c r="E3" s="101">
        <v>4</v>
      </c>
      <c r="F3" s="101"/>
      <c r="G3" s="101" t="s">
        <v>168</v>
      </c>
    </row>
    <row r="4" spans="1:7" x14ac:dyDescent="0.35">
      <c r="A4" s="87"/>
      <c r="B4" s="87"/>
      <c r="C4" s="87"/>
      <c r="D4" s="87"/>
      <c r="E4" s="101" t="s">
        <v>169</v>
      </c>
      <c r="F4" s="101">
        <v>8</v>
      </c>
      <c r="G4" s="101">
        <v>9</v>
      </c>
    </row>
  </sheetData>
  <mergeCells count="1">
    <mergeCell ref="A1:G1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6704-5656-460F-81F6-68DEE86D3B3A}">
  <dimension ref="A1:H61"/>
  <sheetViews>
    <sheetView workbookViewId="0">
      <selection activeCell="H8" sqref="H8"/>
    </sheetView>
  </sheetViews>
  <sheetFormatPr defaultRowHeight="13.9" x14ac:dyDescent="0.4"/>
  <cols>
    <col min="1" max="1" width="21.265625" customWidth="1"/>
    <col min="2" max="2" width="10.86328125" customWidth="1"/>
  </cols>
  <sheetData>
    <row r="1" spans="1:8" ht="17.649999999999999" x14ac:dyDescent="0.35">
      <c r="A1" s="65" t="s">
        <v>170</v>
      </c>
      <c r="B1" s="65"/>
      <c r="C1" s="65"/>
      <c r="D1" s="65"/>
      <c r="E1" s="87"/>
      <c r="F1" s="87"/>
      <c r="G1" s="87"/>
      <c r="H1" s="87"/>
    </row>
    <row r="2" spans="1:8" x14ac:dyDescent="0.35">
      <c r="A2" s="94" t="s">
        <v>171</v>
      </c>
      <c r="B2" s="94">
        <f>COUNT(C10:C61)</f>
        <v>52</v>
      </c>
      <c r="C2" s="87" t="str">
        <f ca="1">_xlfn.FORMULATEXT(B2)</f>
        <v>=COUNT(C10:C61)</v>
      </c>
      <c r="D2" s="87"/>
      <c r="E2" s="87"/>
      <c r="F2" s="87"/>
      <c r="G2" s="87"/>
      <c r="H2" s="87"/>
    </row>
    <row r="3" spans="1:8" x14ac:dyDescent="0.4">
      <c r="A3" s="94" t="s">
        <v>172</v>
      </c>
      <c r="B3" s="94">
        <f>COUNTIF(C10:C61,"&gt;2%")</f>
        <v>13</v>
      </c>
      <c r="C3" s="87" t="str">
        <f t="shared" ref="C3:C6" ca="1" si="0">_xlfn.FORMULATEXT(B3)</f>
        <v>=COUNTIF(C10:C61,"&gt;2%")</v>
      </c>
      <c r="D3" s="87"/>
      <c r="E3" s="87"/>
      <c r="F3" s="93" t="s">
        <v>173</v>
      </c>
      <c r="G3" s="87"/>
      <c r="H3" s="87"/>
    </row>
    <row r="4" spans="1:8" x14ac:dyDescent="0.35">
      <c r="A4" s="87"/>
      <c r="B4" s="87"/>
      <c r="C4" s="87"/>
      <c r="D4" s="87"/>
      <c r="E4" s="87"/>
      <c r="F4" s="87"/>
      <c r="G4" s="87"/>
      <c r="H4" s="87"/>
    </row>
    <row r="5" spans="1:8" x14ac:dyDescent="0.35">
      <c r="A5" s="130" t="s">
        <v>174</v>
      </c>
      <c r="B5" s="131">
        <v>0.05</v>
      </c>
      <c r="C5" s="87"/>
      <c r="D5" s="87"/>
      <c r="E5" s="87"/>
      <c r="F5" s="87" t="s">
        <v>174</v>
      </c>
      <c r="G5" s="102">
        <f>B6</f>
        <v>2</v>
      </c>
      <c r="H5" s="87" t="str">
        <f ca="1">_xlfn.FORMULATEXT(G5)</f>
        <v>=B6</v>
      </c>
    </row>
    <row r="6" spans="1:8" x14ac:dyDescent="0.35">
      <c r="A6" s="94" t="s">
        <v>175</v>
      </c>
      <c r="B6" s="94">
        <f>COUNTIF(C10:C61,"&gt;"&amp;TEXT(B5,"0.00%"))</f>
        <v>2</v>
      </c>
      <c r="C6" s="87" t="str">
        <f t="shared" ca="1" si="0"/>
        <v>=COUNTIF(C10:C61,"&gt;"&amp;TEXT(B5,"0.00%"))</v>
      </c>
      <c r="D6" s="87"/>
      <c r="E6" s="87"/>
      <c r="F6" s="126">
        <v>0</v>
      </c>
      <c r="G6" s="102">
        <f t="dataTable" ref="G6:G16" dt2D="0" dtr="0" r1="B5"/>
        <v>30</v>
      </c>
      <c r="H6" s="87"/>
    </row>
    <row r="7" spans="1:8" x14ac:dyDescent="0.35">
      <c r="A7" s="87"/>
      <c r="B7" s="87"/>
      <c r="C7" s="87"/>
      <c r="D7" s="87"/>
      <c r="E7" s="87"/>
      <c r="F7" s="126">
        <v>0.01</v>
      </c>
      <c r="G7" s="102">
        <v>21</v>
      </c>
      <c r="H7" s="87"/>
    </row>
    <row r="8" spans="1:8" x14ac:dyDescent="0.4">
      <c r="A8" s="100" t="s">
        <v>50</v>
      </c>
      <c r="B8" s="127" t="s">
        <v>177</v>
      </c>
      <c r="C8" s="100" t="s">
        <v>80</v>
      </c>
      <c r="D8" s="87"/>
      <c r="E8" s="87"/>
      <c r="F8" s="126">
        <v>0.02</v>
      </c>
      <c r="G8" s="102">
        <v>13</v>
      </c>
      <c r="H8" s="87"/>
    </row>
    <row r="9" spans="1:8" x14ac:dyDescent="0.35">
      <c r="A9" s="128">
        <v>38720</v>
      </c>
      <c r="B9" s="87">
        <v>31.82</v>
      </c>
      <c r="C9" s="101"/>
      <c r="D9" s="87"/>
      <c r="E9" s="87"/>
      <c r="F9" s="126">
        <v>0.03</v>
      </c>
      <c r="G9" s="102">
        <v>8</v>
      </c>
      <c r="H9" s="87"/>
    </row>
    <row r="10" spans="1:8" x14ac:dyDescent="0.4">
      <c r="A10" s="128">
        <v>38726</v>
      </c>
      <c r="B10" s="87">
        <v>32.15</v>
      </c>
      <c r="C10" s="129">
        <f>LN(B10/B9)</f>
        <v>1.0317427773987489E-2</v>
      </c>
      <c r="D10" s="87" t="str">
        <f ca="1">_xlfn.FORMULATEXT(C10)</f>
        <v>=LN(B10/B9)</v>
      </c>
      <c r="E10" s="87"/>
      <c r="F10" s="126">
        <v>0.04</v>
      </c>
      <c r="G10" s="102">
        <v>6</v>
      </c>
      <c r="H10" s="87"/>
    </row>
    <row r="11" spans="1:8" x14ac:dyDescent="0.4">
      <c r="A11" s="128">
        <v>38734</v>
      </c>
      <c r="B11" s="87">
        <v>31.94</v>
      </c>
      <c r="C11" s="129">
        <f t="shared" ref="C11:C61" si="1">LN(B11/B10)</f>
        <v>-6.553307896761988E-3</v>
      </c>
      <c r="D11" s="87"/>
      <c r="E11" s="87"/>
      <c r="F11" s="126">
        <v>0.05</v>
      </c>
      <c r="G11" s="102">
        <v>2</v>
      </c>
      <c r="H11" s="87"/>
    </row>
    <row r="12" spans="1:8" x14ac:dyDescent="0.4">
      <c r="A12" s="128">
        <v>38740</v>
      </c>
      <c r="B12" s="87">
        <v>33.33</v>
      </c>
      <c r="C12" s="129">
        <f t="shared" si="1"/>
        <v>4.2598749532781831E-2</v>
      </c>
      <c r="D12" s="87"/>
      <c r="E12" s="87"/>
      <c r="F12" s="126">
        <v>0.06</v>
      </c>
      <c r="G12" s="102">
        <v>1</v>
      </c>
      <c r="H12" s="87"/>
    </row>
    <row r="13" spans="1:8" x14ac:dyDescent="0.4">
      <c r="A13" s="128">
        <v>38747</v>
      </c>
      <c r="B13" s="87">
        <v>33.04</v>
      </c>
      <c r="C13" s="129">
        <f t="shared" si="1"/>
        <v>-8.7389436668710071E-3</v>
      </c>
      <c r="D13" s="87"/>
      <c r="E13" s="87"/>
      <c r="F13" s="126">
        <v>7.0000000000000007E-2</v>
      </c>
      <c r="G13" s="102">
        <v>1</v>
      </c>
      <c r="H13" s="87"/>
    </row>
    <row r="14" spans="1:8" x14ac:dyDescent="0.4">
      <c r="A14" s="128">
        <v>38754</v>
      </c>
      <c r="B14" s="87">
        <v>32.96</v>
      </c>
      <c r="C14" s="129">
        <f t="shared" si="1"/>
        <v>-2.42424361150628E-3</v>
      </c>
      <c r="D14" s="87"/>
      <c r="E14" s="87"/>
      <c r="F14" s="126">
        <v>0.08</v>
      </c>
      <c r="G14" s="102">
        <v>1</v>
      </c>
      <c r="H14" s="87"/>
    </row>
    <row r="15" spans="1:8" x14ac:dyDescent="0.4">
      <c r="A15" s="128">
        <v>38761</v>
      </c>
      <c r="B15" s="87">
        <v>34.630000000000003</v>
      </c>
      <c r="C15" s="129">
        <f t="shared" si="1"/>
        <v>4.9425653373059639E-2</v>
      </c>
      <c r="D15" s="87"/>
      <c r="E15" s="87"/>
      <c r="F15" s="126">
        <v>0.09</v>
      </c>
      <c r="G15" s="102">
        <v>1</v>
      </c>
      <c r="H15" s="87"/>
    </row>
    <row r="16" spans="1:8" x14ac:dyDescent="0.4">
      <c r="A16" s="128">
        <v>38769</v>
      </c>
      <c r="B16" s="87">
        <v>33.72</v>
      </c>
      <c r="C16" s="129">
        <f t="shared" si="1"/>
        <v>-2.6629225280676027E-2</v>
      </c>
      <c r="D16" s="87"/>
      <c r="E16" s="87" t="s">
        <v>183</v>
      </c>
      <c r="F16" s="126">
        <v>0.1</v>
      </c>
      <c r="G16" s="102">
        <v>0</v>
      </c>
      <c r="H16" s="87"/>
    </row>
    <row r="17" spans="1:8" x14ac:dyDescent="0.4">
      <c r="A17" s="128">
        <v>38775</v>
      </c>
      <c r="B17" s="87">
        <v>33.81</v>
      </c>
      <c r="C17" s="129">
        <f t="shared" si="1"/>
        <v>2.6654835861401023E-3</v>
      </c>
      <c r="D17" s="87"/>
      <c r="E17" s="87"/>
      <c r="F17" s="123"/>
      <c r="G17" s="87"/>
      <c r="H17" s="87"/>
    </row>
    <row r="18" spans="1:8" x14ac:dyDescent="0.4">
      <c r="A18" s="128">
        <v>38782</v>
      </c>
      <c r="B18" s="87">
        <v>33.76</v>
      </c>
      <c r="C18" s="129">
        <f t="shared" si="1"/>
        <v>-1.4799469920384154E-3</v>
      </c>
      <c r="D18" s="87"/>
      <c r="E18" s="87"/>
      <c r="F18" s="87"/>
      <c r="G18" s="87"/>
      <c r="H18" s="87"/>
    </row>
    <row r="19" spans="1:8" x14ac:dyDescent="0.4">
      <c r="A19" s="128">
        <v>38789</v>
      </c>
      <c r="B19" s="87">
        <v>34.61</v>
      </c>
      <c r="C19" s="129">
        <f t="shared" si="1"/>
        <v>2.4865987919496589E-2</v>
      </c>
      <c r="D19" s="87"/>
      <c r="E19" s="87"/>
      <c r="F19" s="87"/>
      <c r="G19" s="87"/>
      <c r="H19" s="87"/>
    </row>
    <row r="20" spans="1:8" x14ac:dyDescent="0.4">
      <c r="A20" s="128">
        <v>38796</v>
      </c>
      <c r="B20" s="87">
        <v>35.01</v>
      </c>
      <c r="C20" s="129">
        <f t="shared" si="1"/>
        <v>1.149107731932136E-2</v>
      </c>
      <c r="D20" s="87"/>
      <c r="E20" s="87"/>
      <c r="F20" s="87"/>
      <c r="G20" s="87"/>
      <c r="H20" s="87"/>
    </row>
    <row r="21" spans="1:8" x14ac:dyDescent="0.4">
      <c r="A21" s="128">
        <v>38803</v>
      </c>
      <c r="B21" s="87">
        <v>34.22</v>
      </c>
      <c r="C21" s="129">
        <f t="shared" si="1"/>
        <v>-2.2823466502526826E-2</v>
      </c>
      <c r="D21" s="87"/>
      <c r="E21" s="87"/>
      <c r="F21" s="87"/>
      <c r="G21" s="87"/>
      <c r="H21" s="87"/>
    </row>
    <row r="22" spans="1:8" x14ac:dyDescent="0.4">
      <c r="A22" s="128">
        <v>38810</v>
      </c>
      <c r="B22" s="87">
        <v>33.479999999999997</v>
      </c>
      <c r="C22" s="129">
        <f t="shared" si="1"/>
        <v>-2.1862022842772857E-2</v>
      </c>
      <c r="D22" s="87"/>
      <c r="E22" s="87"/>
      <c r="F22" s="87"/>
      <c r="G22" s="87"/>
      <c r="H22" s="87"/>
    </row>
    <row r="23" spans="1:8" x14ac:dyDescent="0.4">
      <c r="A23" s="128">
        <v>38817</v>
      </c>
      <c r="B23" s="87">
        <v>32.96</v>
      </c>
      <c r="C23" s="129">
        <f t="shared" si="1"/>
        <v>-1.5653540580003469E-2</v>
      </c>
      <c r="D23" s="87"/>
      <c r="E23" s="87"/>
      <c r="F23" s="87"/>
      <c r="G23" s="87"/>
      <c r="H23" s="87"/>
    </row>
    <row r="24" spans="1:8" x14ac:dyDescent="0.4">
      <c r="A24" s="128">
        <v>38824</v>
      </c>
      <c r="B24" s="87">
        <v>33.74</v>
      </c>
      <c r="C24" s="129">
        <f t="shared" si="1"/>
        <v>2.3389372076551309E-2</v>
      </c>
      <c r="D24" s="87"/>
      <c r="E24" s="87"/>
      <c r="F24" s="87"/>
      <c r="G24" s="87"/>
      <c r="H24" s="87"/>
    </row>
    <row r="25" spans="1:8" x14ac:dyDescent="0.4">
      <c r="A25" s="128">
        <v>38831</v>
      </c>
      <c r="B25" s="87">
        <v>33.43</v>
      </c>
      <c r="C25" s="129">
        <f t="shared" si="1"/>
        <v>-9.2303766858150785E-3</v>
      </c>
      <c r="D25" s="87"/>
      <c r="E25" s="87"/>
      <c r="F25" s="87"/>
      <c r="G25" s="87"/>
      <c r="H25" s="87"/>
    </row>
    <row r="26" spans="1:8" x14ac:dyDescent="0.4">
      <c r="A26" s="128">
        <v>38838</v>
      </c>
      <c r="B26" s="87">
        <v>33.49</v>
      </c>
      <c r="C26" s="129">
        <f t="shared" si="1"/>
        <v>1.7931863741059879E-3</v>
      </c>
      <c r="D26" s="87"/>
      <c r="E26" s="87"/>
      <c r="F26" s="87"/>
      <c r="G26" s="87"/>
      <c r="H26" s="87"/>
    </row>
    <row r="27" spans="1:8" x14ac:dyDescent="0.4">
      <c r="A27" s="128">
        <v>38845</v>
      </c>
      <c r="B27" s="87">
        <v>33.299999999999997</v>
      </c>
      <c r="C27" s="129">
        <f t="shared" si="1"/>
        <v>-5.6894898197151714E-3</v>
      </c>
      <c r="D27" s="87"/>
      <c r="E27" s="87"/>
      <c r="F27" s="87"/>
      <c r="G27" s="87"/>
      <c r="H27" s="87"/>
    </row>
    <row r="28" spans="1:8" x14ac:dyDescent="0.4">
      <c r="A28" s="128">
        <v>38852</v>
      </c>
      <c r="B28" s="87">
        <v>33.43</v>
      </c>
      <c r="C28" s="129">
        <f t="shared" si="1"/>
        <v>3.8963034456091328E-3</v>
      </c>
      <c r="D28" s="87"/>
      <c r="E28" s="87"/>
      <c r="F28" s="87"/>
      <c r="G28" s="87"/>
      <c r="H28" s="87"/>
    </row>
    <row r="29" spans="1:8" x14ac:dyDescent="0.4">
      <c r="A29" s="128">
        <v>38859</v>
      </c>
      <c r="B29" s="87">
        <v>33.57</v>
      </c>
      <c r="C29" s="129">
        <f t="shared" si="1"/>
        <v>4.1791105599363393E-3</v>
      </c>
      <c r="D29" s="87"/>
      <c r="E29" s="87"/>
      <c r="F29" s="87"/>
      <c r="G29" s="87"/>
      <c r="H29" s="87"/>
    </row>
    <row r="30" spans="1:8" x14ac:dyDescent="0.4">
      <c r="A30" s="128">
        <v>38867</v>
      </c>
      <c r="B30" s="87">
        <v>33.36</v>
      </c>
      <c r="C30" s="129">
        <f t="shared" si="1"/>
        <v>-6.2752335013975891E-3</v>
      </c>
      <c r="D30" s="87"/>
      <c r="E30" s="87"/>
      <c r="F30" s="87"/>
      <c r="G30" s="87"/>
      <c r="H30" s="87"/>
    </row>
    <row r="31" spans="1:8" x14ac:dyDescent="0.4">
      <c r="A31" s="128">
        <v>38873</v>
      </c>
      <c r="B31" s="87">
        <v>33.22</v>
      </c>
      <c r="C31" s="129">
        <f t="shared" si="1"/>
        <v>-4.205473305397168E-3</v>
      </c>
      <c r="D31" s="87"/>
      <c r="E31" s="87"/>
      <c r="F31" s="87"/>
      <c r="G31" s="87"/>
      <c r="H31" s="87"/>
    </row>
    <row r="32" spans="1:8" x14ac:dyDescent="0.4">
      <c r="A32" s="128">
        <v>38880</v>
      </c>
      <c r="B32" s="87">
        <v>33.81</v>
      </c>
      <c r="C32" s="129">
        <f t="shared" si="1"/>
        <v>1.7604512534645927E-2</v>
      </c>
      <c r="D32" s="87"/>
      <c r="E32" s="87"/>
      <c r="F32" s="87"/>
      <c r="G32" s="87"/>
      <c r="H32" s="87"/>
    </row>
    <row r="33" spans="1:8" x14ac:dyDescent="0.4">
      <c r="A33" s="128">
        <v>38887</v>
      </c>
      <c r="B33" s="87">
        <v>34.33</v>
      </c>
      <c r="C33" s="129">
        <f t="shared" si="1"/>
        <v>1.5262990749805956E-2</v>
      </c>
      <c r="D33" s="87"/>
      <c r="E33" s="87"/>
      <c r="F33" s="87"/>
      <c r="G33" s="87"/>
      <c r="H33" s="87"/>
    </row>
    <row r="34" spans="1:8" x14ac:dyDescent="0.4">
      <c r="A34" s="128">
        <v>38894</v>
      </c>
      <c r="B34" s="87">
        <v>35.79</v>
      </c>
      <c r="C34" s="129">
        <f t="shared" si="1"/>
        <v>4.1648917308333845E-2</v>
      </c>
      <c r="D34" s="87"/>
      <c r="E34" s="87"/>
      <c r="F34" s="87"/>
      <c r="G34" s="87"/>
      <c r="H34" s="87"/>
    </row>
    <row r="35" spans="1:8" x14ac:dyDescent="0.4">
      <c r="A35" s="128">
        <v>38901</v>
      </c>
      <c r="B35" s="87">
        <v>36.32</v>
      </c>
      <c r="C35" s="129">
        <f t="shared" si="1"/>
        <v>1.4700028955158076E-2</v>
      </c>
      <c r="D35" s="87"/>
      <c r="E35" s="87"/>
      <c r="F35" s="87"/>
      <c r="G35" s="87"/>
      <c r="H35" s="87"/>
    </row>
    <row r="36" spans="1:8" x14ac:dyDescent="0.4">
      <c r="A36" s="128">
        <v>38908</v>
      </c>
      <c r="B36" s="87">
        <v>35.520000000000003</v>
      </c>
      <c r="C36" s="129">
        <f t="shared" si="1"/>
        <v>-2.2272635609123178E-2</v>
      </c>
      <c r="D36" s="87"/>
      <c r="E36" s="87"/>
      <c r="F36" s="87"/>
      <c r="G36" s="87"/>
      <c r="H36" s="87"/>
    </row>
    <row r="37" spans="1:8" x14ac:dyDescent="0.4">
      <c r="A37" s="128">
        <v>38915</v>
      </c>
      <c r="B37" s="87">
        <v>36.71</v>
      </c>
      <c r="C37" s="129">
        <f t="shared" si="1"/>
        <v>3.2953279384773479E-2</v>
      </c>
      <c r="D37" s="87"/>
      <c r="E37" s="87"/>
      <c r="F37" s="87"/>
      <c r="G37" s="87"/>
      <c r="H37" s="87"/>
    </row>
    <row r="38" spans="1:8" x14ac:dyDescent="0.4">
      <c r="A38" s="128">
        <v>38922</v>
      </c>
      <c r="B38" s="87">
        <v>40.4</v>
      </c>
      <c r="C38" s="129">
        <f t="shared" si="1"/>
        <v>9.5780587458361419E-2</v>
      </c>
      <c r="D38" s="87"/>
      <c r="E38" s="87"/>
      <c r="F38" s="87"/>
      <c r="G38" s="87"/>
      <c r="H38" s="87"/>
    </row>
    <row r="39" spans="1:8" x14ac:dyDescent="0.4">
      <c r="A39" s="128">
        <v>38929</v>
      </c>
      <c r="B39" s="87">
        <v>40.630000000000003</v>
      </c>
      <c r="C39" s="129">
        <f t="shared" si="1"/>
        <v>5.6769250325311091E-3</v>
      </c>
      <c r="D39" s="87"/>
      <c r="E39" s="87"/>
      <c r="F39" s="87"/>
      <c r="G39" s="87"/>
      <c r="H39" s="87"/>
    </row>
    <row r="40" spans="1:8" x14ac:dyDescent="0.4">
      <c r="A40" s="128">
        <v>38936</v>
      </c>
      <c r="B40" s="87">
        <v>39.89</v>
      </c>
      <c r="C40" s="129">
        <f t="shared" si="1"/>
        <v>-1.8381044082320216E-2</v>
      </c>
      <c r="D40" s="87"/>
      <c r="E40" s="87"/>
      <c r="F40" s="87"/>
      <c r="G40" s="87"/>
      <c r="H40" s="87"/>
    </row>
    <row r="41" spans="1:8" x14ac:dyDescent="0.4">
      <c r="A41" s="128">
        <v>38943</v>
      </c>
      <c r="B41" s="87">
        <v>38.83</v>
      </c>
      <c r="C41" s="129">
        <f t="shared" si="1"/>
        <v>-2.6932522173739405E-2</v>
      </c>
      <c r="D41" s="87"/>
      <c r="E41" s="87"/>
      <c r="F41" s="87"/>
      <c r="G41" s="87"/>
      <c r="H41" s="87"/>
    </row>
    <row r="42" spans="1:8" x14ac:dyDescent="0.4">
      <c r="A42" s="128">
        <v>38950</v>
      </c>
      <c r="B42" s="87">
        <v>39.729999999999997</v>
      </c>
      <c r="C42" s="129">
        <f t="shared" si="1"/>
        <v>2.2913426082931558E-2</v>
      </c>
      <c r="D42" s="87"/>
      <c r="E42" s="87"/>
      <c r="F42" s="87"/>
      <c r="G42" s="87"/>
      <c r="H42" s="87"/>
    </row>
    <row r="43" spans="1:8" x14ac:dyDescent="0.4">
      <c r="A43" s="128">
        <v>38957</v>
      </c>
      <c r="B43" s="87">
        <v>40.619999999999997</v>
      </c>
      <c r="C43" s="129">
        <f t="shared" si="1"/>
        <v>2.2153986325731134E-2</v>
      </c>
      <c r="D43" s="87"/>
      <c r="E43" s="87"/>
      <c r="F43" s="87"/>
      <c r="G43" s="87"/>
      <c r="H43" s="87"/>
    </row>
    <row r="44" spans="1:8" x14ac:dyDescent="0.4">
      <c r="A44" s="128">
        <v>38965</v>
      </c>
      <c r="B44" s="87">
        <v>40.72</v>
      </c>
      <c r="C44" s="129">
        <f t="shared" si="1"/>
        <v>2.4588160900287748E-3</v>
      </c>
      <c r="D44" s="87"/>
      <c r="E44" s="87"/>
      <c r="F44" s="87"/>
      <c r="G44" s="87"/>
      <c r="H44" s="87"/>
    </row>
    <row r="45" spans="1:8" x14ac:dyDescent="0.4">
      <c r="A45" s="128">
        <v>38971</v>
      </c>
      <c r="B45" s="87">
        <v>40.76</v>
      </c>
      <c r="C45" s="129">
        <f t="shared" si="1"/>
        <v>9.8183611225663827E-4</v>
      </c>
      <c r="D45" s="87"/>
      <c r="E45" s="87"/>
      <c r="F45" s="87"/>
      <c r="G45" s="87"/>
      <c r="H45" s="87"/>
    </row>
    <row r="46" spans="1:8" x14ac:dyDescent="0.4">
      <c r="A46" s="128">
        <v>38978</v>
      </c>
      <c r="B46" s="87">
        <v>41.69</v>
      </c>
      <c r="C46" s="129">
        <f t="shared" si="1"/>
        <v>2.2560083538181414E-2</v>
      </c>
      <c r="D46" s="87"/>
      <c r="E46" s="87"/>
      <c r="F46" s="87"/>
      <c r="G46" s="87"/>
      <c r="H46" s="87"/>
    </row>
    <row r="47" spans="1:8" x14ac:dyDescent="0.4">
      <c r="A47" s="128">
        <v>38985</v>
      </c>
      <c r="B47" s="87">
        <v>41.55</v>
      </c>
      <c r="C47" s="129">
        <f t="shared" si="1"/>
        <v>-3.3637705912483331E-3</v>
      </c>
      <c r="D47" s="87"/>
      <c r="E47" s="87"/>
      <c r="F47" s="87"/>
      <c r="G47" s="87"/>
      <c r="H47" s="87"/>
    </row>
    <row r="48" spans="1:8" x14ac:dyDescent="0.4">
      <c r="A48" s="128">
        <v>38992</v>
      </c>
      <c r="B48" s="87">
        <v>41.51</v>
      </c>
      <c r="C48" s="129">
        <f t="shared" si="1"/>
        <v>-9.6315923650974787E-4</v>
      </c>
      <c r="D48" s="87"/>
      <c r="E48" s="87"/>
      <c r="F48" s="87"/>
      <c r="G48" s="87"/>
      <c r="H48" s="87"/>
    </row>
    <row r="49" spans="1:8" x14ac:dyDescent="0.4">
      <c r="A49" s="128">
        <v>38999</v>
      </c>
      <c r="B49" s="87">
        <v>42.84</v>
      </c>
      <c r="C49" s="129">
        <f t="shared" si="1"/>
        <v>3.1537883514600733E-2</v>
      </c>
      <c r="D49" s="87"/>
      <c r="E49" s="87"/>
      <c r="F49" s="87"/>
      <c r="G49" s="87"/>
      <c r="H49" s="87"/>
    </row>
    <row r="50" spans="1:8" x14ac:dyDescent="0.4">
      <c r="A50" s="128">
        <v>39006</v>
      </c>
      <c r="B50" s="87">
        <v>45.26</v>
      </c>
      <c r="C50" s="129">
        <f t="shared" si="1"/>
        <v>5.4951394625843107E-2</v>
      </c>
      <c r="D50" s="87"/>
      <c r="E50" s="87"/>
      <c r="F50" s="87"/>
      <c r="G50" s="87"/>
      <c r="H50" s="87"/>
    </row>
    <row r="51" spans="1:8" x14ac:dyDescent="0.4">
      <c r="A51" s="128">
        <v>39013</v>
      </c>
      <c r="B51" s="87">
        <v>45.7</v>
      </c>
      <c r="C51" s="129">
        <f t="shared" si="1"/>
        <v>9.6746576947678645E-3</v>
      </c>
      <c r="D51" s="87"/>
      <c r="E51" s="87"/>
      <c r="F51" s="87"/>
      <c r="G51" s="87"/>
      <c r="H51" s="87"/>
    </row>
    <row r="52" spans="1:8" x14ac:dyDescent="0.4">
      <c r="A52" s="128">
        <v>39020</v>
      </c>
      <c r="B52" s="87">
        <v>44.72</v>
      </c>
      <c r="C52" s="129">
        <f t="shared" si="1"/>
        <v>-2.1677469053315374E-2</v>
      </c>
      <c r="D52" s="87"/>
      <c r="E52" s="87"/>
      <c r="F52" s="87"/>
      <c r="G52" s="87"/>
      <c r="H52" s="87"/>
    </row>
    <row r="53" spans="1:8" x14ac:dyDescent="0.4">
      <c r="A53" s="128">
        <v>39027</v>
      </c>
      <c r="B53" s="87">
        <v>42.76</v>
      </c>
      <c r="C53" s="129">
        <f t="shared" si="1"/>
        <v>-4.4817742689999253E-2</v>
      </c>
      <c r="D53" s="87"/>
      <c r="E53" s="87"/>
      <c r="F53" s="87"/>
      <c r="G53" s="87"/>
      <c r="H53" s="87"/>
    </row>
    <row r="54" spans="1:8" x14ac:dyDescent="0.4">
      <c r="A54" s="128">
        <v>39034</v>
      </c>
      <c r="B54" s="87">
        <v>44.68</v>
      </c>
      <c r="C54" s="129">
        <f t="shared" si="1"/>
        <v>4.3922888044155513E-2</v>
      </c>
      <c r="D54" s="87"/>
      <c r="E54" s="87"/>
      <c r="F54" s="87"/>
      <c r="G54" s="87"/>
      <c r="H54" s="87"/>
    </row>
    <row r="55" spans="1:8" x14ac:dyDescent="0.4">
      <c r="A55" s="128">
        <v>39041</v>
      </c>
      <c r="B55" s="87">
        <v>43.81</v>
      </c>
      <c r="C55" s="129">
        <f t="shared" si="1"/>
        <v>-1.9663872375192782E-2</v>
      </c>
      <c r="D55" s="87"/>
      <c r="E55" s="87"/>
      <c r="F55" s="87"/>
      <c r="G55" s="87"/>
      <c r="H55" s="87"/>
    </row>
    <row r="56" spans="1:8" x14ac:dyDescent="0.4">
      <c r="A56" s="128">
        <v>39048</v>
      </c>
      <c r="B56" s="87">
        <v>44.68</v>
      </c>
      <c r="C56" s="129">
        <f t="shared" si="1"/>
        <v>1.9663872375192827E-2</v>
      </c>
      <c r="D56" s="87"/>
      <c r="E56" s="87"/>
      <c r="F56" s="87"/>
      <c r="G56" s="87"/>
      <c r="H56" s="87"/>
    </row>
    <row r="57" spans="1:8" x14ac:dyDescent="0.4">
      <c r="A57" s="128">
        <v>39055</v>
      </c>
      <c r="B57" s="87">
        <v>43.93</v>
      </c>
      <c r="C57" s="129">
        <f t="shared" si="1"/>
        <v>-1.6928516213311734E-2</v>
      </c>
      <c r="D57" s="87"/>
      <c r="E57" s="87"/>
      <c r="F57" s="87"/>
      <c r="G57" s="87"/>
      <c r="H57" s="87"/>
    </row>
    <row r="58" spans="1:8" x14ac:dyDescent="0.4">
      <c r="A58" s="128">
        <v>39062</v>
      </c>
      <c r="B58" s="87">
        <v>44</v>
      </c>
      <c r="C58" s="129">
        <f t="shared" si="1"/>
        <v>1.5921759305728943E-3</v>
      </c>
      <c r="D58" s="87"/>
      <c r="E58" s="87"/>
      <c r="F58" s="87"/>
      <c r="G58" s="87"/>
      <c r="H58" s="87"/>
    </row>
    <row r="59" spans="1:8" x14ac:dyDescent="0.4">
      <c r="A59" s="128">
        <v>39069</v>
      </c>
      <c r="B59" s="87">
        <v>42.83</v>
      </c>
      <c r="C59" s="129">
        <f t="shared" si="1"/>
        <v>-2.6950842290981571E-2</v>
      </c>
      <c r="D59" s="87"/>
      <c r="E59" s="87"/>
      <c r="F59" s="87"/>
      <c r="G59" s="87"/>
      <c r="H59" s="87"/>
    </row>
    <row r="60" spans="1:8" x14ac:dyDescent="0.4">
      <c r="A60" s="128">
        <v>39077</v>
      </c>
      <c r="B60" s="87">
        <v>43.6</v>
      </c>
      <c r="C60" s="129">
        <f t="shared" si="1"/>
        <v>1.7818358727709097E-2</v>
      </c>
      <c r="D60" s="87"/>
      <c r="E60" s="87"/>
      <c r="F60" s="87"/>
      <c r="G60" s="87"/>
      <c r="H60" s="87"/>
    </row>
    <row r="61" spans="1:8" x14ac:dyDescent="0.4">
      <c r="A61" s="128">
        <v>39085</v>
      </c>
      <c r="B61" s="87">
        <v>44.3</v>
      </c>
      <c r="C61" s="129">
        <f t="shared" si="1"/>
        <v>1.5927526696101278E-2</v>
      </c>
      <c r="D61" s="87"/>
      <c r="E61" s="87"/>
      <c r="F61" s="87"/>
      <c r="G61" s="87"/>
      <c r="H61" s="87"/>
    </row>
  </sheetData>
  <mergeCells count="1">
    <mergeCell ref="A1:D1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2194-4471-4275-98A2-7AA5FE4AB32E}">
  <dimension ref="A1:D61"/>
  <sheetViews>
    <sheetView workbookViewId="0">
      <selection activeCell="H21" sqref="H21"/>
    </sheetView>
  </sheetViews>
  <sheetFormatPr defaultRowHeight="13.9" x14ac:dyDescent="0.4"/>
  <cols>
    <col min="1" max="1" width="21" customWidth="1"/>
    <col min="2" max="2" width="19" customWidth="1"/>
    <col min="3" max="3" width="20.53125" customWidth="1"/>
  </cols>
  <sheetData>
    <row r="1" spans="1:4" ht="17.649999999999999" x14ac:dyDescent="0.4">
      <c r="A1" s="65" t="s">
        <v>178</v>
      </c>
      <c r="B1" s="65"/>
      <c r="C1" s="65"/>
    </row>
    <row r="2" spans="1:4" x14ac:dyDescent="0.35">
      <c r="A2" s="87" t="s">
        <v>179</v>
      </c>
      <c r="B2" s="123">
        <v>0.02</v>
      </c>
      <c r="C2" s="87"/>
    </row>
    <row r="3" spans="1:4" x14ac:dyDescent="0.35">
      <c r="A3" s="87" t="s">
        <v>180</v>
      </c>
      <c r="B3" s="123">
        <v>0.04</v>
      </c>
      <c r="C3" s="87"/>
    </row>
    <row r="4" spans="1:4" x14ac:dyDescent="0.35">
      <c r="A4" s="87" t="s">
        <v>181</v>
      </c>
      <c r="B4" s="132">
        <f>COUNTIF(C10:C61,"&gt;2%")</f>
        <v>13</v>
      </c>
      <c r="C4" s="87">
        <f>COUNTIF(C10:C61,"&gt;2%")</f>
        <v>13</v>
      </c>
      <c r="D4" t="str">
        <f ca="1">_xlfn.FORMULATEXT(C4)</f>
        <v>=COUNTIF(C10:C61,"&gt;2%")</v>
      </c>
    </row>
    <row r="5" spans="1:4" x14ac:dyDescent="0.35">
      <c r="A5" s="87" t="s">
        <v>182</v>
      </c>
      <c r="B5" s="94">
        <f>COUNTIFS(C:C,"&lt;4%",C:C,"&gt;2%")</f>
        <v>7</v>
      </c>
      <c r="C5" s="87">
        <f>COUNTIFS(C10:C61,"&gt;2%",C10:C61,"&lt;4%")</f>
        <v>7</v>
      </c>
      <c r="D5" t="str">
        <f t="shared" ref="D5:D6" ca="1" si="0">_xlfn.FORMULATEXT(C5)</f>
        <v>=COUNTIFS(C10:C61,"&gt;2%",C10:C61,"&lt;4%")</v>
      </c>
    </row>
    <row r="6" spans="1:4" x14ac:dyDescent="0.35">
      <c r="A6" s="87"/>
      <c r="B6" s="94">
        <f>COUNTIFS(C:C,"&lt;"&amp;TEXT(B3,"0%"),C:C,"&gt;"&amp;TEXT(B2,"0%"))</f>
        <v>7</v>
      </c>
      <c r="C6" s="87">
        <f>COUNTIFS(C10:C61,"&gt;"&amp;TEXT(B2,"0%"),C10:C61,"&lt;"&amp;TEXT(B3,"0%"))</f>
        <v>7</v>
      </c>
      <c r="D6" t="str">
        <f t="shared" ca="1" si="0"/>
        <v>=COUNTIFS(C10:C61,"&gt;"&amp;TEXT(B2,"0%"),C10:C61,"&lt;"&amp;TEXT(B3,"0%"))</v>
      </c>
    </row>
    <row r="7" spans="1:4" x14ac:dyDescent="0.35">
      <c r="A7" s="87"/>
      <c r="B7" s="87"/>
      <c r="C7" s="87"/>
    </row>
    <row r="8" spans="1:4" ht="26.25" x14ac:dyDescent="0.4">
      <c r="A8" s="100" t="s">
        <v>50</v>
      </c>
      <c r="B8" s="127" t="s">
        <v>176</v>
      </c>
      <c r="C8" s="100" t="s">
        <v>80</v>
      </c>
    </row>
    <row r="9" spans="1:4" x14ac:dyDescent="0.35">
      <c r="A9" s="128">
        <v>38720</v>
      </c>
      <c r="B9" s="87">
        <v>31.82</v>
      </c>
      <c r="C9" s="101"/>
    </row>
    <row r="10" spans="1:4" x14ac:dyDescent="0.4">
      <c r="A10" s="128">
        <v>38726</v>
      </c>
      <c r="B10" s="87">
        <v>32.15</v>
      </c>
      <c r="C10" s="129">
        <f>LN(B10/B9)</f>
        <v>1.0317427773987489E-2</v>
      </c>
      <c r="D10" t="str">
        <f ca="1">_xlfn.FORMULATEXT(C10)</f>
        <v>=LN(B10/B9)</v>
      </c>
    </row>
    <row r="11" spans="1:4" x14ac:dyDescent="0.4">
      <c r="A11" s="128">
        <v>38734</v>
      </c>
      <c r="B11" s="87">
        <v>31.94</v>
      </c>
      <c r="C11" s="129">
        <f t="shared" ref="C11:C61" si="1">LN(B11/B10)</f>
        <v>-6.553307896761988E-3</v>
      </c>
    </row>
    <row r="12" spans="1:4" x14ac:dyDescent="0.4">
      <c r="A12" s="128">
        <v>38740</v>
      </c>
      <c r="B12" s="87">
        <v>33.33</v>
      </c>
      <c r="C12" s="129">
        <f t="shared" si="1"/>
        <v>4.2598749532781831E-2</v>
      </c>
    </row>
    <row r="13" spans="1:4" x14ac:dyDescent="0.4">
      <c r="A13" s="128">
        <v>38747</v>
      </c>
      <c r="B13" s="87">
        <v>33.04</v>
      </c>
      <c r="C13" s="129">
        <f t="shared" si="1"/>
        <v>-8.7389436668710071E-3</v>
      </c>
    </row>
    <row r="14" spans="1:4" x14ac:dyDescent="0.4">
      <c r="A14" s="128">
        <v>38754</v>
      </c>
      <c r="B14" s="87">
        <v>32.96</v>
      </c>
      <c r="C14" s="129">
        <f t="shared" si="1"/>
        <v>-2.42424361150628E-3</v>
      </c>
    </row>
    <row r="15" spans="1:4" x14ac:dyDescent="0.4">
      <c r="A15" s="128">
        <v>38761</v>
      </c>
      <c r="B15" s="87">
        <v>34.630000000000003</v>
      </c>
      <c r="C15" s="129">
        <f t="shared" si="1"/>
        <v>4.9425653373059639E-2</v>
      </c>
    </row>
    <row r="16" spans="1:4" x14ac:dyDescent="0.4">
      <c r="A16" s="128">
        <v>38769</v>
      </c>
      <c r="B16" s="87">
        <v>33.72</v>
      </c>
      <c r="C16" s="129">
        <f t="shared" si="1"/>
        <v>-2.6629225280676027E-2</v>
      </c>
    </row>
    <row r="17" spans="1:3" x14ac:dyDescent="0.4">
      <c r="A17" s="128">
        <v>38775</v>
      </c>
      <c r="B17" s="87">
        <v>33.81</v>
      </c>
      <c r="C17" s="129">
        <f t="shared" si="1"/>
        <v>2.6654835861401023E-3</v>
      </c>
    </row>
    <row r="18" spans="1:3" x14ac:dyDescent="0.4">
      <c r="A18" s="128">
        <v>38782</v>
      </c>
      <c r="B18" s="87">
        <v>33.76</v>
      </c>
      <c r="C18" s="129">
        <f t="shared" si="1"/>
        <v>-1.4799469920384154E-3</v>
      </c>
    </row>
    <row r="19" spans="1:3" x14ac:dyDescent="0.4">
      <c r="A19" s="128">
        <v>38789</v>
      </c>
      <c r="B19" s="87">
        <v>34.61</v>
      </c>
      <c r="C19" s="129">
        <f t="shared" si="1"/>
        <v>2.4865987919496589E-2</v>
      </c>
    </row>
    <row r="20" spans="1:3" x14ac:dyDescent="0.4">
      <c r="A20" s="128">
        <v>38796</v>
      </c>
      <c r="B20" s="87">
        <v>35.01</v>
      </c>
      <c r="C20" s="129">
        <f t="shared" si="1"/>
        <v>1.149107731932136E-2</v>
      </c>
    </row>
    <row r="21" spans="1:3" x14ac:dyDescent="0.4">
      <c r="A21" s="128">
        <v>38803</v>
      </c>
      <c r="B21" s="87">
        <v>34.22</v>
      </c>
      <c r="C21" s="129">
        <f t="shared" si="1"/>
        <v>-2.2823466502526826E-2</v>
      </c>
    </row>
    <row r="22" spans="1:3" x14ac:dyDescent="0.4">
      <c r="A22" s="128">
        <v>38810</v>
      </c>
      <c r="B22" s="87">
        <v>33.479999999999997</v>
      </c>
      <c r="C22" s="129">
        <f t="shared" si="1"/>
        <v>-2.1862022842772857E-2</v>
      </c>
    </row>
    <row r="23" spans="1:3" x14ac:dyDescent="0.4">
      <c r="A23" s="128">
        <v>38817</v>
      </c>
      <c r="B23" s="87">
        <v>32.96</v>
      </c>
      <c r="C23" s="129">
        <f t="shared" si="1"/>
        <v>-1.5653540580003469E-2</v>
      </c>
    </row>
    <row r="24" spans="1:3" x14ac:dyDescent="0.4">
      <c r="A24" s="128">
        <v>38824</v>
      </c>
      <c r="B24" s="87">
        <v>33.74</v>
      </c>
      <c r="C24" s="129">
        <f t="shared" si="1"/>
        <v>2.3389372076551309E-2</v>
      </c>
    </row>
    <row r="25" spans="1:3" x14ac:dyDescent="0.4">
      <c r="A25" s="128">
        <v>38831</v>
      </c>
      <c r="B25" s="87">
        <v>33.43</v>
      </c>
      <c r="C25" s="129">
        <f t="shared" si="1"/>
        <v>-9.2303766858150785E-3</v>
      </c>
    </row>
    <row r="26" spans="1:3" x14ac:dyDescent="0.4">
      <c r="A26" s="128">
        <v>38838</v>
      </c>
      <c r="B26" s="87">
        <v>33.49</v>
      </c>
      <c r="C26" s="129">
        <f t="shared" si="1"/>
        <v>1.7931863741059879E-3</v>
      </c>
    </row>
    <row r="27" spans="1:3" x14ac:dyDescent="0.4">
      <c r="A27" s="128">
        <v>38845</v>
      </c>
      <c r="B27" s="87">
        <v>33.299999999999997</v>
      </c>
      <c r="C27" s="129">
        <f t="shared" si="1"/>
        <v>-5.6894898197151714E-3</v>
      </c>
    </row>
    <row r="28" spans="1:3" x14ac:dyDescent="0.4">
      <c r="A28" s="128">
        <v>38852</v>
      </c>
      <c r="B28" s="87">
        <v>33.43</v>
      </c>
      <c r="C28" s="129">
        <f t="shared" si="1"/>
        <v>3.8963034456091328E-3</v>
      </c>
    </row>
    <row r="29" spans="1:3" x14ac:dyDescent="0.4">
      <c r="A29" s="128">
        <v>38859</v>
      </c>
      <c r="B29" s="87">
        <v>33.57</v>
      </c>
      <c r="C29" s="129">
        <f t="shared" si="1"/>
        <v>4.1791105599363393E-3</v>
      </c>
    </row>
    <row r="30" spans="1:3" x14ac:dyDescent="0.4">
      <c r="A30" s="128">
        <v>38867</v>
      </c>
      <c r="B30" s="87">
        <v>33.36</v>
      </c>
      <c r="C30" s="129">
        <f t="shared" si="1"/>
        <v>-6.2752335013975891E-3</v>
      </c>
    </row>
    <row r="31" spans="1:3" x14ac:dyDescent="0.4">
      <c r="A31" s="128">
        <v>38873</v>
      </c>
      <c r="B31" s="87">
        <v>33.22</v>
      </c>
      <c r="C31" s="129">
        <f t="shared" si="1"/>
        <v>-4.205473305397168E-3</v>
      </c>
    </row>
    <row r="32" spans="1:3" x14ac:dyDescent="0.4">
      <c r="A32" s="128">
        <v>38880</v>
      </c>
      <c r="B32" s="87">
        <v>33.81</v>
      </c>
      <c r="C32" s="129">
        <f t="shared" si="1"/>
        <v>1.7604512534645927E-2</v>
      </c>
    </row>
    <row r="33" spans="1:3" x14ac:dyDescent="0.4">
      <c r="A33" s="128">
        <v>38887</v>
      </c>
      <c r="B33" s="87">
        <v>34.33</v>
      </c>
      <c r="C33" s="129">
        <f t="shared" si="1"/>
        <v>1.5262990749805956E-2</v>
      </c>
    </row>
    <row r="34" spans="1:3" x14ac:dyDescent="0.4">
      <c r="A34" s="128">
        <v>38894</v>
      </c>
      <c r="B34" s="87">
        <v>35.79</v>
      </c>
      <c r="C34" s="129">
        <f t="shared" si="1"/>
        <v>4.1648917308333845E-2</v>
      </c>
    </row>
    <row r="35" spans="1:3" x14ac:dyDescent="0.4">
      <c r="A35" s="128">
        <v>38901</v>
      </c>
      <c r="B35" s="87">
        <v>36.32</v>
      </c>
      <c r="C35" s="129">
        <f t="shared" si="1"/>
        <v>1.4700028955158076E-2</v>
      </c>
    </row>
    <row r="36" spans="1:3" x14ac:dyDescent="0.4">
      <c r="A36" s="128">
        <v>38908</v>
      </c>
      <c r="B36" s="87">
        <v>35.520000000000003</v>
      </c>
      <c r="C36" s="129">
        <f t="shared" si="1"/>
        <v>-2.2272635609123178E-2</v>
      </c>
    </row>
    <row r="37" spans="1:3" x14ac:dyDescent="0.4">
      <c r="A37" s="128">
        <v>38915</v>
      </c>
      <c r="B37" s="87">
        <v>36.71</v>
      </c>
      <c r="C37" s="129">
        <f t="shared" si="1"/>
        <v>3.2953279384773479E-2</v>
      </c>
    </row>
    <row r="38" spans="1:3" x14ac:dyDescent="0.4">
      <c r="A38" s="128">
        <v>38922</v>
      </c>
      <c r="B38" s="87">
        <v>40.4</v>
      </c>
      <c r="C38" s="129">
        <f t="shared" si="1"/>
        <v>9.5780587458361419E-2</v>
      </c>
    </row>
    <row r="39" spans="1:3" x14ac:dyDescent="0.4">
      <c r="A39" s="128">
        <v>38929</v>
      </c>
      <c r="B39" s="87">
        <v>40.630000000000003</v>
      </c>
      <c r="C39" s="129">
        <f t="shared" si="1"/>
        <v>5.6769250325311091E-3</v>
      </c>
    </row>
    <row r="40" spans="1:3" x14ac:dyDescent="0.4">
      <c r="A40" s="128">
        <v>38936</v>
      </c>
      <c r="B40" s="87">
        <v>39.89</v>
      </c>
      <c r="C40" s="129">
        <f t="shared" si="1"/>
        <v>-1.8381044082320216E-2</v>
      </c>
    </row>
    <row r="41" spans="1:3" x14ac:dyDescent="0.4">
      <c r="A41" s="128">
        <v>38943</v>
      </c>
      <c r="B41" s="87">
        <v>38.83</v>
      </c>
      <c r="C41" s="129">
        <f t="shared" si="1"/>
        <v>-2.6932522173739405E-2</v>
      </c>
    </row>
    <row r="42" spans="1:3" x14ac:dyDescent="0.4">
      <c r="A42" s="128">
        <v>38950</v>
      </c>
      <c r="B42" s="87">
        <v>39.729999999999997</v>
      </c>
      <c r="C42" s="129">
        <f t="shared" si="1"/>
        <v>2.2913426082931558E-2</v>
      </c>
    </row>
    <row r="43" spans="1:3" x14ac:dyDescent="0.4">
      <c r="A43" s="128">
        <v>38957</v>
      </c>
      <c r="B43" s="87">
        <v>40.619999999999997</v>
      </c>
      <c r="C43" s="129">
        <f t="shared" si="1"/>
        <v>2.2153986325731134E-2</v>
      </c>
    </row>
    <row r="44" spans="1:3" x14ac:dyDescent="0.4">
      <c r="A44" s="128">
        <v>38965</v>
      </c>
      <c r="B44" s="87">
        <v>40.72</v>
      </c>
      <c r="C44" s="129">
        <f t="shared" si="1"/>
        <v>2.4588160900287748E-3</v>
      </c>
    </row>
    <row r="45" spans="1:3" x14ac:dyDescent="0.4">
      <c r="A45" s="128">
        <v>38971</v>
      </c>
      <c r="B45" s="87">
        <v>40.76</v>
      </c>
      <c r="C45" s="129">
        <f t="shared" si="1"/>
        <v>9.8183611225663827E-4</v>
      </c>
    </row>
    <row r="46" spans="1:3" x14ac:dyDescent="0.4">
      <c r="A46" s="128">
        <v>38978</v>
      </c>
      <c r="B46" s="87">
        <v>41.69</v>
      </c>
      <c r="C46" s="129">
        <f t="shared" si="1"/>
        <v>2.2560083538181414E-2</v>
      </c>
    </row>
    <row r="47" spans="1:3" x14ac:dyDescent="0.4">
      <c r="A47" s="128">
        <v>38985</v>
      </c>
      <c r="B47" s="87">
        <v>41.55</v>
      </c>
      <c r="C47" s="129">
        <f t="shared" si="1"/>
        <v>-3.3637705912483331E-3</v>
      </c>
    </row>
    <row r="48" spans="1:3" x14ac:dyDescent="0.4">
      <c r="A48" s="128">
        <v>38992</v>
      </c>
      <c r="B48" s="87">
        <v>41.51</v>
      </c>
      <c r="C48" s="129">
        <f t="shared" si="1"/>
        <v>-9.6315923650974787E-4</v>
      </c>
    </row>
    <row r="49" spans="1:3" x14ac:dyDescent="0.4">
      <c r="A49" s="128">
        <v>38999</v>
      </c>
      <c r="B49" s="87">
        <v>42.84</v>
      </c>
      <c r="C49" s="129">
        <f t="shared" si="1"/>
        <v>3.1537883514600733E-2</v>
      </c>
    </row>
    <row r="50" spans="1:3" x14ac:dyDescent="0.4">
      <c r="A50" s="128">
        <v>39006</v>
      </c>
      <c r="B50" s="87">
        <v>45.26</v>
      </c>
      <c r="C50" s="129">
        <f t="shared" si="1"/>
        <v>5.4951394625843107E-2</v>
      </c>
    </row>
    <row r="51" spans="1:3" x14ac:dyDescent="0.4">
      <c r="A51" s="128">
        <v>39013</v>
      </c>
      <c r="B51" s="87">
        <v>45.7</v>
      </c>
      <c r="C51" s="129">
        <f t="shared" si="1"/>
        <v>9.6746576947678645E-3</v>
      </c>
    </row>
    <row r="52" spans="1:3" x14ac:dyDescent="0.4">
      <c r="A52" s="128">
        <v>39020</v>
      </c>
      <c r="B52" s="87">
        <v>44.72</v>
      </c>
      <c r="C52" s="129">
        <f t="shared" si="1"/>
        <v>-2.1677469053315374E-2</v>
      </c>
    </row>
    <row r="53" spans="1:3" x14ac:dyDescent="0.4">
      <c r="A53" s="128">
        <v>39027</v>
      </c>
      <c r="B53" s="87">
        <v>42.76</v>
      </c>
      <c r="C53" s="129">
        <f t="shared" si="1"/>
        <v>-4.4817742689999253E-2</v>
      </c>
    </row>
    <row r="54" spans="1:3" x14ac:dyDescent="0.4">
      <c r="A54" s="128">
        <v>39034</v>
      </c>
      <c r="B54" s="87">
        <v>44.68</v>
      </c>
      <c r="C54" s="129">
        <f t="shared" si="1"/>
        <v>4.3922888044155513E-2</v>
      </c>
    </row>
    <row r="55" spans="1:3" x14ac:dyDescent="0.4">
      <c r="A55" s="128">
        <v>39041</v>
      </c>
      <c r="B55" s="87">
        <v>43.81</v>
      </c>
      <c r="C55" s="129">
        <f t="shared" si="1"/>
        <v>-1.9663872375192782E-2</v>
      </c>
    </row>
    <row r="56" spans="1:3" x14ac:dyDescent="0.4">
      <c r="A56" s="128">
        <v>39048</v>
      </c>
      <c r="B56" s="87">
        <v>44.68</v>
      </c>
      <c r="C56" s="129">
        <f t="shared" si="1"/>
        <v>1.9663872375192827E-2</v>
      </c>
    </row>
    <row r="57" spans="1:3" x14ac:dyDescent="0.4">
      <c r="A57" s="128">
        <v>39055</v>
      </c>
      <c r="B57" s="87">
        <v>43.93</v>
      </c>
      <c r="C57" s="129">
        <f t="shared" si="1"/>
        <v>-1.6928516213311734E-2</v>
      </c>
    </row>
    <row r="58" spans="1:3" x14ac:dyDescent="0.4">
      <c r="A58" s="128">
        <v>39062</v>
      </c>
      <c r="B58" s="87">
        <v>44</v>
      </c>
      <c r="C58" s="129">
        <f t="shared" si="1"/>
        <v>1.5921759305728943E-3</v>
      </c>
    </row>
    <row r="59" spans="1:3" x14ac:dyDescent="0.4">
      <c r="A59" s="128">
        <v>39069</v>
      </c>
      <c r="B59" s="87">
        <v>42.83</v>
      </c>
      <c r="C59" s="129">
        <f t="shared" si="1"/>
        <v>-2.6950842290981571E-2</v>
      </c>
    </row>
    <row r="60" spans="1:3" x14ac:dyDescent="0.4">
      <c r="A60" s="128">
        <v>39077</v>
      </c>
      <c r="B60" s="87">
        <v>43.6</v>
      </c>
      <c r="C60" s="129">
        <f t="shared" si="1"/>
        <v>1.7818358727709097E-2</v>
      </c>
    </row>
    <row r="61" spans="1:3" x14ac:dyDescent="0.4">
      <c r="A61" s="128">
        <v>39085</v>
      </c>
      <c r="B61" s="87">
        <v>44.3</v>
      </c>
      <c r="C61" s="129">
        <f t="shared" si="1"/>
        <v>1.5927526696101278E-2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ACD-F837-4BF7-9CDD-0C231665E2FB}">
  <dimension ref="A1:C9"/>
  <sheetViews>
    <sheetView workbookViewId="0">
      <selection activeCell="J20" sqref="J20"/>
    </sheetView>
  </sheetViews>
  <sheetFormatPr defaultRowHeight="13.9" x14ac:dyDescent="0.4"/>
  <cols>
    <col min="1" max="1" width="20.86328125" customWidth="1"/>
  </cols>
  <sheetData>
    <row r="1" spans="1:3" ht="17.649999999999999" x14ac:dyDescent="0.4">
      <c r="A1" s="65" t="s">
        <v>184</v>
      </c>
      <c r="B1" s="65"/>
      <c r="C1" s="65"/>
    </row>
    <row r="2" spans="1:3" x14ac:dyDescent="0.35">
      <c r="A2" s="87" t="s">
        <v>185</v>
      </c>
      <c r="B2" s="87">
        <v>22</v>
      </c>
      <c r="C2" s="87"/>
    </row>
    <row r="3" spans="1:3" x14ac:dyDescent="0.35">
      <c r="A3" s="87" t="s">
        <v>186</v>
      </c>
      <c r="B3" s="87">
        <v>-15</v>
      </c>
      <c r="C3" s="87"/>
    </row>
    <row r="4" spans="1:3" x14ac:dyDescent="0.35">
      <c r="A4" s="87"/>
      <c r="B4" s="87"/>
      <c r="C4" s="87"/>
    </row>
    <row r="5" spans="1:3" x14ac:dyDescent="0.35">
      <c r="A5" s="87" t="s">
        <v>187</v>
      </c>
      <c r="B5" s="87">
        <v>25</v>
      </c>
      <c r="C5" s="87"/>
    </row>
    <row r="6" spans="1:3" x14ac:dyDescent="0.35">
      <c r="A6" s="94" t="s">
        <v>188</v>
      </c>
      <c r="B6" s="94" t="b">
        <f>B5&lt;=B2</f>
        <v>0</v>
      </c>
      <c r="C6" s="87" t="str">
        <f ca="1">_xlfn.FORMULATEXT(B6)</f>
        <v>=B5&lt;=B2</v>
      </c>
    </row>
    <row r="7" spans="1:3" x14ac:dyDescent="0.35">
      <c r="A7" s="94" t="s">
        <v>189</v>
      </c>
      <c r="B7" s="94" t="b">
        <f>B5&gt;B3</f>
        <v>1</v>
      </c>
      <c r="C7" s="87" t="str">
        <f t="shared" ref="C7:C9" ca="1" si="0">_xlfn.FORMULATEXT(B7)</f>
        <v>=B5&gt;B3</v>
      </c>
    </row>
    <row r="8" spans="1:3" x14ac:dyDescent="0.35">
      <c r="A8" s="87"/>
      <c r="B8" s="87"/>
      <c r="C8" s="87"/>
    </row>
    <row r="9" spans="1:3" x14ac:dyDescent="0.35">
      <c r="A9" s="94" t="s">
        <v>190</v>
      </c>
      <c r="B9" s="94">
        <f>B6*B7</f>
        <v>0</v>
      </c>
      <c r="C9" s="87" t="str">
        <f t="shared" ca="1" si="0"/>
        <v>=B6*B7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0D9E-F3B6-4B6C-AB04-D5227FB8F87C}">
  <dimension ref="A1:C9"/>
  <sheetViews>
    <sheetView workbookViewId="0">
      <selection activeCell="F8" sqref="F8"/>
    </sheetView>
  </sheetViews>
  <sheetFormatPr defaultRowHeight="13.9" x14ac:dyDescent="0.4"/>
  <cols>
    <col min="1" max="1" width="14.1328125" customWidth="1"/>
    <col min="2" max="2" width="12.73046875" customWidth="1"/>
  </cols>
  <sheetData>
    <row r="1" spans="1:3" ht="17.649999999999999" x14ac:dyDescent="0.4">
      <c r="A1" s="65" t="s">
        <v>184</v>
      </c>
      <c r="B1" s="65"/>
      <c r="C1" s="65"/>
    </row>
    <row r="2" spans="1:3" x14ac:dyDescent="0.35">
      <c r="A2" s="87" t="s">
        <v>185</v>
      </c>
      <c r="B2" s="87">
        <v>22</v>
      </c>
      <c r="C2" s="87"/>
    </row>
    <row r="3" spans="1:3" x14ac:dyDescent="0.35">
      <c r="A3" s="87" t="s">
        <v>186</v>
      </c>
      <c r="B3" s="87">
        <v>-15</v>
      </c>
      <c r="C3" s="87"/>
    </row>
    <row r="4" spans="1:3" x14ac:dyDescent="0.35">
      <c r="A4" s="87"/>
      <c r="B4" s="87"/>
      <c r="C4" s="87"/>
    </row>
    <row r="5" spans="1:3" x14ac:dyDescent="0.35">
      <c r="A5" s="87" t="s">
        <v>187</v>
      </c>
      <c r="B5" s="87">
        <v>20</v>
      </c>
      <c r="C5" s="87"/>
    </row>
    <row r="6" spans="1:3" x14ac:dyDescent="0.35">
      <c r="A6" s="94" t="s">
        <v>188</v>
      </c>
      <c r="B6" s="94" t="b">
        <f>B5&lt;=B2</f>
        <v>1</v>
      </c>
      <c r="C6" s="87" t="str">
        <f ca="1">_xlfn.FORMULATEXT(B6)</f>
        <v>=B5&lt;=B2</v>
      </c>
    </row>
    <row r="7" spans="1:3" x14ac:dyDescent="0.35">
      <c r="A7" s="94" t="s">
        <v>189</v>
      </c>
      <c r="B7" s="94" t="b">
        <f>B5&gt;B3</f>
        <v>1</v>
      </c>
      <c r="C7" s="87" t="str">
        <f t="shared" ref="C7:C9" ca="1" si="0">_xlfn.FORMULATEXT(B7)</f>
        <v>=B5&gt;B3</v>
      </c>
    </row>
    <row r="8" spans="1:3" x14ac:dyDescent="0.35">
      <c r="A8" s="87"/>
      <c r="B8" s="87"/>
      <c r="C8" s="87"/>
    </row>
    <row r="9" spans="1:3" x14ac:dyDescent="0.35">
      <c r="A9" s="94" t="s">
        <v>190</v>
      </c>
      <c r="B9" s="94">
        <f>B6*B7</f>
        <v>1</v>
      </c>
      <c r="C9" s="87" t="str">
        <f t="shared" ca="1" si="0"/>
        <v>=B6*B7</v>
      </c>
    </row>
  </sheetData>
  <mergeCells count="1">
    <mergeCell ref="A1:C1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532-8DF4-4AD2-829F-C8C632688032}">
  <dimension ref="A1:H27"/>
  <sheetViews>
    <sheetView workbookViewId="0">
      <selection activeCell="I20" sqref="I20"/>
    </sheetView>
  </sheetViews>
  <sheetFormatPr defaultRowHeight="13.9" x14ac:dyDescent="0.4"/>
  <cols>
    <col min="6" max="6" width="28.3984375" customWidth="1"/>
  </cols>
  <sheetData>
    <row r="1" spans="1:8" ht="17.649999999999999" x14ac:dyDescent="0.5">
      <c r="A1" s="106" t="s">
        <v>191</v>
      </c>
      <c r="B1" s="106"/>
      <c r="C1" s="106"/>
      <c r="D1" s="106"/>
      <c r="E1" s="106"/>
      <c r="F1" s="106"/>
      <c r="G1" s="106"/>
      <c r="H1" s="106"/>
    </row>
    <row r="2" spans="1:8" ht="39.4" x14ac:dyDescent="0.35">
      <c r="A2" s="86" t="s">
        <v>50</v>
      </c>
      <c r="B2" s="86" t="s">
        <v>192</v>
      </c>
      <c r="C2" s="86" t="s">
        <v>80</v>
      </c>
      <c r="D2" s="87"/>
      <c r="E2" s="87"/>
      <c r="F2" s="87"/>
      <c r="G2" s="87"/>
      <c r="H2" s="87"/>
    </row>
    <row r="3" spans="1:8" x14ac:dyDescent="0.35">
      <c r="A3" s="133">
        <v>38359</v>
      </c>
      <c r="B3" s="87">
        <v>31.2</v>
      </c>
      <c r="C3" s="87"/>
      <c r="D3" s="87"/>
      <c r="E3" s="87"/>
      <c r="F3" s="87" t="s">
        <v>193</v>
      </c>
      <c r="G3" s="87">
        <f>COUNT(C4:C27)</f>
        <v>24</v>
      </c>
      <c r="H3" s="87" t="str">
        <f ca="1">_xlfn.FORMULATEXT(G3)</f>
        <v>=COUNT(C4:C27)</v>
      </c>
    </row>
    <row r="4" spans="1:8" x14ac:dyDescent="0.4">
      <c r="A4" s="133">
        <v>38384</v>
      </c>
      <c r="B4" s="87">
        <v>31.65</v>
      </c>
      <c r="C4" s="89">
        <f>LN(B4/B3)</f>
        <v>1.4320053774748471E-2</v>
      </c>
      <c r="D4" s="87" t="str">
        <f ca="1">_xlfn.FORMULATEXT(C4)</f>
        <v>=LN(B4/B3)</v>
      </c>
      <c r="E4" s="87"/>
      <c r="F4" s="87" t="s">
        <v>194</v>
      </c>
      <c r="G4" s="134">
        <f>MAX(C4:C27)</f>
        <v>8.0198726084025215E-2</v>
      </c>
      <c r="H4" s="87" t="str">
        <f t="shared" ref="H4:H16" ca="1" si="0">_xlfn.FORMULATEXT(G4)</f>
        <v>=MAX(C4:C27)</v>
      </c>
    </row>
    <row r="5" spans="1:8" x14ac:dyDescent="0.4">
      <c r="A5" s="133">
        <v>38412</v>
      </c>
      <c r="B5" s="87">
        <v>33.06</v>
      </c>
      <c r="C5" s="89">
        <f t="shared" ref="C5:C27" si="1">LN(B5/B4)</f>
        <v>4.3585943802693046E-2</v>
      </c>
      <c r="D5" s="87"/>
      <c r="E5" s="87"/>
      <c r="F5" s="87" t="s">
        <v>195</v>
      </c>
      <c r="G5" s="134">
        <f>MIN(C4:C27)</f>
        <v>-8.0240095574298967E-2</v>
      </c>
      <c r="H5" s="87" t="str">
        <f t="shared" ca="1" si="0"/>
        <v>=MIN(C4:C27)</v>
      </c>
    </row>
    <row r="6" spans="1:8" x14ac:dyDescent="0.4">
      <c r="A6" s="133">
        <v>38443</v>
      </c>
      <c r="B6" s="87">
        <v>31.03</v>
      </c>
      <c r="C6" s="89">
        <f t="shared" si="1"/>
        <v>-6.3369613932589372E-2</v>
      </c>
      <c r="D6" s="87"/>
      <c r="E6" s="87"/>
      <c r="F6" s="87"/>
      <c r="G6" s="87"/>
      <c r="H6" s="87"/>
    </row>
    <row r="7" spans="1:8" x14ac:dyDescent="0.4">
      <c r="A7" s="133">
        <v>38474</v>
      </c>
      <c r="B7" s="87">
        <v>33.4</v>
      </c>
      <c r="C7" s="89">
        <f t="shared" si="1"/>
        <v>7.3601421522365901E-2</v>
      </c>
      <c r="D7" s="87"/>
      <c r="E7" s="87"/>
      <c r="F7" s="87"/>
      <c r="G7" s="87"/>
      <c r="H7" s="87"/>
    </row>
    <row r="8" spans="1:8" x14ac:dyDescent="0.4">
      <c r="A8" s="133">
        <v>38504</v>
      </c>
      <c r="B8" s="87">
        <v>33.78</v>
      </c>
      <c r="C8" s="89">
        <f t="shared" si="1"/>
        <v>1.1313011396999251E-2</v>
      </c>
      <c r="D8" s="87"/>
      <c r="E8" s="87"/>
      <c r="F8" s="87" t="s">
        <v>196</v>
      </c>
      <c r="G8" s="123">
        <v>0.05</v>
      </c>
      <c r="H8" s="87"/>
    </row>
    <row r="9" spans="1:8" x14ac:dyDescent="0.4">
      <c r="A9" s="133">
        <v>38534</v>
      </c>
      <c r="B9" s="87">
        <v>33.909999999999997</v>
      </c>
      <c r="C9" s="89">
        <f t="shared" si="1"/>
        <v>3.8410447578930799E-3</v>
      </c>
      <c r="D9" s="87"/>
      <c r="E9" s="87"/>
      <c r="F9" s="87" t="s">
        <v>197</v>
      </c>
      <c r="G9" s="123">
        <v>-0.02</v>
      </c>
      <c r="H9" s="87"/>
    </row>
    <row r="10" spans="1:8" x14ac:dyDescent="0.4">
      <c r="A10" s="133">
        <v>38565</v>
      </c>
      <c r="B10" s="87">
        <v>31.3</v>
      </c>
      <c r="C10" s="89">
        <f t="shared" si="1"/>
        <v>-8.0091858591439566E-2</v>
      </c>
      <c r="D10" s="87"/>
      <c r="E10" s="87"/>
      <c r="F10" s="87"/>
      <c r="G10" s="87"/>
      <c r="H10" s="87"/>
    </row>
    <row r="11" spans="1:8" x14ac:dyDescent="0.4">
      <c r="A11" s="133">
        <v>38596</v>
      </c>
      <c r="B11" s="87">
        <v>31.25</v>
      </c>
      <c r="C11" s="89">
        <f t="shared" si="1"/>
        <v>-1.5987213636971041E-3</v>
      </c>
      <c r="D11" s="87"/>
      <c r="E11" s="87"/>
      <c r="F11" s="87" t="s">
        <v>198</v>
      </c>
      <c r="G11" s="87">
        <f>COUNTIF(C4:C27,"&lt;"&amp;G8)</f>
        <v>16</v>
      </c>
      <c r="H11" s="87" t="str">
        <f t="shared" ca="1" si="0"/>
        <v>=COUNTIF(C4:C27,"&lt;"&amp;G8)</v>
      </c>
    </row>
    <row r="12" spans="1:8" x14ac:dyDescent="0.4">
      <c r="A12" s="133">
        <v>38628</v>
      </c>
      <c r="B12" s="87">
        <v>29.58</v>
      </c>
      <c r="C12" s="89">
        <f t="shared" si="1"/>
        <v>-5.492091889975681E-2</v>
      </c>
      <c r="D12" s="87"/>
      <c r="E12" s="87"/>
      <c r="F12" s="87" t="s">
        <v>199</v>
      </c>
      <c r="G12" s="87">
        <f>COUNTIF(C4:C27,"&gt;"&amp;G9)</f>
        <v>19</v>
      </c>
      <c r="H12" s="87" t="str">
        <f t="shared" ca="1" si="0"/>
        <v>=COUNTIF(C4:C27,"&gt;"&amp;G9)</v>
      </c>
    </row>
    <row r="13" spans="1:8" x14ac:dyDescent="0.4">
      <c r="A13" s="133">
        <v>38657</v>
      </c>
      <c r="B13" s="87">
        <v>32.049999999999997</v>
      </c>
      <c r="C13" s="89">
        <f t="shared" si="1"/>
        <v>8.0198726084025215E-2</v>
      </c>
      <c r="D13" s="87"/>
      <c r="E13" s="87"/>
      <c r="F13" s="87"/>
      <c r="G13" s="87"/>
      <c r="H13" s="87"/>
    </row>
    <row r="14" spans="1:8" ht="25.9" x14ac:dyDescent="0.4">
      <c r="A14" s="133">
        <v>38687</v>
      </c>
      <c r="B14" s="87">
        <v>33.270000000000003</v>
      </c>
      <c r="C14" s="89">
        <f t="shared" si="1"/>
        <v>3.7358906663706483E-2</v>
      </c>
      <c r="D14" s="87"/>
      <c r="E14" s="87"/>
      <c r="F14" s="135" t="s">
        <v>200</v>
      </c>
      <c r="G14" s="94" cm="1">
        <f t="array" ref="G14">SUMPRODUCT((C4:C27&gt;G9)*(C4:C27&lt;G8),(C4:C27&gt;G9)*(C4:C27&lt;G8))</f>
        <v>11</v>
      </c>
      <c r="H14" s="87" t="str">
        <f t="shared" ca="1" si="0"/>
        <v>=SUMPRODUCT((C4:C27&gt;G9)*(C4:C27&lt;G8),(C4:C27&gt;G9)*(C4:C27&lt;G8))</v>
      </c>
    </row>
    <row r="15" spans="1:8" x14ac:dyDescent="0.4">
      <c r="A15" s="133">
        <v>38720</v>
      </c>
      <c r="B15" s="87">
        <v>33.11</v>
      </c>
      <c r="C15" s="89">
        <f t="shared" si="1"/>
        <v>-4.820738471230563E-3</v>
      </c>
      <c r="D15" s="87"/>
      <c r="E15" s="87"/>
      <c r="F15" s="87"/>
      <c r="G15" s="87"/>
      <c r="H15" s="87"/>
    </row>
    <row r="16" spans="1:8" ht="25.9" x14ac:dyDescent="0.4">
      <c r="A16" s="133">
        <v>38749</v>
      </c>
      <c r="B16" s="87">
        <v>33.979999999999997</v>
      </c>
      <c r="C16" s="89">
        <f t="shared" si="1"/>
        <v>2.593676468463104E-2</v>
      </c>
      <c r="D16" s="87"/>
      <c r="E16" s="87"/>
      <c r="F16" s="135" t="s">
        <v>201</v>
      </c>
      <c r="G16" s="136" cm="1">
        <f t="array" ref="G16">SUMPRODUCT((C4:C27&gt;G9)*(C4:C27&lt;G8),C4:C27)/G14</f>
        <v>1.3648083837926922E-2</v>
      </c>
      <c r="H16" s="87" t="str">
        <f t="shared" ca="1" si="0"/>
        <v>=SUMPRODUCT((C4:C27&gt;G9)*(C4:C27&lt;G8),C4:C27)/G14</v>
      </c>
    </row>
    <row r="17" spans="1:8" x14ac:dyDescent="0.4">
      <c r="A17" s="133">
        <v>38777</v>
      </c>
      <c r="B17" s="87">
        <v>34.14</v>
      </c>
      <c r="C17" s="89">
        <f t="shared" si="1"/>
        <v>4.6976011225086578E-3</v>
      </c>
      <c r="D17" s="87"/>
      <c r="E17" s="87"/>
      <c r="F17" s="87"/>
      <c r="G17" s="87"/>
      <c r="H17" s="87"/>
    </row>
    <row r="18" spans="1:8" x14ac:dyDescent="0.4">
      <c r="A18" s="133">
        <v>38810</v>
      </c>
      <c r="B18" s="87">
        <v>36.36</v>
      </c>
      <c r="C18" s="89">
        <f t="shared" si="1"/>
        <v>6.2999551942983401E-2</v>
      </c>
      <c r="D18" s="87"/>
      <c r="E18" s="87"/>
      <c r="F18" s="87"/>
      <c r="G18" s="87"/>
      <c r="H18" s="87"/>
    </row>
    <row r="19" spans="1:8" x14ac:dyDescent="0.4">
      <c r="A19" s="133">
        <v>38838</v>
      </c>
      <c r="B19" s="87">
        <v>35.99</v>
      </c>
      <c r="C19" s="89">
        <f t="shared" si="1"/>
        <v>-1.0228147218338699E-2</v>
      </c>
      <c r="D19" s="87"/>
      <c r="E19" s="87"/>
      <c r="F19" s="87"/>
      <c r="G19" s="87"/>
      <c r="H19" s="87"/>
    </row>
    <row r="20" spans="1:8" x14ac:dyDescent="0.4">
      <c r="A20" s="133">
        <v>38869</v>
      </c>
      <c r="B20" s="87">
        <v>38</v>
      </c>
      <c r="C20" s="89">
        <f t="shared" si="1"/>
        <v>5.4345037635446403E-2</v>
      </c>
      <c r="D20" s="87"/>
      <c r="E20" s="87"/>
      <c r="F20" s="87"/>
      <c r="G20" s="87"/>
      <c r="H20" s="87"/>
    </row>
    <row r="21" spans="1:8" x14ac:dyDescent="0.4">
      <c r="A21" s="133">
        <v>38901</v>
      </c>
      <c r="B21" s="87">
        <v>35.07</v>
      </c>
      <c r="C21" s="89">
        <f t="shared" si="1"/>
        <v>-8.0240095574298967E-2</v>
      </c>
      <c r="D21" s="87"/>
      <c r="E21" s="87"/>
      <c r="F21" s="87"/>
      <c r="G21" s="87"/>
      <c r="H21" s="87"/>
    </row>
    <row r="22" spans="1:8" x14ac:dyDescent="0.4">
      <c r="A22" s="133">
        <v>38930</v>
      </c>
      <c r="B22" s="87">
        <v>37.61</v>
      </c>
      <c r="C22" s="89">
        <f t="shared" si="1"/>
        <v>6.9923908330158185E-2</v>
      </c>
      <c r="D22" s="87"/>
      <c r="E22" s="87"/>
      <c r="F22" s="87"/>
      <c r="G22" s="87"/>
      <c r="H22" s="87"/>
    </row>
    <row r="23" spans="1:8" x14ac:dyDescent="0.4">
      <c r="A23" s="133">
        <v>38961</v>
      </c>
      <c r="B23" s="87">
        <v>38.590000000000003</v>
      </c>
      <c r="C23" s="89">
        <f t="shared" si="1"/>
        <v>2.5723203067282444E-2</v>
      </c>
      <c r="D23" s="87"/>
      <c r="E23" s="87"/>
      <c r="F23" s="87"/>
      <c r="G23" s="87"/>
      <c r="H23" s="87"/>
    </row>
    <row r="24" spans="1:8" x14ac:dyDescent="0.4">
      <c r="A24" s="133">
        <v>38992</v>
      </c>
      <c r="B24" s="87">
        <v>41.71</v>
      </c>
      <c r="C24" s="89">
        <f t="shared" si="1"/>
        <v>7.7747732659326454E-2</v>
      </c>
      <c r="D24" s="87"/>
      <c r="E24" s="87"/>
      <c r="F24" s="87"/>
      <c r="G24" s="87"/>
      <c r="H24" s="87"/>
    </row>
    <row r="25" spans="1:8" x14ac:dyDescent="0.4">
      <c r="A25" s="133">
        <v>39022</v>
      </c>
      <c r="B25" s="87">
        <v>45.09</v>
      </c>
      <c r="C25" s="89">
        <f t="shared" si="1"/>
        <v>7.7919584224138999E-2</v>
      </c>
      <c r="D25" s="87"/>
      <c r="E25" s="87"/>
      <c r="F25" s="87"/>
      <c r="G25" s="87"/>
      <c r="H25" s="87"/>
    </row>
    <row r="26" spans="1:8" x14ac:dyDescent="0.4">
      <c r="A26" s="133">
        <v>39052</v>
      </c>
      <c r="B26" s="87">
        <v>47.72</v>
      </c>
      <c r="C26" s="89">
        <f t="shared" si="1"/>
        <v>5.6690104796722401E-2</v>
      </c>
      <c r="D26" s="87"/>
      <c r="E26" s="87"/>
      <c r="F26" s="87"/>
      <c r="G26" s="87"/>
      <c r="H26" s="87"/>
    </row>
    <row r="27" spans="1:8" x14ac:dyDescent="0.4">
      <c r="A27" s="133">
        <v>39085</v>
      </c>
      <c r="B27" s="87">
        <v>45.1</v>
      </c>
      <c r="C27" s="89">
        <f t="shared" si="1"/>
        <v>-5.6468350721082673E-2</v>
      </c>
      <c r="D27" s="87"/>
      <c r="E27" s="87"/>
      <c r="F27" s="87"/>
      <c r="G27" s="87"/>
      <c r="H27" s="87"/>
    </row>
  </sheetData>
  <mergeCells count="1">
    <mergeCell ref="A1:H1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6FAA-D7AD-4BE9-B1FF-F6714AADA6F9}">
  <dimension ref="A1:H32"/>
  <sheetViews>
    <sheetView workbookViewId="0">
      <selection activeCell="M18" sqref="M18"/>
    </sheetView>
  </sheetViews>
  <sheetFormatPr defaultRowHeight="13.9" x14ac:dyDescent="0.4"/>
  <cols>
    <col min="1" max="1" width="14.1328125" customWidth="1"/>
  </cols>
  <sheetData>
    <row r="1" spans="1:8" ht="17.649999999999999" x14ac:dyDescent="0.5">
      <c r="A1" s="106" t="s">
        <v>202</v>
      </c>
      <c r="B1" s="106"/>
      <c r="C1" s="106"/>
      <c r="D1" s="106"/>
      <c r="E1" s="106"/>
      <c r="F1" s="106"/>
      <c r="G1" s="106"/>
      <c r="H1" s="106"/>
    </row>
    <row r="2" spans="1:8" x14ac:dyDescent="0.4">
      <c r="A2" s="93" t="s">
        <v>203</v>
      </c>
      <c r="B2" s="87"/>
      <c r="C2" s="87"/>
      <c r="D2" s="87"/>
      <c r="E2" s="87"/>
      <c r="F2" s="87"/>
      <c r="G2" s="87"/>
      <c r="H2" s="87"/>
    </row>
    <row r="3" spans="1:8" x14ac:dyDescent="0.35">
      <c r="A3" s="137" t="s">
        <v>204</v>
      </c>
      <c r="B3" s="87">
        <v>3</v>
      </c>
      <c r="C3" s="87"/>
      <c r="D3" s="87"/>
      <c r="E3" s="87"/>
      <c r="F3" s="87"/>
      <c r="G3" s="87"/>
      <c r="H3" s="87"/>
    </row>
    <row r="4" spans="1:8" x14ac:dyDescent="0.35">
      <c r="A4" s="137" t="s">
        <v>205</v>
      </c>
      <c r="B4" s="87">
        <v>2</v>
      </c>
      <c r="C4" s="87"/>
      <c r="D4" s="87"/>
      <c r="E4" s="87"/>
      <c r="F4" s="87"/>
      <c r="G4" s="87"/>
      <c r="H4" s="87"/>
    </row>
    <row r="5" spans="1:8" x14ac:dyDescent="0.4">
      <c r="A5" s="138" t="s">
        <v>206</v>
      </c>
      <c r="B5" s="87"/>
      <c r="C5" s="87"/>
      <c r="D5" s="87"/>
      <c r="E5" s="87"/>
      <c r="F5" s="87"/>
      <c r="G5" s="87"/>
      <c r="H5" s="87"/>
    </row>
    <row r="6" spans="1:8" x14ac:dyDescent="0.35">
      <c r="A6" s="137" t="s">
        <v>207</v>
      </c>
      <c r="B6" s="87">
        <v>4</v>
      </c>
      <c r="C6" s="87"/>
      <c r="D6" s="87"/>
      <c r="E6" s="87"/>
      <c r="F6" s="87"/>
      <c r="G6" s="87"/>
      <c r="H6" s="87"/>
    </row>
    <row r="7" spans="1:8" x14ac:dyDescent="0.35">
      <c r="A7" s="137" t="s">
        <v>208</v>
      </c>
      <c r="B7" s="87">
        <v>5</v>
      </c>
      <c r="C7" s="87"/>
      <c r="D7" s="87"/>
      <c r="E7" s="87"/>
      <c r="F7" s="87"/>
      <c r="G7" s="87"/>
      <c r="H7" s="87"/>
    </row>
    <row r="8" spans="1:8" x14ac:dyDescent="0.35">
      <c r="A8" s="139" t="s">
        <v>209</v>
      </c>
      <c r="B8" s="94">
        <f ca="1">SUM(OFFSET(A11:H31,B3,B4,B6,B7))</f>
        <v>811</v>
      </c>
      <c r="C8" s="87"/>
      <c r="D8" s="87"/>
      <c r="E8" s="87"/>
      <c r="F8" s="87"/>
      <c r="G8" s="87"/>
      <c r="H8" s="87"/>
    </row>
    <row r="9" spans="1:8" x14ac:dyDescent="0.4">
      <c r="A9" s="140" t="s">
        <v>210</v>
      </c>
      <c r="B9" s="94">
        <f>SUM(C14:G17)</f>
        <v>811</v>
      </c>
      <c r="C9" s="87"/>
      <c r="D9" s="93"/>
      <c r="E9" s="93"/>
      <c r="F9" s="93"/>
      <c r="G9" s="93"/>
      <c r="H9" s="93"/>
    </row>
    <row r="10" spans="1:8" x14ac:dyDescent="0.35">
      <c r="A10" s="137"/>
      <c r="B10" s="87"/>
      <c r="C10" s="87"/>
      <c r="D10" s="87"/>
      <c r="E10" s="87"/>
      <c r="F10" s="87"/>
      <c r="G10" s="87"/>
      <c r="H10" s="87"/>
    </row>
    <row r="11" spans="1:8" x14ac:dyDescent="0.35">
      <c r="A11" s="87">
        <v>89</v>
      </c>
      <c r="B11" s="87">
        <v>34</v>
      </c>
      <c r="C11" s="87">
        <v>72</v>
      </c>
      <c r="D11" s="87">
        <v>42</v>
      </c>
      <c r="E11" s="87">
        <v>41</v>
      </c>
      <c r="F11" s="87">
        <v>89</v>
      </c>
      <c r="G11" s="87">
        <v>75</v>
      </c>
      <c r="H11" s="87">
        <v>41</v>
      </c>
    </row>
    <row r="12" spans="1:8" x14ac:dyDescent="0.35">
      <c r="A12" s="87">
        <v>33</v>
      </c>
      <c r="B12" s="87">
        <v>6</v>
      </c>
      <c r="C12" s="87">
        <v>49</v>
      </c>
      <c r="D12" s="87">
        <v>7</v>
      </c>
      <c r="E12" s="87">
        <v>62</v>
      </c>
      <c r="F12" s="87">
        <v>50</v>
      </c>
      <c r="G12" s="87">
        <v>38</v>
      </c>
      <c r="H12" s="87">
        <v>17</v>
      </c>
    </row>
    <row r="13" spans="1:8" x14ac:dyDescent="0.35">
      <c r="A13" s="87">
        <v>71</v>
      </c>
      <c r="B13" s="87">
        <v>69</v>
      </c>
      <c r="C13" s="87">
        <v>42</v>
      </c>
      <c r="D13" s="87">
        <v>68</v>
      </c>
      <c r="E13" s="87">
        <v>39</v>
      </c>
      <c r="F13" s="87">
        <v>75</v>
      </c>
      <c r="G13" s="87">
        <v>32</v>
      </c>
      <c r="H13" s="87">
        <v>77</v>
      </c>
    </row>
    <row r="14" spans="1:8" x14ac:dyDescent="0.35">
      <c r="A14" s="87">
        <v>1</v>
      </c>
      <c r="B14" s="87">
        <v>69</v>
      </c>
      <c r="C14" s="94">
        <v>8</v>
      </c>
      <c r="D14" s="94">
        <v>79</v>
      </c>
      <c r="E14" s="94">
        <v>40</v>
      </c>
      <c r="F14" s="94">
        <v>8</v>
      </c>
      <c r="G14" s="94">
        <v>67</v>
      </c>
      <c r="H14" s="87">
        <v>46</v>
      </c>
    </row>
    <row r="15" spans="1:8" x14ac:dyDescent="0.35">
      <c r="A15" s="87">
        <v>70</v>
      </c>
      <c r="B15" s="87">
        <v>12</v>
      </c>
      <c r="C15" s="94">
        <v>44</v>
      </c>
      <c r="D15" s="94">
        <v>48</v>
      </c>
      <c r="E15" s="94">
        <v>88</v>
      </c>
      <c r="F15" s="94">
        <v>27</v>
      </c>
      <c r="G15" s="94">
        <v>38</v>
      </c>
      <c r="H15" s="87">
        <v>51</v>
      </c>
    </row>
    <row r="16" spans="1:8" x14ac:dyDescent="0.35">
      <c r="A16" s="87">
        <v>85</v>
      </c>
      <c r="B16" s="87">
        <v>0</v>
      </c>
      <c r="C16" s="94">
        <v>23</v>
      </c>
      <c r="D16" s="94">
        <v>35</v>
      </c>
      <c r="E16" s="94">
        <v>83</v>
      </c>
      <c r="F16" s="94">
        <v>30</v>
      </c>
      <c r="G16" s="94">
        <v>17</v>
      </c>
      <c r="H16" s="87">
        <v>52</v>
      </c>
    </row>
    <row r="17" spans="1:8" x14ac:dyDescent="0.35">
      <c r="A17" s="87">
        <v>30</v>
      </c>
      <c r="B17" s="87">
        <v>50</v>
      </c>
      <c r="C17" s="94">
        <v>16</v>
      </c>
      <c r="D17" s="94">
        <v>28</v>
      </c>
      <c r="E17" s="94">
        <v>73</v>
      </c>
      <c r="F17" s="94">
        <v>4</v>
      </c>
      <c r="G17" s="94">
        <v>55</v>
      </c>
      <c r="H17" s="87">
        <v>68</v>
      </c>
    </row>
    <row r="18" spans="1:8" x14ac:dyDescent="0.35">
      <c r="A18" s="87">
        <v>35</v>
      </c>
      <c r="B18" s="87">
        <v>56</v>
      </c>
      <c r="C18" s="87">
        <v>31</v>
      </c>
      <c r="D18" s="87">
        <v>24</v>
      </c>
      <c r="E18" s="87">
        <v>15</v>
      </c>
      <c r="F18" s="87">
        <v>47</v>
      </c>
      <c r="G18" s="87">
        <v>89</v>
      </c>
      <c r="H18" s="87">
        <v>88</v>
      </c>
    </row>
    <row r="19" spans="1:8" x14ac:dyDescent="0.35">
      <c r="A19" s="87">
        <v>99</v>
      </c>
      <c r="B19" s="87">
        <v>31</v>
      </c>
      <c r="C19" s="87">
        <v>55</v>
      </c>
      <c r="D19" s="87">
        <v>60</v>
      </c>
      <c r="E19" s="87">
        <v>45</v>
      </c>
      <c r="F19" s="87">
        <v>24</v>
      </c>
      <c r="G19" s="87">
        <v>28</v>
      </c>
      <c r="H19" s="87">
        <v>3</v>
      </c>
    </row>
    <row r="20" spans="1:8" x14ac:dyDescent="0.35">
      <c r="A20" s="87">
        <v>93</v>
      </c>
      <c r="B20" s="87">
        <v>72</v>
      </c>
      <c r="C20" s="87">
        <v>7</v>
      </c>
      <c r="D20" s="87">
        <v>75</v>
      </c>
      <c r="E20" s="87">
        <v>90</v>
      </c>
      <c r="F20" s="87">
        <v>81</v>
      </c>
      <c r="G20" s="87">
        <v>52</v>
      </c>
      <c r="H20" s="87">
        <v>71</v>
      </c>
    </row>
    <row r="21" spans="1:8" x14ac:dyDescent="0.35">
      <c r="A21" s="87">
        <v>62</v>
      </c>
      <c r="B21" s="87">
        <v>56</v>
      </c>
      <c r="C21" s="87">
        <v>55</v>
      </c>
      <c r="D21" s="87">
        <v>19</v>
      </c>
      <c r="E21" s="87">
        <v>73</v>
      </c>
      <c r="F21" s="87">
        <v>81</v>
      </c>
      <c r="G21" s="87">
        <v>33</v>
      </c>
      <c r="H21" s="87">
        <v>76</v>
      </c>
    </row>
    <row r="22" spans="1:8" x14ac:dyDescent="0.35">
      <c r="A22" s="87">
        <v>87</v>
      </c>
      <c r="B22" s="87">
        <v>27</v>
      </c>
      <c r="C22" s="87">
        <v>80</v>
      </c>
      <c r="D22" s="87">
        <v>38</v>
      </c>
      <c r="E22" s="87">
        <v>65</v>
      </c>
      <c r="F22" s="87">
        <v>61</v>
      </c>
      <c r="G22" s="87">
        <v>38</v>
      </c>
      <c r="H22" s="87">
        <v>68</v>
      </c>
    </row>
    <row r="23" spans="1:8" x14ac:dyDescent="0.35">
      <c r="A23" s="87">
        <v>10</v>
      </c>
      <c r="B23" s="87">
        <v>59</v>
      </c>
      <c r="C23" s="87">
        <v>27</v>
      </c>
      <c r="D23" s="87">
        <v>81</v>
      </c>
      <c r="E23" s="87">
        <v>6</v>
      </c>
      <c r="F23" s="87">
        <v>83</v>
      </c>
      <c r="G23" s="87">
        <v>51</v>
      </c>
      <c r="H23" s="87">
        <v>1</v>
      </c>
    </row>
    <row r="24" spans="1:8" x14ac:dyDescent="0.35">
      <c r="A24" s="87">
        <v>70</v>
      </c>
      <c r="B24" s="87">
        <v>88</v>
      </c>
      <c r="C24" s="87">
        <v>44</v>
      </c>
      <c r="D24" s="87">
        <v>35</v>
      </c>
      <c r="E24" s="87">
        <v>70</v>
      </c>
      <c r="F24" s="87">
        <v>35</v>
      </c>
      <c r="G24" s="87">
        <v>0</v>
      </c>
      <c r="H24" s="87">
        <v>82</v>
      </c>
    </row>
    <row r="25" spans="1:8" x14ac:dyDescent="0.35">
      <c r="A25" s="87">
        <v>98</v>
      </c>
      <c r="B25" s="87">
        <v>45</v>
      </c>
      <c r="C25" s="87">
        <v>17</v>
      </c>
      <c r="D25" s="87">
        <v>45</v>
      </c>
      <c r="E25" s="87">
        <v>89</v>
      </c>
      <c r="F25" s="87">
        <v>19</v>
      </c>
      <c r="G25" s="87">
        <v>58</v>
      </c>
      <c r="H25" s="87">
        <v>42</v>
      </c>
    </row>
    <row r="26" spans="1:8" x14ac:dyDescent="0.35">
      <c r="A26" s="87">
        <v>83</v>
      </c>
      <c r="B26" s="87">
        <v>75</v>
      </c>
      <c r="C26" s="87">
        <v>21</v>
      </c>
      <c r="D26" s="87">
        <v>13</v>
      </c>
      <c r="E26" s="87">
        <v>80</v>
      </c>
      <c r="F26" s="87">
        <v>9</v>
      </c>
      <c r="G26" s="87">
        <v>18</v>
      </c>
      <c r="H26" s="87">
        <v>64</v>
      </c>
    </row>
    <row r="27" spans="1:8" x14ac:dyDescent="0.35">
      <c r="A27" s="87">
        <v>32</v>
      </c>
      <c r="B27" s="87">
        <v>23</v>
      </c>
      <c r="C27" s="87">
        <v>4</v>
      </c>
      <c r="D27" s="87">
        <v>86</v>
      </c>
      <c r="E27" s="87">
        <v>88</v>
      </c>
      <c r="F27" s="87">
        <v>52</v>
      </c>
      <c r="G27" s="87">
        <v>52</v>
      </c>
      <c r="H27" s="87">
        <v>69</v>
      </c>
    </row>
    <row r="28" spans="1:8" x14ac:dyDescent="0.35">
      <c r="A28" s="87">
        <v>76</v>
      </c>
      <c r="B28" s="87">
        <v>61</v>
      </c>
      <c r="C28" s="87">
        <v>72</v>
      </c>
      <c r="D28" s="87">
        <v>28</v>
      </c>
      <c r="E28" s="87">
        <v>83</v>
      </c>
      <c r="F28" s="87">
        <v>1</v>
      </c>
      <c r="G28" s="87">
        <v>32</v>
      </c>
      <c r="H28" s="87">
        <v>38</v>
      </c>
    </row>
    <row r="29" spans="1:8" x14ac:dyDescent="0.35">
      <c r="A29" s="87">
        <v>64</v>
      </c>
      <c r="B29" s="87">
        <v>87</v>
      </c>
      <c r="C29" s="87">
        <v>32</v>
      </c>
      <c r="D29" s="87">
        <v>67</v>
      </c>
      <c r="E29" s="87">
        <v>50</v>
      </c>
      <c r="F29" s="87">
        <v>73</v>
      </c>
      <c r="G29" s="87">
        <v>19</v>
      </c>
      <c r="H29" s="87">
        <v>83</v>
      </c>
    </row>
    <row r="30" spans="1:8" x14ac:dyDescent="0.35">
      <c r="A30" s="87">
        <v>54</v>
      </c>
      <c r="B30" s="87">
        <v>55</v>
      </c>
      <c r="C30" s="87">
        <v>57</v>
      </c>
      <c r="D30" s="87">
        <v>64</v>
      </c>
      <c r="E30" s="87">
        <v>80</v>
      </c>
      <c r="F30" s="87">
        <v>29</v>
      </c>
      <c r="G30" s="87">
        <v>17</v>
      </c>
      <c r="H30" s="87">
        <v>92</v>
      </c>
    </row>
    <row r="31" spans="1:8" x14ac:dyDescent="0.35">
      <c r="A31" s="87">
        <v>12</v>
      </c>
      <c r="B31" s="87">
        <v>95</v>
      </c>
      <c r="C31" s="87">
        <v>66</v>
      </c>
      <c r="D31" s="87">
        <v>59</v>
      </c>
      <c r="E31" s="87">
        <v>48</v>
      </c>
      <c r="F31" s="87">
        <v>78</v>
      </c>
      <c r="G31" s="87">
        <v>87</v>
      </c>
      <c r="H31" s="87">
        <v>23</v>
      </c>
    </row>
    <row r="32" spans="1:8" x14ac:dyDescent="0.35">
      <c r="A32" s="87"/>
      <c r="B32" s="87"/>
      <c r="C32" s="87"/>
      <c r="D32" s="87"/>
      <c r="E32" s="87"/>
      <c r="F32" s="87"/>
      <c r="G32" s="87"/>
      <c r="H32" s="87"/>
    </row>
  </sheetData>
  <mergeCells count="1">
    <mergeCell ref="A1:H1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46E1-6DE2-4A6D-9E04-0BC5D3ABA21C}">
  <dimension ref="A1:H31"/>
  <sheetViews>
    <sheetView tabSelected="1" workbookViewId="0">
      <selection activeCell="J20" sqref="J20"/>
    </sheetView>
  </sheetViews>
  <sheetFormatPr defaultRowHeight="13.9" x14ac:dyDescent="0.4"/>
  <cols>
    <col min="1" max="1" width="19.46484375" customWidth="1"/>
  </cols>
  <sheetData>
    <row r="1" spans="1:8" ht="17.649999999999999" x14ac:dyDescent="0.4">
      <c r="A1" s="65" t="s">
        <v>211</v>
      </c>
      <c r="B1" s="65"/>
      <c r="C1" s="65"/>
      <c r="D1" s="65"/>
      <c r="E1" s="65"/>
      <c r="F1" s="65"/>
      <c r="G1" s="65"/>
      <c r="H1" s="65"/>
    </row>
    <row r="2" spans="1:8" x14ac:dyDescent="0.4">
      <c r="A2" s="93" t="s">
        <v>203</v>
      </c>
      <c r="B2" s="87"/>
      <c r="C2" s="87"/>
      <c r="D2" s="87"/>
      <c r="E2" s="87"/>
      <c r="F2" s="87"/>
      <c r="G2" s="87"/>
      <c r="H2" s="87"/>
    </row>
    <row r="3" spans="1:8" x14ac:dyDescent="0.35">
      <c r="A3" s="137" t="s">
        <v>204</v>
      </c>
      <c r="B3" s="87">
        <v>-5</v>
      </c>
      <c r="C3" s="87"/>
      <c r="D3" s="87"/>
      <c r="E3" s="87"/>
      <c r="F3" s="87"/>
      <c r="G3" s="87"/>
      <c r="H3" s="87"/>
    </row>
    <row r="4" spans="1:8" x14ac:dyDescent="0.35">
      <c r="A4" s="137" t="s">
        <v>205</v>
      </c>
      <c r="B4" s="87">
        <v>1</v>
      </c>
      <c r="C4" s="87"/>
      <c r="D4" s="87"/>
      <c r="E4" s="87"/>
      <c r="F4" s="87"/>
      <c r="G4" s="87"/>
      <c r="H4" s="87"/>
    </row>
    <row r="5" spans="1:8" x14ac:dyDescent="0.4">
      <c r="A5" s="138" t="s">
        <v>206</v>
      </c>
      <c r="B5" s="87"/>
      <c r="C5" s="87"/>
      <c r="D5" s="87"/>
      <c r="E5" s="87"/>
      <c r="F5" s="87"/>
      <c r="G5" s="87"/>
      <c r="H5" s="87"/>
    </row>
    <row r="6" spans="1:8" x14ac:dyDescent="0.35">
      <c r="A6" s="137" t="s">
        <v>207</v>
      </c>
      <c r="B6" s="87">
        <v>4</v>
      </c>
      <c r="C6" s="87"/>
      <c r="D6" s="87"/>
      <c r="E6" s="87"/>
      <c r="F6" s="87"/>
      <c r="G6" s="87"/>
      <c r="H6" s="87"/>
    </row>
    <row r="7" spans="1:8" x14ac:dyDescent="0.35">
      <c r="A7" s="137" t="s">
        <v>208</v>
      </c>
      <c r="B7" s="87">
        <v>5</v>
      </c>
      <c r="C7" s="87"/>
      <c r="D7" s="87"/>
      <c r="E7" s="87"/>
      <c r="F7" s="87"/>
      <c r="G7" s="87"/>
      <c r="H7" s="87"/>
    </row>
    <row r="8" spans="1:8" x14ac:dyDescent="0.35">
      <c r="A8" s="139" t="s">
        <v>209</v>
      </c>
      <c r="B8" s="94">
        <f ca="1">SUM(OFFSET(B22:H31,B3,B4,B6,B7))</f>
        <v>899</v>
      </c>
      <c r="C8" s="87" t="str">
        <f ca="1">_xlfn.FORMULATEXT(B8)</f>
        <v>=SUM(OFFSET(B22:H31,B3,B4,B6,B7))</v>
      </c>
      <c r="D8" s="87"/>
      <c r="E8" s="87"/>
      <c r="F8" s="87"/>
      <c r="G8" s="87"/>
      <c r="H8" s="87"/>
    </row>
    <row r="9" spans="1:8" x14ac:dyDescent="0.4">
      <c r="A9" s="140" t="s">
        <v>210</v>
      </c>
      <c r="B9" s="94">
        <f>SUM(C17:G20)</f>
        <v>899</v>
      </c>
      <c r="C9" s="87" t="str">
        <f ca="1">_xlfn.FORMULATEXT(B9)</f>
        <v>=SUM(C17:G20)</v>
      </c>
      <c r="D9" s="93"/>
      <c r="E9" s="93"/>
      <c r="F9" s="93"/>
      <c r="G9" s="93"/>
      <c r="H9" s="93"/>
    </row>
    <row r="10" spans="1:8" x14ac:dyDescent="0.35">
      <c r="A10" s="137"/>
      <c r="B10" s="87"/>
      <c r="C10" s="87"/>
      <c r="D10" s="87"/>
      <c r="E10" s="87"/>
      <c r="F10" s="87"/>
      <c r="G10" s="87"/>
      <c r="H10" s="87"/>
    </row>
    <row r="11" spans="1:8" x14ac:dyDescent="0.35">
      <c r="A11" s="87">
        <v>89</v>
      </c>
      <c r="B11" s="87">
        <v>34</v>
      </c>
      <c r="C11" s="87">
        <v>72</v>
      </c>
      <c r="D11" s="87">
        <v>42</v>
      </c>
      <c r="E11" s="87">
        <v>41</v>
      </c>
      <c r="F11" s="87">
        <v>89</v>
      </c>
      <c r="G11" s="87">
        <v>75</v>
      </c>
      <c r="H11" s="87">
        <v>41</v>
      </c>
    </row>
    <row r="12" spans="1:8" x14ac:dyDescent="0.35">
      <c r="A12" s="87">
        <v>33</v>
      </c>
      <c r="B12" s="87">
        <v>6</v>
      </c>
      <c r="C12" s="87">
        <v>49</v>
      </c>
      <c r="D12" s="87">
        <v>7</v>
      </c>
      <c r="E12" s="87">
        <v>62</v>
      </c>
      <c r="F12" s="87">
        <v>50</v>
      </c>
      <c r="G12" s="87">
        <v>38</v>
      </c>
      <c r="H12" s="87">
        <v>17</v>
      </c>
    </row>
    <row r="13" spans="1:8" x14ac:dyDescent="0.35">
      <c r="A13" s="87">
        <v>71</v>
      </c>
      <c r="B13" s="87">
        <v>69</v>
      </c>
      <c r="C13" s="87">
        <v>42</v>
      </c>
      <c r="D13" s="87">
        <v>68</v>
      </c>
      <c r="E13" s="87">
        <v>39</v>
      </c>
      <c r="F13" s="87">
        <v>75</v>
      </c>
      <c r="G13" s="87">
        <v>32</v>
      </c>
      <c r="H13" s="87">
        <v>77</v>
      </c>
    </row>
    <row r="14" spans="1:8" x14ac:dyDescent="0.35">
      <c r="A14" s="87">
        <v>1</v>
      </c>
      <c r="B14" s="87">
        <v>69</v>
      </c>
      <c r="C14" s="87">
        <v>8</v>
      </c>
      <c r="D14" s="87">
        <v>79</v>
      </c>
      <c r="E14" s="87">
        <v>40</v>
      </c>
      <c r="F14" s="87">
        <v>8</v>
      </c>
      <c r="G14" s="87">
        <v>67</v>
      </c>
      <c r="H14" s="87">
        <v>46</v>
      </c>
    </row>
    <row r="15" spans="1:8" x14ac:dyDescent="0.35">
      <c r="A15" s="87">
        <v>70</v>
      </c>
      <c r="B15" s="87">
        <v>12</v>
      </c>
      <c r="C15" s="87">
        <v>44</v>
      </c>
      <c r="D15" s="87">
        <v>48</v>
      </c>
      <c r="E15" s="87">
        <v>88</v>
      </c>
      <c r="F15" s="87">
        <v>27</v>
      </c>
      <c r="G15" s="87">
        <v>38</v>
      </c>
      <c r="H15" s="87">
        <v>51</v>
      </c>
    </row>
    <row r="16" spans="1:8" x14ac:dyDescent="0.35">
      <c r="A16" s="87">
        <v>85</v>
      </c>
      <c r="B16" s="87">
        <v>0</v>
      </c>
      <c r="C16" s="87">
        <v>23</v>
      </c>
      <c r="D16" s="87">
        <v>35</v>
      </c>
      <c r="E16" s="87">
        <v>83</v>
      </c>
      <c r="F16" s="87">
        <v>30</v>
      </c>
      <c r="G16" s="87">
        <v>17</v>
      </c>
      <c r="H16" s="87">
        <v>52</v>
      </c>
    </row>
    <row r="17" spans="1:8" x14ac:dyDescent="0.35">
      <c r="A17" s="87">
        <v>30</v>
      </c>
      <c r="B17" s="87">
        <v>50</v>
      </c>
      <c r="C17" s="94">
        <v>16</v>
      </c>
      <c r="D17" s="94">
        <v>28</v>
      </c>
      <c r="E17" s="94">
        <v>73</v>
      </c>
      <c r="F17" s="94">
        <v>4</v>
      </c>
      <c r="G17" s="94">
        <v>55</v>
      </c>
      <c r="H17" s="87">
        <v>68</v>
      </c>
    </row>
    <row r="18" spans="1:8" x14ac:dyDescent="0.35">
      <c r="A18" s="87">
        <v>35</v>
      </c>
      <c r="B18" s="87">
        <v>56</v>
      </c>
      <c r="C18" s="94">
        <v>31</v>
      </c>
      <c r="D18" s="94">
        <v>24</v>
      </c>
      <c r="E18" s="94">
        <v>15</v>
      </c>
      <c r="F18" s="94">
        <v>47</v>
      </c>
      <c r="G18" s="94">
        <v>89</v>
      </c>
      <c r="H18" s="87">
        <v>88</v>
      </c>
    </row>
    <row r="19" spans="1:8" x14ac:dyDescent="0.35">
      <c r="A19" s="87">
        <v>99</v>
      </c>
      <c r="B19" s="87">
        <v>31</v>
      </c>
      <c r="C19" s="94">
        <v>55</v>
      </c>
      <c r="D19" s="94">
        <v>60</v>
      </c>
      <c r="E19" s="94">
        <v>45</v>
      </c>
      <c r="F19" s="94">
        <v>24</v>
      </c>
      <c r="G19" s="94">
        <v>28</v>
      </c>
      <c r="H19" s="87">
        <v>3</v>
      </c>
    </row>
    <row r="20" spans="1:8" x14ac:dyDescent="0.35">
      <c r="A20" s="87">
        <v>93</v>
      </c>
      <c r="B20" s="87">
        <v>72</v>
      </c>
      <c r="C20" s="94">
        <v>7</v>
      </c>
      <c r="D20" s="94">
        <v>75</v>
      </c>
      <c r="E20" s="94">
        <v>90</v>
      </c>
      <c r="F20" s="94">
        <v>81</v>
      </c>
      <c r="G20" s="94">
        <v>52</v>
      </c>
      <c r="H20" s="87">
        <v>71</v>
      </c>
    </row>
    <row r="21" spans="1:8" ht="14.25" thickBot="1" x14ac:dyDescent="0.4">
      <c r="A21" s="87">
        <v>62</v>
      </c>
      <c r="B21" s="87">
        <v>56</v>
      </c>
      <c r="C21" s="87">
        <v>55</v>
      </c>
      <c r="D21" s="87">
        <v>19</v>
      </c>
      <c r="E21" s="87">
        <v>73</v>
      </c>
      <c r="F21" s="87">
        <v>81</v>
      </c>
      <c r="G21" s="87">
        <v>33</v>
      </c>
      <c r="H21" s="87">
        <v>76</v>
      </c>
    </row>
    <row r="22" spans="1:8" x14ac:dyDescent="0.35">
      <c r="A22" s="87">
        <v>87</v>
      </c>
      <c r="B22" s="141">
        <v>27</v>
      </c>
      <c r="C22" s="142">
        <v>80</v>
      </c>
      <c r="D22" s="142">
        <v>38</v>
      </c>
      <c r="E22" s="142">
        <v>65</v>
      </c>
      <c r="F22" s="142">
        <v>61</v>
      </c>
      <c r="G22" s="142">
        <v>38</v>
      </c>
      <c r="H22" s="143">
        <v>68</v>
      </c>
    </row>
    <row r="23" spans="1:8" x14ac:dyDescent="0.35">
      <c r="A23" s="87">
        <v>10</v>
      </c>
      <c r="B23" s="144">
        <v>59</v>
      </c>
      <c r="C23" s="87">
        <v>27</v>
      </c>
      <c r="D23" s="87">
        <v>81</v>
      </c>
      <c r="E23" s="87">
        <v>6</v>
      </c>
      <c r="F23" s="87">
        <v>83</v>
      </c>
      <c r="G23" s="87">
        <v>51</v>
      </c>
      <c r="H23" s="145">
        <v>1</v>
      </c>
    </row>
    <row r="24" spans="1:8" x14ac:dyDescent="0.35">
      <c r="A24" s="87">
        <v>70</v>
      </c>
      <c r="B24" s="144">
        <v>88</v>
      </c>
      <c r="C24" s="87">
        <v>44</v>
      </c>
      <c r="D24" s="87">
        <v>35</v>
      </c>
      <c r="E24" s="87">
        <v>70</v>
      </c>
      <c r="F24" s="87">
        <v>35</v>
      </c>
      <c r="G24" s="87">
        <v>0</v>
      </c>
      <c r="H24" s="145">
        <v>82</v>
      </c>
    </row>
    <row r="25" spans="1:8" x14ac:dyDescent="0.35">
      <c r="A25" s="87">
        <v>98</v>
      </c>
      <c r="B25" s="144">
        <v>45</v>
      </c>
      <c r="C25" s="87">
        <v>17</v>
      </c>
      <c r="D25" s="87">
        <v>45</v>
      </c>
      <c r="E25" s="87">
        <v>89</v>
      </c>
      <c r="F25" s="87">
        <v>19</v>
      </c>
      <c r="G25" s="87">
        <v>58</v>
      </c>
      <c r="H25" s="145">
        <v>42</v>
      </c>
    </row>
    <row r="26" spans="1:8" x14ac:dyDescent="0.35">
      <c r="A26" s="87">
        <v>83</v>
      </c>
      <c r="B26" s="144">
        <v>75</v>
      </c>
      <c r="C26" s="87">
        <v>21</v>
      </c>
      <c r="D26" s="87">
        <v>13</v>
      </c>
      <c r="E26" s="87">
        <v>80</v>
      </c>
      <c r="F26" s="87">
        <v>9</v>
      </c>
      <c r="G26" s="87">
        <v>18</v>
      </c>
      <c r="H26" s="145">
        <v>64</v>
      </c>
    </row>
    <row r="27" spans="1:8" x14ac:dyDescent="0.35">
      <c r="A27" s="87">
        <v>32</v>
      </c>
      <c r="B27" s="144">
        <v>23</v>
      </c>
      <c r="C27" s="87">
        <v>4</v>
      </c>
      <c r="D27" s="87">
        <v>86</v>
      </c>
      <c r="E27" s="87">
        <v>88</v>
      </c>
      <c r="F27" s="87">
        <v>52</v>
      </c>
      <c r="G27" s="87">
        <v>52</v>
      </c>
      <c r="H27" s="145">
        <v>69</v>
      </c>
    </row>
    <row r="28" spans="1:8" x14ac:dyDescent="0.35">
      <c r="A28" s="87">
        <v>76</v>
      </c>
      <c r="B28" s="144">
        <v>61</v>
      </c>
      <c r="C28" s="87">
        <v>72</v>
      </c>
      <c r="D28" s="87">
        <v>28</v>
      </c>
      <c r="E28" s="87">
        <v>83</v>
      </c>
      <c r="F28" s="87">
        <v>1</v>
      </c>
      <c r="G28" s="87">
        <v>32</v>
      </c>
      <c r="H28" s="145">
        <v>38</v>
      </c>
    </row>
    <row r="29" spans="1:8" x14ac:dyDescent="0.35">
      <c r="A29" s="87">
        <v>64</v>
      </c>
      <c r="B29" s="144">
        <v>87</v>
      </c>
      <c r="C29" s="87">
        <v>32</v>
      </c>
      <c r="D29" s="87">
        <v>67</v>
      </c>
      <c r="E29" s="87">
        <v>50</v>
      </c>
      <c r="F29" s="87">
        <v>73</v>
      </c>
      <c r="G29" s="87">
        <v>19</v>
      </c>
      <c r="H29" s="145">
        <v>83</v>
      </c>
    </row>
    <row r="30" spans="1:8" x14ac:dyDescent="0.35">
      <c r="A30" s="87">
        <v>54</v>
      </c>
      <c r="B30" s="144">
        <v>55</v>
      </c>
      <c r="C30" s="87">
        <v>57</v>
      </c>
      <c r="D30" s="87">
        <v>64</v>
      </c>
      <c r="E30" s="87">
        <v>80</v>
      </c>
      <c r="F30" s="87">
        <v>29</v>
      </c>
      <c r="G30" s="87">
        <v>17</v>
      </c>
      <c r="H30" s="145">
        <v>92</v>
      </c>
    </row>
    <row r="31" spans="1:8" ht="14.25" thickBot="1" x14ac:dyDescent="0.4">
      <c r="A31" s="87">
        <v>12</v>
      </c>
      <c r="B31" s="146">
        <v>95</v>
      </c>
      <c r="C31" s="147">
        <v>66</v>
      </c>
      <c r="D31" s="147">
        <v>59</v>
      </c>
      <c r="E31" s="147">
        <v>48</v>
      </c>
      <c r="F31" s="147">
        <v>78</v>
      </c>
      <c r="G31" s="147">
        <v>87</v>
      </c>
      <c r="H31" s="148">
        <v>23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2025-05-17T03:16:24Z</dcterms:created>
  <dcterms:modified xsi:type="dcterms:W3CDTF">2025-05-17T15:51:33Z</dcterms:modified>
</cp:coreProperties>
</file>