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外汇风险管理\"/>
    </mc:Choice>
  </mc:AlternateContent>
  <xr:revisionPtr revIDLastSave="0" documentId="13_ncr:1_{89A86C09-5063-4FC8-B59F-C083A8BDE13A}" xr6:coauthVersionLast="47" xr6:coauthVersionMax="47" xr10:uidLastSave="{00000000-0000-0000-0000-000000000000}"/>
  <bookViews>
    <workbookView xWindow="-98" yWindow="-98" windowWidth="24196" windowHeight="14476" tabRatio="773" activeTab="12" xr2:uid="{9C195A1E-B7A5-43A3-9B91-A5FDD7FDDC8A}"/>
  </bookViews>
  <sheets>
    <sheet name="Sheet1" sheetId="2" r:id="rId1"/>
    <sheet name="sheet2" sheetId="1" r:id="rId2"/>
    <sheet name="Sheet3" sheetId="3" r:id="rId3"/>
    <sheet name="Sheet4" sheetId="6" r:id="rId4"/>
    <sheet name="Sheet5" sheetId="4" r:id="rId5"/>
    <sheet name="Sheet6" sheetId="5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1" l="1"/>
  <c r="D6" i="11"/>
  <c r="E6" i="11"/>
  <c r="C6" i="11"/>
  <c r="D4" i="11"/>
  <c r="E4" i="11"/>
  <c r="C4" i="11"/>
  <c r="F20" i="9"/>
  <c r="F21" i="9"/>
  <c r="F19" i="9"/>
  <c r="E20" i="9"/>
  <c r="E21" i="9"/>
  <c r="E19" i="9"/>
  <c r="D21" i="9"/>
  <c r="D20" i="9"/>
  <c r="C19" i="9"/>
  <c r="D19" i="9" s="1"/>
  <c r="C20" i="9"/>
  <c r="C21" i="9"/>
  <c r="C18" i="9"/>
  <c r="C6" i="9"/>
  <c r="F6" i="9"/>
  <c r="E6" i="9" s="1"/>
  <c r="C7" i="9"/>
  <c r="C8" i="9"/>
  <c r="C9" i="9"/>
  <c r="C10" i="9"/>
  <c r="C11" i="9"/>
  <c r="C12" i="9"/>
  <c r="C13" i="9"/>
  <c r="C14" i="9"/>
  <c r="C15" i="9"/>
  <c r="E7" i="9"/>
  <c r="E8" i="9"/>
  <c r="E9" i="9"/>
  <c r="E10" i="9"/>
  <c r="E11" i="9"/>
  <c r="E12" i="9"/>
  <c r="E13" i="9"/>
  <c r="E14" i="9"/>
  <c r="E15" i="9"/>
  <c r="E5" i="9"/>
  <c r="C5" i="9" s="1"/>
  <c r="B21" i="9"/>
  <c r="B20" i="9"/>
  <c r="B19" i="9"/>
  <c r="B4" i="8"/>
  <c r="B16" i="8" s="1"/>
  <c r="B4" i="7"/>
  <c r="B16" i="7" s="1"/>
  <c r="B16" i="6"/>
  <c r="B20" i="6"/>
  <c r="E5" i="5"/>
  <c r="E6" i="5"/>
  <c r="E7" i="5"/>
  <c r="E8" i="5"/>
  <c r="E9" i="5"/>
  <c r="E4" i="5"/>
  <c r="D5" i="5"/>
  <c r="D6" i="5"/>
  <c r="D7" i="5"/>
  <c r="D8" i="5"/>
  <c r="D9" i="5"/>
  <c r="D4" i="5"/>
  <c r="C9" i="5"/>
  <c r="B9" i="5"/>
  <c r="B7" i="4"/>
  <c r="B6" i="4"/>
  <c r="B5" i="4"/>
  <c r="B9" i="3"/>
  <c r="C14" i="3" s="1"/>
  <c r="B8" i="3"/>
  <c r="B14" i="3" s="1"/>
  <c r="B9" i="1"/>
  <c r="C14" i="1" s="1"/>
  <c r="B34" i="2"/>
  <c r="B38" i="2"/>
  <c r="B8" i="1"/>
  <c r="B14" i="1" s="1"/>
  <c r="F3" i="2"/>
  <c r="H3" i="2" s="1"/>
  <c r="F4" i="2"/>
  <c r="H4" i="2" s="1"/>
  <c r="B35" i="2" s="1"/>
  <c r="B22" i="9"/>
  <c r="C10" i="1"/>
  <c r="C4" i="8"/>
  <c r="C7" i="4"/>
  <c r="C10" i="3"/>
  <c r="C16" i="7"/>
  <c r="C12" i="8"/>
  <c r="G21" i="9"/>
  <c r="C20" i="6"/>
  <c r="C8" i="3"/>
  <c r="C8" i="1"/>
  <c r="C4" i="7"/>
  <c r="H2" i="9"/>
  <c r="C14" i="8"/>
  <c r="C6" i="4"/>
  <c r="C5" i="4"/>
  <c r="G18" i="9"/>
  <c r="C14" i="7"/>
  <c r="C9" i="8"/>
  <c r="D22" i="9"/>
  <c r="C9" i="7"/>
  <c r="H10" i="9"/>
  <c r="C9" i="1"/>
  <c r="C16" i="6"/>
  <c r="C16" i="8"/>
  <c r="C9" i="3"/>
  <c r="C12" i="7"/>
  <c r="B12" i="8" l="1"/>
  <c r="B9" i="8"/>
  <c r="B12" i="7"/>
  <c r="B9" i="7"/>
  <c r="B10" i="3"/>
  <c r="D14" i="3" s="1"/>
  <c r="B10" i="1"/>
  <c r="D14" i="1" s="1"/>
  <c r="B9" i="2"/>
  <c r="B13" i="2" s="1"/>
  <c r="C38" i="2"/>
  <c r="B10" i="2"/>
  <c r="C13" i="2" s="1"/>
  <c r="B14" i="8" l="1"/>
  <c r="B14" i="7"/>
</calcChain>
</file>

<file path=xl/sharedStrings.xml><?xml version="1.0" encoding="utf-8"?>
<sst xmlns="http://schemas.openxmlformats.org/spreadsheetml/2006/main" count="252" uniqueCount="195">
  <si>
    <t>金额（美元）</t>
    <phoneticPr fontId="18" type="noConversion"/>
  </si>
  <si>
    <t>日期</t>
    <phoneticPr fontId="18" type="noConversion"/>
  </si>
  <si>
    <t>协定汇率(USD/HKD)</t>
    <phoneticPr fontId="18" type="noConversion"/>
  </si>
  <si>
    <t>期权费(HKD/USD)</t>
    <phoneticPr fontId="18" type="noConversion"/>
  </si>
  <si>
    <t>假定3个月后的市场汇率</t>
    <phoneticPr fontId="18" type="noConversion"/>
  </si>
  <si>
    <t>3个月后市场汇率</t>
    <phoneticPr fontId="18" type="noConversion"/>
  </si>
  <si>
    <t>币种</t>
  </si>
  <si>
    <t>应收金额</t>
  </si>
  <si>
    <t>应收日期</t>
  </si>
  <si>
    <t>应付金额</t>
  </si>
  <si>
    <t>应付日期</t>
  </si>
  <si>
    <t>净敞口</t>
  </si>
  <si>
    <t>汇率</t>
  </si>
  <si>
    <t>折算净敞口（本币）</t>
  </si>
  <si>
    <t>USD</t>
    <phoneticPr fontId="18" type="noConversion"/>
  </si>
  <si>
    <t>A公司货币净敞口统计表（单位：万）</t>
    <phoneticPr fontId="18" type="noConversion"/>
  </si>
  <si>
    <t>合约2：2026年5月31日，以7.10的汇率购买500万美元</t>
    <phoneticPr fontId="18" type="noConversion"/>
  </si>
  <si>
    <t>Data Table</t>
    <phoneticPr fontId="18" type="noConversion"/>
  </si>
  <si>
    <t>Data Table1</t>
    <phoneticPr fontId="18" type="noConversion"/>
  </si>
  <si>
    <t>即期汇率</t>
    <phoneticPr fontId="18" type="noConversion"/>
  </si>
  <si>
    <t>远期收益</t>
  </si>
  <si>
    <t>远期收益</t>
    <phoneticPr fontId="18" type="noConversion"/>
  </si>
  <si>
    <t>Data Table2</t>
    <phoneticPr fontId="18" type="noConversion"/>
  </si>
  <si>
    <t>2026年5月31日外汇敞口损益</t>
    <phoneticPr fontId="18" type="noConversion"/>
  </si>
  <si>
    <t>2025年12月31日外汇敞口损益（单位：万元）</t>
    <phoneticPr fontId="18" type="noConversion"/>
  </si>
  <si>
    <t>合约1：2025年12月31日，以7.21的汇率抛售1000万美元</t>
    <phoneticPr fontId="18" type="noConversion"/>
  </si>
  <si>
    <t>交易收益</t>
    <phoneticPr fontId="18" type="noConversion"/>
  </si>
  <si>
    <t>总收益</t>
    <phoneticPr fontId="18" type="noConversion"/>
  </si>
  <si>
    <t>期权收益</t>
    <phoneticPr fontId="18" type="noConversion"/>
  </si>
  <si>
    <t>即期汇率(USD/HKD)</t>
    <phoneticPr fontId="18" type="noConversion"/>
  </si>
  <si>
    <t>交易收益
不使用远期</t>
    <phoneticPr fontId="18" type="noConversion"/>
  </si>
  <si>
    <t>综合收益</t>
    <phoneticPr fontId="18" type="noConversion"/>
  </si>
  <si>
    <t>即期汇率(USD/JPY)</t>
    <phoneticPr fontId="18" type="noConversion"/>
  </si>
  <si>
    <t>金额（万美元）</t>
    <phoneticPr fontId="18" type="noConversion"/>
  </si>
  <si>
    <t>协定汇率(USD/JPY)</t>
    <phoneticPr fontId="18" type="noConversion"/>
  </si>
  <si>
    <t>期权费(JPY/USD)</t>
    <phoneticPr fontId="18" type="noConversion"/>
  </si>
  <si>
    <t>交易收益
不使用期权</t>
    <phoneticPr fontId="18" type="noConversion"/>
  </si>
  <si>
    <t>近端结汇汇率</t>
    <phoneticPr fontId="18" type="noConversion"/>
  </si>
  <si>
    <t>远端购汇汇率</t>
    <phoneticPr fontId="18" type="noConversion"/>
  </si>
  <si>
    <t>外汇敞口（美元）</t>
    <phoneticPr fontId="18" type="noConversion"/>
  </si>
  <si>
    <t>近期结汇（人民币）</t>
    <phoneticPr fontId="18" type="noConversion"/>
  </si>
  <si>
    <t>远端购汇（人民币）</t>
    <phoneticPr fontId="18" type="noConversion"/>
  </si>
  <si>
    <t>掉期年化成本</t>
    <phoneticPr fontId="18" type="noConversion"/>
  </si>
  <si>
    <t>货币掉期合约的现金流情况</t>
    <phoneticPr fontId="18" type="noConversion"/>
  </si>
  <si>
    <t>第N期交换
现金流</t>
    <phoneticPr fontId="18" type="noConversion"/>
  </si>
  <si>
    <t>集团</t>
    <phoneticPr fontId="18" type="noConversion"/>
  </si>
  <si>
    <t>人民币现金流/元</t>
    <phoneticPr fontId="18" type="noConversion"/>
  </si>
  <si>
    <t>美元现金流/美元</t>
    <phoneticPr fontId="18" type="noConversion"/>
  </si>
  <si>
    <t>银行</t>
    <phoneticPr fontId="18" type="noConversion"/>
  </si>
  <si>
    <t>第1期</t>
    <phoneticPr fontId="18" type="noConversion"/>
  </si>
  <si>
    <t>第2期</t>
    <phoneticPr fontId="18" type="noConversion"/>
  </si>
  <si>
    <t>第3期</t>
  </si>
  <si>
    <t>第4期</t>
  </si>
  <si>
    <t>第5期</t>
  </si>
  <si>
    <t>第6期</t>
  </si>
  <si>
    <t>产品结构1：买入美元看跌人民币看涨期权</t>
    <phoneticPr fontId="18" type="noConversion"/>
  </si>
  <si>
    <t>合约本金（万美元）</t>
    <phoneticPr fontId="18" type="noConversion"/>
  </si>
  <si>
    <t>期限</t>
    <phoneticPr fontId="18" type="noConversion"/>
  </si>
  <si>
    <t>3个月</t>
    <phoneticPr fontId="18" type="noConversion"/>
  </si>
  <si>
    <t>执行汇率</t>
    <phoneticPr fontId="18" type="noConversion"/>
  </si>
  <si>
    <t>产品结构2：卖出美元看涨人民币看跌期权</t>
    <phoneticPr fontId="18" type="noConversion"/>
  </si>
  <si>
    <t>综合期权费为0，买入期权和卖出期权的期权费相互抵消，无需成本</t>
    <phoneticPr fontId="18" type="noConversion"/>
  </si>
  <si>
    <t>假设：</t>
    <phoneticPr fontId="18" type="noConversion"/>
  </si>
  <si>
    <t>3个月后汇率</t>
    <phoneticPr fontId="18" type="noConversion"/>
  </si>
  <si>
    <t>收益</t>
    <phoneticPr fontId="18" type="noConversion"/>
  </si>
  <si>
    <t>将汇率锁定在[6.45,6.62]之间</t>
    <phoneticPr fontId="18" type="noConversion"/>
  </si>
  <si>
    <t>单价（美元/吨）</t>
    <phoneticPr fontId="18" type="noConversion"/>
  </si>
  <si>
    <t>数量（吨）</t>
    <phoneticPr fontId="18" type="noConversion"/>
  </si>
  <si>
    <t>外汇远期购汇汇率</t>
    <phoneticPr fontId="18" type="noConversion"/>
  </si>
  <si>
    <t>公允价值</t>
    <phoneticPr fontId="18" type="noConversion"/>
  </si>
  <si>
    <t>会计分录</t>
    <phoneticPr fontId="18" type="noConversion"/>
  </si>
  <si>
    <t>借：套期损益</t>
    <phoneticPr fontId="18" type="noConversion"/>
  </si>
  <si>
    <t>借：被套期项目-确定承诺</t>
    <phoneticPr fontId="18" type="noConversion"/>
  </si>
  <si>
    <t>贷：套期损益</t>
    <phoneticPr fontId="18" type="noConversion"/>
  </si>
  <si>
    <t>贷：套期工具-外汇远期</t>
    <phoneticPr fontId="18" type="noConversion"/>
  </si>
  <si>
    <t>公元价值相互抵消，期间损益为0</t>
    <phoneticPr fontId="18" type="noConversion"/>
  </si>
  <si>
    <t>资产负债表（金融负债、库存商品同时增加）</t>
    <phoneticPr fontId="18" type="noConversion"/>
  </si>
  <si>
    <t>借：套期工具-外汇远期</t>
    <phoneticPr fontId="18" type="noConversion"/>
  </si>
  <si>
    <t>贷：银行存款</t>
    <phoneticPr fontId="18" type="noConversion"/>
  </si>
  <si>
    <t>结算外汇远期</t>
    <phoneticPr fontId="18" type="noConversion"/>
  </si>
  <si>
    <t>购入商品</t>
    <phoneticPr fontId="18" type="noConversion"/>
  </si>
  <si>
    <t>借：库存商品</t>
    <phoneticPr fontId="18" type="noConversion"/>
  </si>
  <si>
    <t>将被套期项目</t>
    <phoneticPr fontId="18" type="noConversion"/>
  </si>
  <si>
    <t>余额转入商品</t>
    <phoneticPr fontId="18" type="noConversion"/>
  </si>
  <si>
    <t>账面价值</t>
    <phoneticPr fontId="18" type="noConversion"/>
  </si>
  <si>
    <t>贷：被套期项目-确定承诺</t>
    <phoneticPr fontId="18" type="noConversion"/>
  </si>
  <si>
    <t>借：其他综合收益-套期储备</t>
    <phoneticPr fontId="18" type="noConversion"/>
  </si>
  <si>
    <t>外汇远期公允价值变动计入其他综合收益，不影响损益</t>
    <phoneticPr fontId="18" type="noConversion"/>
  </si>
  <si>
    <t>资产负债表所有者权益和资产降低</t>
    <phoneticPr fontId="18" type="noConversion"/>
  </si>
  <si>
    <t>贷：其他综合收益-套期储备</t>
    <phoneticPr fontId="18" type="noConversion"/>
  </si>
  <si>
    <t>实际购买成本为3400000元，</t>
    <phoneticPr fontId="18" type="noConversion"/>
  </si>
  <si>
    <t>库存商品名义购买成本为3150000元，</t>
    <phoneticPr fontId="18" type="noConversion"/>
  </si>
  <si>
    <t>实施套期会计后反应真实购买成本</t>
    <phoneticPr fontId="18" type="noConversion"/>
  </si>
  <si>
    <t>2024年人民币汇率波动对利润表影响的模拟运算</t>
    <phoneticPr fontId="18" type="noConversion"/>
  </si>
  <si>
    <t>假设汇率6.77</t>
    <phoneticPr fontId="18" type="noConversion"/>
  </si>
  <si>
    <t>单位百万</t>
    <phoneticPr fontId="18" type="noConversion"/>
  </si>
  <si>
    <t>2024年预测基本模型，汇率维持2023年</t>
    <phoneticPr fontId="18" type="noConversion"/>
  </si>
  <si>
    <t>合计</t>
    <phoneticPr fontId="18" type="noConversion"/>
  </si>
  <si>
    <t>美元交易</t>
    <phoneticPr fontId="18" type="noConversion"/>
  </si>
  <si>
    <t>美元等值</t>
    <phoneticPr fontId="18" type="noConversion"/>
  </si>
  <si>
    <t>人民币交易</t>
    <phoneticPr fontId="18" type="noConversion"/>
  </si>
  <si>
    <t>销售收入</t>
    <phoneticPr fontId="18" type="noConversion"/>
  </si>
  <si>
    <t>费用</t>
    <phoneticPr fontId="18" type="noConversion"/>
  </si>
  <si>
    <t>材料</t>
    <phoneticPr fontId="18" type="noConversion"/>
  </si>
  <si>
    <t>折旧</t>
    <phoneticPr fontId="18" type="noConversion"/>
  </si>
  <si>
    <t>车间消耗品</t>
    <phoneticPr fontId="18" type="noConversion"/>
  </si>
  <si>
    <t>模具备件</t>
    <phoneticPr fontId="18" type="noConversion"/>
  </si>
  <si>
    <t>工资福利</t>
    <phoneticPr fontId="18" type="noConversion"/>
  </si>
  <si>
    <t>水电气</t>
    <phoneticPr fontId="18" type="noConversion"/>
  </si>
  <si>
    <t>运费</t>
    <phoneticPr fontId="18" type="noConversion"/>
  </si>
  <si>
    <t>税费</t>
    <phoneticPr fontId="18" type="noConversion"/>
  </si>
  <si>
    <t>行政开支</t>
    <phoneticPr fontId="18" type="noConversion"/>
  </si>
  <si>
    <t>利润</t>
    <phoneticPr fontId="18" type="noConversion"/>
  </si>
  <si>
    <t>升职幅度</t>
    <phoneticPr fontId="18" type="noConversion"/>
  </si>
  <si>
    <t>人民币费用</t>
    <phoneticPr fontId="18" type="noConversion"/>
  </si>
  <si>
    <t>美元报表</t>
    <phoneticPr fontId="18" type="noConversion"/>
  </si>
  <si>
    <t>报表损失</t>
    <phoneticPr fontId="18" type="noConversion"/>
  </si>
  <si>
    <t>占销售比</t>
    <phoneticPr fontId="18" type="noConversion"/>
  </si>
  <si>
    <t>2023年基准汇率6.77</t>
    <phoneticPr fontId="18" type="noConversion"/>
  </si>
  <si>
    <t>2024年预测高位6.39</t>
    <phoneticPr fontId="18" type="noConversion"/>
  </si>
  <si>
    <t>2024年预测中位6.55</t>
    <phoneticPr fontId="18" type="noConversion"/>
  </si>
  <si>
    <t>2024年预测低位6.72</t>
    <phoneticPr fontId="18" type="noConversion"/>
  </si>
  <si>
    <t>粗体为今年的推算数据</t>
    <phoneticPr fontId="18" type="noConversion"/>
  </si>
  <si>
    <t>外籍工资不变</t>
    <phoneticPr fontId="18" type="noConversion"/>
  </si>
  <si>
    <t>2023年80%</t>
    <phoneticPr fontId="18" type="noConversion"/>
  </si>
  <si>
    <t>敞口申报表（子公司）</t>
    <phoneticPr fontId="18" type="noConversion"/>
  </si>
  <si>
    <t>申报日期</t>
  </si>
  <si>
    <t>子公司代码</t>
  </si>
  <si>
    <t>交易类型</t>
  </si>
  <si>
    <t>业务描述</t>
  </si>
  <si>
    <t>金额</t>
  </si>
  <si>
    <t>发生日期</t>
  </si>
  <si>
    <t>到期日</t>
  </si>
  <si>
    <t>即期汇率</t>
  </si>
  <si>
    <t>本币金额</t>
  </si>
  <si>
    <t>对冲需求</t>
  </si>
  <si>
    <t>对冲方式</t>
  </si>
  <si>
    <t>对冲比例</t>
  </si>
  <si>
    <t>状态</t>
  </si>
  <si>
    <t>集团汇总表</t>
    <phoneticPr fontId="18" type="noConversion"/>
  </si>
  <si>
    <t>总敞口金额（原币）</t>
  </si>
  <si>
    <t>总敞口金额（本币）</t>
  </si>
  <si>
    <t>未对冲金额</t>
  </si>
  <si>
    <t>对冲工具分布</t>
  </si>
  <si>
    <t>到期日分布</t>
  </si>
  <si>
    <t>风险等级</t>
  </si>
  <si>
    <t>对冲操作表（Hedging_Operations）</t>
  </si>
  <si>
    <t>交易 ID</t>
  </si>
  <si>
    <t>对冲日期</t>
  </si>
  <si>
    <t>对冲工具</t>
  </si>
  <si>
    <t>执行汇率</t>
  </si>
  <si>
    <t>交易对手</t>
  </si>
  <si>
    <t>手续费</t>
  </si>
  <si>
    <t>风险监控表（Risk_Monitoring）</t>
  </si>
  <si>
    <t>净敞口金额</t>
  </si>
  <si>
    <t>风险价值 (VaR)</t>
  </si>
  <si>
    <t>集中度指标</t>
  </si>
  <si>
    <t>对冲有效性</t>
  </si>
  <si>
    <t>预警信号</t>
  </si>
  <si>
    <t>损益分析表（P&amp;L_Analysis）</t>
  </si>
  <si>
    <t>期初敞口</t>
  </si>
  <si>
    <t>汇率变动</t>
  </si>
  <si>
    <t>未对冲损益</t>
  </si>
  <si>
    <t>对冲工具损益</t>
  </si>
  <si>
    <t>净损益</t>
  </si>
  <si>
    <t>对冲效果</t>
  </si>
  <si>
    <t>比较不同方法计算得到的风险价值</t>
    <phoneticPr fontId="18" type="noConversion"/>
  </si>
  <si>
    <t>持有期与置信水平</t>
    <phoneticPr fontId="18" type="noConversion"/>
  </si>
  <si>
    <t>方差-协方差法</t>
    <phoneticPr fontId="18" type="noConversion"/>
  </si>
  <si>
    <t>历史模拟法</t>
    <phoneticPr fontId="18" type="noConversion"/>
  </si>
  <si>
    <t>压力风险价值</t>
    <phoneticPr fontId="18" type="noConversion"/>
  </si>
  <si>
    <t>持有期为1天
置信水平为95%‘</t>
    <phoneticPr fontId="18" type="noConversion"/>
  </si>
  <si>
    <t>持有期为1天
置信水平为99%‘</t>
    <phoneticPr fontId="18" type="noConversion"/>
  </si>
  <si>
    <t>持有期为10天
置信水平为95%‘</t>
    <phoneticPr fontId="18" type="noConversion"/>
  </si>
  <si>
    <t>持有期为10天
置信水平为99%‘</t>
    <phoneticPr fontId="18" type="noConversion"/>
  </si>
  <si>
    <t>外汇敞口归集</t>
    <phoneticPr fontId="18" type="noConversion"/>
  </si>
  <si>
    <t>外汇敞口管理</t>
    <phoneticPr fontId="18" type="noConversion"/>
  </si>
  <si>
    <t>外汇敞口风险计量（VaR)</t>
    <phoneticPr fontId="18" type="noConversion"/>
  </si>
  <si>
    <t>国际市场美元指数走势</t>
    <phoneticPr fontId="18" type="noConversion"/>
  </si>
  <si>
    <t>经济基本面</t>
    <phoneticPr fontId="18" type="noConversion"/>
  </si>
  <si>
    <t>市场供需</t>
    <phoneticPr fontId="18" type="noConversion"/>
  </si>
  <si>
    <t>外汇远期</t>
    <phoneticPr fontId="18" type="noConversion"/>
  </si>
  <si>
    <t>外汇期权</t>
    <phoneticPr fontId="18" type="noConversion"/>
  </si>
  <si>
    <t>外汇掉期</t>
    <phoneticPr fontId="18" type="noConversion"/>
  </si>
  <si>
    <t>货币掉期</t>
    <phoneticPr fontId="18" type="noConversion"/>
  </si>
  <si>
    <t>套期会计</t>
    <phoneticPr fontId="18" type="noConversion"/>
  </si>
  <si>
    <t>公允价值套期</t>
    <phoneticPr fontId="18" type="noConversion"/>
  </si>
  <si>
    <t>现金流量套期</t>
    <phoneticPr fontId="18" type="noConversion"/>
  </si>
  <si>
    <t>如何计算汇率波动对利润表的影响</t>
    <phoneticPr fontId="18" type="noConversion"/>
  </si>
  <si>
    <t>多币种净敞口对冲</t>
    <phoneticPr fontId="18" type="noConversion"/>
  </si>
  <si>
    <t>小币种的外汇管理</t>
    <phoneticPr fontId="18" type="noConversion"/>
  </si>
  <si>
    <t>外汇风险管理
面临的挑战</t>
    <phoneticPr fontId="18" type="noConversion"/>
  </si>
  <si>
    <t>外汇风险的
管理工具</t>
    <phoneticPr fontId="18" type="noConversion"/>
  </si>
  <si>
    <t>外汇风险
管理流程</t>
    <phoneticPr fontId="18" type="noConversion"/>
  </si>
  <si>
    <t>汇率波动
影响因素（预测）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</si>
</sst>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 "/>
    <numFmt numFmtId="177" formatCode=";;"/>
    <numFmt numFmtId="178" formatCode="#,##0.00_ "/>
    <numFmt numFmtId="179" formatCode="0.00_ "/>
    <numFmt numFmtId="180" formatCode="#,##0_ "/>
    <numFmt numFmtId="181" formatCode="_-\$* #,##0.00_ ;_-\$* \-#,##0.00\ ;_-\$* &quot;-&quot;??_ ;_-@_ 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Segoe UI"/>
      <family val="2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9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43" fontId="0" fillId="0" borderId="0" xfId="42" applyFont="1">
      <alignment vertical="center"/>
    </xf>
    <xf numFmtId="43" fontId="0" fillId="0" borderId="0" xfId="42" applyFont="1" applyAlignment="1">
      <alignment horizontal="right" vertical="center"/>
    </xf>
    <xf numFmtId="178" fontId="0" fillId="0" borderId="0" xfId="0" applyNumberFormat="1">
      <alignment vertical="center"/>
    </xf>
    <xf numFmtId="43" fontId="0" fillId="0" borderId="0" xfId="0" applyNumberFormat="1">
      <alignment vertical="center"/>
    </xf>
    <xf numFmtId="178" fontId="0" fillId="33" borderId="0" xfId="0" applyNumberFormat="1" applyFill="1">
      <alignment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77" fontId="0" fillId="34" borderId="0" xfId="0" applyNumberFormat="1" applyFill="1">
      <alignment vertical="center"/>
    </xf>
    <xf numFmtId="10" fontId="0" fillId="0" borderId="0" xfId="43" applyNumberFormat="1" applyFont="1">
      <alignment vertical="center"/>
    </xf>
    <xf numFmtId="0" fontId="19" fillId="33" borderId="0" xfId="0" applyFont="1" applyFill="1">
      <alignment vertical="center"/>
    </xf>
    <xf numFmtId="180" fontId="0" fillId="0" borderId="0" xfId="42" applyNumberFormat="1" applyFont="1">
      <alignment vertical="center"/>
    </xf>
    <xf numFmtId="0" fontId="0" fillId="0" borderId="0" xfId="0" applyAlignment="1">
      <alignment horizontal="right" vertical="center"/>
    </xf>
    <xf numFmtId="4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31" fontId="0" fillId="0" borderId="0" xfId="0" applyNumberFormat="1" applyAlignment="1">
      <alignment horizontal="left" vertical="center"/>
    </xf>
    <xf numFmtId="181" fontId="0" fillId="0" borderId="0" xfId="0" applyNumberFormat="1">
      <alignment vertical="center"/>
    </xf>
    <xf numFmtId="44" fontId="0" fillId="0" borderId="0" xfId="0" applyNumberFormat="1">
      <alignment vertical="center"/>
    </xf>
    <xf numFmtId="0" fontId="0" fillId="0" borderId="0" xfId="0" applyAlignment="1">
      <alignment horizontal="left" vertical="center" indent="2"/>
    </xf>
    <xf numFmtId="10" fontId="0" fillId="0" borderId="0" xfId="0" applyNumberFormat="1">
      <alignment vertical="center"/>
    </xf>
    <xf numFmtId="44" fontId="19" fillId="0" borderId="0" xfId="0" applyNumberFormat="1" applyFont="1">
      <alignment vertical="center"/>
    </xf>
    <xf numFmtId="181" fontId="19" fillId="0" borderId="0" xfId="0" applyNumberFormat="1" applyFont="1">
      <alignment vertical="center"/>
    </xf>
    <xf numFmtId="0" fontId="19" fillId="0" borderId="0" xfId="0" applyFont="1">
      <alignment vertical="center"/>
    </xf>
    <xf numFmtId="0" fontId="22" fillId="35" borderId="0" xfId="0" applyFont="1" applyFill="1" applyAlignment="1">
      <alignment horizontal="right" vertical="center" wrapText="1"/>
    </xf>
    <xf numFmtId="0" fontId="23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81" fontId="0" fillId="0" borderId="10" xfId="0" applyNumberForma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36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6" borderId="0" xfId="0" applyFill="1" applyAlignment="1">
      <alignment vertic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3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千位分隔" xfId="42" builtinId="3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/>
              <a:t>2025</a:t>
            </a:r>
            <a:r>
              <a:rPr lang="zh-CN" altLang="en-US" sz="1100"/>
              <a:t>年</a:t>
            </a:r>
            <a:r>
              <a:rPr lang="en-US" altLang="zh-CN" sz="1100"/>
              <a:t>12</a:t>
            </a:r>
            <a:r>
              <a:rPr lang="zh-CN" altLang="en-US" sz="1100"/>
              <a:t>月</a:t>
            </a:r>
            <a:r>
              <a:rPr lang="en-US" altLang="zh-CN" sz="1100"/>
              <a:t>31</a:t>
            </a:r>
            <a:r>
              <a:rPr lang="zh-CN" altLang="en-US" sz="1100"/>
              <a:t>日</a:t>
            </a:r>
            <a:endParaRPr lang="en-US" altLang="zh-CN" sz="1100"/>
          </a:p>
          <a:p>
            <a:pPr>
              <a:defRPr/>
            </a:pPr>
            <a:r>
              <a:rPr lang="zh-CN" altLang="en-US" sz="1100"/>
              <a:t>外汇敞口收益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远期收益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Sheet1!$A$14:$A$32</c:f>
              <c:numCache>
                <c:formatCode>#,##0.00_ </c:formatCode>
                <c:ptCount val="19"/>
                <c:pt idx="0">
                  <c:v>6.5</c:v>
                </c:pt>
                <c:pt idx="1">
                  <c:v>6.55</c:v>
                </c:pt>
                <c:pt idx="2">
                  <c:v>6.6</c:v>
                </c:pt>
                <c:pt idx="3">
                  <c:v>6.65</c:v>
                </c:pt>
                <c:pt idx="4">
                  <c:v>6.7</c:v>
                </c:pt>
                <c:pt idx="5">
                  <c:v>6.75</c:v>
                </c:pt>
                <c:pt idx="6">
                  <c:v>6.8</c:v>
                </c:pt>
                <c:pt idx="7">
                  <c:v>6.85</c:v>
                </c:pt>
                <c:pt idx="8">
                  <c:v>6.9</c:v>
                </c:pt>
                <c:pt idx="9">
                  <c:v>6.95</c:v>
                </c:pt>
                <c:pt idx="10">
                  <c:v>7</c:v>
                </c:pt>
                <c:pt idx="11">
                  <c:v>7.05</c:v>
                </c:pt>
                <c:pt idx="12">
                  <c:v>7.1</c:v>
                </c:pt>
                <c:pt idx="13">
                  <c:v>7.15</c:v>
                </c:pt>
                <c:pt idx="14">
                  <c:v>7.2</c:v>
                </c:pt>
                <c:pt idx="15">
                  <c:v>7.25</c:v>
                </c:pt>
                <c:pt idx="16">
                  <c:v>7.3</c:v>
                </c:pt>
                <c:pt idx="17">
                  <c:v>7.35</c:v>
                </c:pt>
                <c:pt idx="18">
                  <c:v>7.4</c:v>
                </c:pt>
              </c:numCache>
            </c:numRef>
          </c:cat>
          <c:val>
            <c:numRef>
              <c:f>Sheet1!$B$14:$B$32</c:f>
              <c:numCache>
                <c:formatCode>#,##0.00_ </c:formatCode>
                <c:ptCount val="19"/>
                <c:pt idx="0">
                  <c:v>710</c:v>
                </c:pt>
                <c:pt idx="1">
                  <c:v>660</c:v>
                </c:pt>
                <c:pt idx="2">
                  <c:v>610</c:v>
                </c:pt>
                <c:pt idx="3">
                  <c:v>560</c:v>
                </c:pt>
                <c:pt idx="4">
                  <c:v>510</c:v>
                </c:pt>
                <c:pt idx="5">
                  <c:v>460</c:v>
                </c:pt>
                <c:pt idx="6">
                  <c:v>410</c:v>
                </c:pt>
                <c:pt idx="7">
                  <c:v>360</c:v>
                </c:pt>
                <c:pt idx="8">
                  <c:v>310</c:v>
                </c:pt>
                <c:pt idx="9">
                  <c:v>260</c:v>
                </c:pt>
                <c:pt idx="10">
                  <c:v>210</c:v>
                </c:pt>
                <c:pt idx="11">
                  <c:v>160</c:v>
                </c:pt>
                <c:pt idx="12">
                  <c:v>110</c:v>
                </c:pt>
                <c:pt idx="13">
                  <c:v>60</c:v>
                </c:pt>
                <c:pt idx="14">
                  <c:v>10</c:v>
                </c:pt>
                <c:pt idx="15">
                  <c:v>-40</c:v>
                </c:pt>
                <c:pt idx="16">
                  <c:v>-90</c:v>
                </c:pt>
                <c:pt idx="17">
                  <c:v>-140</c:v>
                </c:pt>
                <c:pt idx="18">
                  <c:v>-190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7-48D8-868D-B96FE216A620}"/>
            </c:ext>
          </c:extLst>
        </c:ser>
        <c:ser>
          <c:idx val="1"/>
          <c:order val="1"/>
          <c:tx>
            <c:v>交易收益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Sheet1!$A$14:$A$32</c:f>
              <c:numCache>
                <c:formatCode>#,##0.00_ </c:formatCode>
                <c:ptCount val="19"/>
                <c:pt idx="0">
                  <c:v>6.5</c:v>
                </c:pt>
                <c:pt idx="1">
                  <c:v>6.55</c:v>
                </c:pt>
                <c:pt idx="2">
                  <c:v>6.6</c:v>
                </c:pt>
                <c:pt idx="3">
                  <c:v>6.65</c:v>
                </c:pt>
                <c:pt idx="4">
                  <c:v>6.7</c:v>
                </c:pt>
                <c:pt idx="5">
                  <c:v>6.75</c:v>
                </c:pt>
                <c:pt idx="6">
                  <c:v>6.8</c:v>
                </c:pt>
                <c:pt idx="7">
                  <c:v>6.85</c:v>
                </c:pt>
                <c:pt idx="8">
                  <c:v>6.9</c:v>
                </c:pt>
                <c:pt idx="9">
                  <c:v>6.95</c:v>
                </c:pt>
                <c:pt idx="10">
                  <c:v>7</c:v>
                </c:pt>
                <c:pt idx="11">
                  <c:v>7.05</c:v>
                </c:pt>
                <c:pt idx="12">
                  <c:v>7.1</c:v>
                </c:pt>
                <c:pt idx="13">
                  <c:v>7.15</c:v>
                </c:pt>
                <c:pt idx="14">
                  <c:v>7.2</c:v>
                </c:pt>
                <c:pt idx="15">
                  <c:v>7.25</c:v>
                </c:pt>
                <c:pt idx="16">
                  <c:v>7.3</c:v>
                </c:pt>
                <c:pt idx="17">
                  <c:v>7.35</c:v>
                </c:pt>
                <c:pt idx="18">
                  <c:v>7.4</c:v>
                </c:pt>
              </c:numCache>
            </c:numRef>
          </c:cat>
          <c:val>
            <c:numRef>
              <c:f>Sheet1!$C$14:$C$32</c:f>
              <c:numCache>
                <c:formatCode>#,##0.00_ </c:formatCode>
                <c:ptCount val="19"/>
                <c:pt idx="0">
                  <c:v>-690</c:v>
                </c:pt>
                <c:pt idx="1">
                  <c:v>-640</c:v>
                </c:pt>
                <c:pt idx="2">
                  <c:v>-590</c:v>
                </c:pt>
                <c:pt idx="3">
                  <c:v>-540</c:v>
                </c:pt>
                <c:pt idx="4">
                  <c:v>-490</c:v>
                </c:pt>
                <c:pt idx="5">
                  <c:v>-440</c:v>
                </c:pt>
                <c:pt idx="6">
                  <c:v>-390</c:v>
                </c:pt>
                <c:pt idx="7">
                  <c:v>-340</c:v>
                </c:pt>
                <c:pt idx="8">
                  <c:v>-290</c:v>
                </c:pt>
                <c:pt idx="9">
                  <c:v>-240</c:v>
                </c:pt>
                <c:pt idx="10">
                  <c:v>-190</c:v>
                </c:pt>
                <c:pt idx="11">
                  <c:v>-140</c:v>
                </c:pt>
                <c:pt idx="12">
                  <c:v>-90</c:v>
                </c:pt>
                <c:pt idx="13">
                  <c:v>-40</c:v>
                </c:pt>
                <c:pt idx="14">
                  <c:v>10</c:v>
                </c:pt>
                <c:pt idx="15">
                  <c:v>60</c:v>
                </c:pt>
                <c:pt idx="16">
                  <c:v>110</c:v>
                </c:pt>
                <c:pt idx="17">
                  <c:v>160</c:v>
                </c:pt>
                <c:pt idx="18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7-48D8-868D-B96FE216A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715648"/>
        <c:axId val="1530718528"/>
      </c:lineChart>
      <c:catAx>
        <c:axId val="1530715648"/>
        <c:scaling>
          <c:orientation val="minMax"/>
        </c:scaling>
        <c:delete val="0"/>
        <c:axPos val="b"/>
        <c:numFmt formatCode="#,##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71852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530718528"/>
        <c:scaling>
          <c:orientation val="minMax"/>
        </c:scaling>
        <c:delete val="0"/>
        <c:axPos val="l"/>
        <c:numFmt formatCode="#,##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7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/>
              <a:t>2026</a:t>
            </a:r>
            <a:r>
              <a:rPr lang="zh-CN" altLang="en-US" sz="1100"/>
              <a:t>年</a:t>
            </a:r>
            <a:r>
              <a:rPr lang="en-US" altLang="zh-CN" sz="1100"/>
              <a:t>5</a:t>
            </a:r>
            <a:r>
              <a:rPr lang="zh-CN" altLang="en-US" sz="1100"/>
              <a:t>月</a:t>
            </a:r>
            <a:r>
              <a:rPr lang="en-US" altLang="zh-CN" sz="1100"/>
              <a:t>31</a:t>
            </a:r>
            <a:r>
              <a:rPr lang="zh-CN" altLang="en-US" sz="1100"/>
              <a:t>日</a:t>
            </a:r>
            <a:endParaRPr lang="en-US" altLang="zh-CN" sz="1100"/>
          </a:p>
          <a:p>
            <a:pPr>
              <a:defRPr/>
            </a:pPr>
            <a:r>
              <a:rPr lang="zh-CN" altLang="en-US" sz="1100"/>
              <a:t>外汇敞口收益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远期收益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Sheet1!$A$39:$A$57</c:f>
              <c:numCache>
                <c:formatCode>#,##0.00_ </c:formatCode>
                <c:ptCount val="19"/>
                <c:pt idx="0">
                  <c:v>6.5</c:v>
                </c:pt>
                <c:pt idx="1">
                  <c:v>6.55</c:v>
                </c:pt>
                <c:pt idx="2">
                  <c:v>6.6</c:v>
                </c:pt>
                <c:pt idx="3">
                  <c:v>6.65</c:v>
                </c:pt>
                <c:pt idx="4">
                  <c:v>6.7</c:v>
                </c:pt>
                <c:pt idx="5">
                  <c:v>6.75</c:v>
                </c:pt>
                <c:pt idx="6">
                  <c:v>6.8</c:v>
                </c:pt>
                <c:pt idx="7">
                  <c:v>6.85</c:v>
                </c:pt>
                <c:pt idx="8">
                  <c:v>6.9</c:v>
                </c:pt>
                <c:pt idx="9">
                  <c:v>6.95</c:v>
                </c:pt>
                <c:pt idx="10">
                  <c:v>7</c:v>
                </c:pt>
                <c:pt idx="11">
                  <c:v>7.05</c:v>
                </c:pt>
                <c:pt idx="12">
                  <c:v>7.1</c:v>
                </c:pt>
                <c:pt idx="13">
                  <c:v>7.15</c:v>
                </c:pt>
                <c:pt idx="14">
                  <c:v>7.2</c:v>
                </c:pt>
                <c:pt idx="15">
                  <c:v>7.25</c:v>
                </c:pt>
                <c:pt idx="16">
                  <c:v>7.3</c:v>
                </c:pt>
                <c:pt idx="17">
                  <c:v>7.35</c:v>
                </c:pt>
                <c:pt idx="18">
                  <c:v>7.4</c:v>
                </c:pt>
              </c:numCache>
            </c:numRef>
          </c:cat>
          <c:val>
            <c:numRef>
              <c:f>Sheet1!$B$39:$B$57</c:f>
              <c:numCache>
                <c:formatCode>_(* #,##0.00_);_(* \(#,##0.00\);_(* "-"??_);_(@_)</c:formatCode>
                <c:ptCount val="19"/>
                <c:pt idx="0">
                  <c:v>-300</c:v>
                </c:pt>
                <c:pt idx="1">
                  <c:v>-275</c:v>
                </c:pt>
                <c:pt idx="2">
                  <c:v>-250</c:v>
                </c:pt>
                <c:pt idx="3">
                  <c:v>-225</c:v>
                </c:pt>
                <c:pt idx="4">
                  <c:v>-200</c:v>
                </c:pt>
                <c:pt idx="5">
                  <c:v>-175</c:v>
                </c:pt>
                <c:pt idx="6">
                  <c:v>-150</c:v>
                </c:pt>
                <c:pt idx="7">
                  <c:v>-125</c:v>
                </c:pt>
                <c:pt idx="8">
                  <c:v>-100</c:v>
                </c:pt>
                <c:pt idx="9">
                  <c:v>-75</c:v>
                </c:pt>
                <c:pt idx="10">
                  <c:v>-50</c:v>
                </c:pt>
                <c:pt idx="11">
                  <c:v>-25</c:v>
                </c:pt>
                <c:pt idx="12">
                  <c:v>0</c:v>
                </c:pt>
                <c:pt idx="13">
                  <c:v>25</c:v>
                </c:pt>
                <c:pt idx="14">
                  <c:v>50</c:v>
                </c:pt>
                <c:pt idx="15">
                  <c:v>75</c:v>
                </c:pt>
                <c:pt idx="16">
                  <c:v>100</c:v>
                </c:pt>
                <c:pt idx="17">
                  <c:v>125</c:v>
                </c:pt>
                <c:pt idx="18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1-4D70-9546-0A1B1456CA22}"/>
            </c:ext>
          </c:extLst>
        </c:ser>
        <c:ser>
          <c:idx val="1"/>
          <c:order val="1"/>
          <c:tx>
            <c:v>交易收益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Sheet1!$A$39:$A$57</c:f>
              <c:numCache>
                <c:formatCode>#,##0.00_ </c:formatCode>
                <c:ptCount val="19"/>
                <c:pt idx="0">
                  <c:v>6.5</c:v>
                </c:pt>
                <c:pt idx="1">
                  <c:v>6.55</c:v>
                </c:pt>
                <c:pt idx="2">
                  <c:v>6.6</c:v>
                </c:pt>
                <c:pt idx="3">
                  <c:v>6.65</c:v>
                </c:pt>
                <c:pt idx="4">
                  <c:v>6.7</c:v>
                </c:pt>
                <c:pt idx="5">
                  <c:v>6.75</c:v>
                </c:pt>
                <c:pt idx="6">
                  <c:v>6.8</c:v>
                </c:pt>
                <c:pt idx="7">
                  <c:v>6.85</c:v>
                </c:pt>
                <c:pt idx="8">
                  <c:v>6.9</c:v>
                </c:pt>
                <c:pt idx="9">
                  <c:v>6.95</c:v>
                </c:pt>
                <c:pt idx="10">
                  <c:v>7</c:v>
                </c:pt>
                <c:pt idx="11">
                  <c:v>7.05</c:v>
                </c:pt>
                <c:pt idx="12">
                  <c:v>7.1</c:v>
                </c:pt>
                <c:pt idx="13">
                  <c:v>7.15</c:v>
                </c:pt>
                <c:pt idx="14">
                  <c:v>7.2</c:v>
                </c:pt>
                <c:pt idx="15">
                  <c:v>7.25</c:v>
                </c:pt>
                <c:pt idx="16">
                  <c:v>7.3</c:v>
                </c:pt>
                <c:pt idx="17">
                  <c:v>7.35</c:v>
                </c:pt>
                <c:pt idx="18">
                  <c:v>7.4</c:v>
                </c:pt>
              </c:numCache>
            </c:numRef>
          </c:cat>
          <c:val>
            <c:numRef>
              <c:f>Sheet1!$C$39:$C$57</c:f>
              <c:numCache>
                <c:formatCode>_(* #,##0.00_);_(* \(#,##0.00\);_(* "-"??_);_(@_)</c:formatCode>
                <c:ptCount val="19"/>
                <c:pt idx="0">
                  <c:v>345</c:v>
                </c:pt>
                <c:pt idx="1">
                  <c:v>320</c:v>
                </c:pt>
                <c:pt idx="2">
                  <c:v>295</c:v>
                </c:pt>
                <c:pt idx="3">
                  <c:v>270</c:v>
                </c:pt>
                <c:pt idx="4">
                  <c:v>245</c:v>
                </c:pt>
                <c:pt idx="5">
                  <c:v>220</c:v>
                </c:pt>
                <c:pt idx="6">
                  <c:v>195</c:v>
                </c:pt>
                <c:pt idx="7">
                  <c:v>170</c:v>
                </c:pt>
                <c:pt idx="8">
                  <c:v>145</c:v>
                </c:pt>
                <c:pt idx="9">
                  <c:v>120</c:v>
                </c:pt>
                <c:pt idx="10">
                  <c:v>95</c:v>
                </c:pt>
                <c:pt idx="11">
                  <c:v>70</c:v>
                </c:pt>
                <c:pt idx="12">
                  <c:v>45</c:v>
                </c:pt>
                <c:pt idx="13">
                  <c:v>20</c:v>
                </c:pt>
                <c:pt idx="14">
                  <c:v>-5</c:v>
                </c:pt>
                <c:pt idx="15">
                  <c:v>-30</c:v>
                </c:pt>
                <c:pt idx="16">
                  <c:v>-55</c:v>
                </c:pt>
                <c:pt idx="17">
                  <c:v>-80</c:v>
                </c:pt>
                <c:pt idx="18">
                  <c:v>-105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1-4D70-9546-0A1B1456C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417744"/>
        <c:axId val="1421434544"/>
      </c:lineChart>
      <c:catAx>
        <c:axId val="1421417744"/>
        <c:scaling>
          <c:orientation val="minMax"/>
        </c:scaling>
        <c:delete val="0"/>
        <c:axPos val="b"/>
        <c:numFmt formatCode="#,##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434544"/>
        <c:crosses val="autoZero"/>
        <c:auto val="1"/>
        <c:lblAlgn val="ctr"/>
        <c:lblOffset val="100"/>
        <c:tickLblSkip val="2"/>
        <c:noMultiLvlLbl val="0"/>
      </c:catAx>
      <c:valAx>
        <c:axId val="1421434544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41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期权收益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sheet2!$A$15:$A$29</c:f>
              <c:numCache>
                <c:formatCode>#,##0.00_ </c:formatCode>
                <c:ptCount val="15"/>
                <c:pt idx="0">
                  <c:v>7.4</c:v>
                </c:pt>
                <c:pt idx="1">
                  <c:v>7.41</c:v>
                </c:pt>
                <c:pt idx="2">
                  <c:v>7.42</c:v>
                </c:pt>
                <c:pt idx="3">
                  <c:v>7.43</c:v>
                </c:pt>
                <c:pt idx="4">
                  <c:v>7.44</c:v>
                </c:pt>
                <c:pt idx="5">
                  <c:v>7.45</c:v>
                </c:pt>
                <c:pt idx="6">
                  <c:v>7.46</c:v>
                </c:pt>
                <c:pt idx="7">
                  <c:v>7.47</c:v>
                </c:pt>
                <c:pt idx="8">
                  <c:v>7.48</c:v>
                </c:pt>
                <c:pt idx="9">
                  <c:v>7.49</c:v>
                </c:pt>
                <c:pt idx="10">
                  <c:v>7.5</c:v>
                </c:pt>
                <c:pt idx="11">
                  <c:v>7.51</c:v>
                </c:pt>
                <c:pt idx="12">
                  <c:v>7.52</c:v>
                </c:pt>
                <c:pt idx="13">
                  <c:v>7.53</c:v>
                </c:pt>
                <c:pt idx="14">
                  <c:v>7.54</c:v>
                </c:pt>
              </c:numCache>
            </c:numRef>
          </c:cat>
          <c:val>
            <c:numRef>
              <c:f>sheet2!$B$15:$B$29</c:f>
              <c:numCache>
                <c:formatCode>#,##0.00_ </c:formatCode>
                <c:ptCount val="15"/>
                <c:pt idx="0">
                  <c:v>-20000</c:v>
                </c:pt>
                <c:pt idx="1">
                  <c:v>-20000</c:v>
                </c:pt>
                <c:pt idx="2">
                  <c:v>-20000</c:v>
                </c:pt>
                <c:pt idx="3">
                  <c:v>-20000</c:v>
                </c:pt>
                <c:pt idx="4">
                  <c:v>-20000</c:v>
                </c:pt>
                <c:pt idx="5">
                  <c:v>-20000</c:v>
                </c:pt>
                <c:pt idx="6">
                  <c:v>-13500</c:v>
                </c:pt>
                <c:pt idx="7">
                  <c:v>-3500</c:v>
                </c:pt>
                <c:pt idx="8">
                  <c:v>6500</c:v>
                </c:pt>
                <c:pt idx="9">
                  <c:v>16500</c:v>
                </c:pt>
                <c:pt idx="10">
                  <c:v>26500</c:v>
                </c:pt>
                <c:pt idx="11">
                  <c:v>36500</c:v>
                </c:pt>
                <c:pt idx="12">
                  <c:v>46500</c:v>
                </c:pt>
                <c:pt idx="13">
                  <c:v>56500</c:v>
                </c:pt>
                <c:pt idx="14">
                  <c:v>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161-B68F-4855CC3CFDC9}"/>
            </c:ext>
          </c:extLst>
        </c:ser>
        <c:ser>
          <c:idx val="1"/>
          <c:order val="1"/>
          <c:tx>
            <c:v>交易收益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sheet2!$A$15:$A$29</c:f>
              <c:numCache>
                <c:formatCode>#,##0.00_ </c:formatCode>
                <c:ptCount val="15"/>
                <c:pt idx="0">
                  <c:v>7.4</c:v>
                </c:pt>
                <c:pt idx="1">
                  <c:v>7.41</c:v>
                </c:pt>
                <c:pt idx="2">
                  <c:v>7.42</c:v>
                </c:pt>
                <c:pt idx="3">
                  <c:v>7.43</c:v>
                </c:pt>
                <c:pt idx="4">
                  <c:v>7.44</c:v>
                </c:pt>
                <c:pt idx="5">
                  <c:v>7.45</c:v>
                </c:pt>
                <c:pt idx="6">
                  <c:v>7.46</c:v>
                </c:pt>
                <c:pt idx="7">
                  <c:v>7.47</c:v>
                </c:pt>
                <c:pt idx="8">
                  <c:v>7.48</c:v>
                </c:pt>
                <c:pt idx="9">
                  <c:v>7.49</c:v>
                </c:pt>
                <c:pt idx="10">
                  <c:v>7.5</c:v>
                </c:pt>
                <c:pt idx="11">
                  <c:v>7.51</c:v>
                </c:pt>
                <c:pt idx="12">
                  <c:v>7.52</c:v>
                </c:pt>
                <c:pt idx="13">
                  <c:v>7.53</c:v>
                </c:pt>
                <c:pt idx="14">
                  <c:v>7.54</c:v>
                </c:pt>
              </c:numCache>
            </c:numRef>
          </c:cat>
          <c:val>
            <c:numRef>
              <c:f>sheet2!$C$15:$C$29</c:f>
              <c:numCache>
                <c:formatCode>#,##0.00_ </c:formatCode>
                <c:ptCount val="15"/>
                <c:pt idx="0">
                  <c:v>54000</c:v>
                </c:pt>
                <c:pt idx="1">
                  <c:v>44000</c:v>
                </c:pt>
                <c:pt idx="2">
                  <c:v>34000</c:v>
                </c:pt>
                <c:pt idx="3">
                  <c:v>24000</c:v>
                </c:pt>
                <c:pt idx="4">
                  <c:v>14000</c:v>
                </c:pt>
                <c:pt idx="5">
                  <c:v>4000</c:v>
                </c:pt>
                <c:pt idx="6">
                  <c:v>-6000</c:v>
                </c:pt>
                <c:pt idx="7">
                  <c:v>-16000</c:v>
                </c:pt>
                <c:pt idx="8">
                  <c:v>-26000</c:v>
                </c:pt>
                <c:pt idx="9">
                  <c:v>-36000</c:v>
                </c:pt>
                <c:pt idx="10">
                  <c:v>-46000</c:v>
                </c:pt>
                <c:pt idx="11">
                  <c:v>-56000</c:v>
                </c:pt>
                <c:pt idx="12">
                  <c:v>-66000</c:v>
                </c:pt>
                <c:pt idx="13">
                  <c:v>-76000</c:v>
                </c:pt>
                <c:pt idx="14">
                  <c:v>-86000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0-4161-B68F-4855CC3CFDC9}"/>
            </c:ext>
          </c:extLst>
        </c:ser>
        <c:ser>
          <c:idx val="2"/>
          <c:order val="2"/>
          <c:tx>
            <c:v>综合收益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sheet2!$A$15:$A$29</c:f>
              <c:numCache>
                <c:formatCode>#,##0.00_ </c:formatCode>
                <c:ptCount val="15"/>
                <c:pt idx="0">
                  <c:v>7.4</c:v>
                </c:pt>
                <c:pt idx="1">
                  <c:v>7.41</c:v>
                </c:pt>
                <c:pt idx="2">
                  <c:v>7.42</c:v>
                </c:pt>
                <c:pt idx="3">
                  <c:v>7.43</c:v>
                </c:pt>
                <c:pt idx="4">
                  <c:v>7.44</c:v>
                </c:pt>
                <c:pt idx="5">
                  <c:v>7.45</c:v>
                </c:pt>
                <c:pt idx="6">
                  <c:v>7.46</c:v>
                </c:pt>
                <c:pt idx="7">
                  <c:v>7.47</c:v>
                </c:pt>
                <c:pt idx="8">
                  <c:v>7.48</c:v>
                </c:pt>
                <c:pt idx="9">
                  <c:v>7.49</c:v>
                </c:pt>
                <c:pt idx="10">
                  <c:v>7.5</c:v>
                </c:pt>
                <c:pt idx="11">
                  <c:v>7.51</c:v>
                </c:pt>
                <c:pt idx="12">
                  <c:v>7.52</c:v>
                </c:pt>
                <c:pt idx="13">
                  <c:v>7.53</c:v>
                </c:pt>
                <c:pt idx="14">
                  <c:v>7.54</c:v>
                </c:pt>
              </c:numCache>
            </c:numRef>
          </c:cat>
          <c:val>
            <c:numRef>
              <c:f>sheet2!$D$15:$D$29</c:f>
              <c:numCache>
                <c:formatCode>#,##0.00_ </c:formatCode>
                <c:ptCount val="15"/>
                <c:pt idx="0">
                  <c:v>34000</c:v>
                </c:pt>
                <c:pt idx="1">
                  <c:v>24000</c:v>
                </c:pt>
                <c:pt idx="2">
                  <c:v>14000</c:v>
                </c:pt>
                <c:pt idx="3">
                  <c:v>4000</c:v>
                </c:pt>
                <c:pt idx="4">
                  <c:v>-6000</c:v>
                </c:pt>
                <c:pt idx="5">
                  <c:v>-16000</c:v>
                </c:pt>
                <c:pt idx="6">
                  <c:v>-13500</c:v>
                </c:pt>
                <c:pt idx="7">
                  <c:v>-3500</c:v>
                </c:pt>
                <c:pt idx="8">
                  <c:v>6500</c:v>
                </c:pt>
                <c:pt idx="9">
                  <c:v>16500</c:v>
                </c:pt>
                <c:pt idx="10">
                  <c:v>26500</c:v>
                </c:pt>
                <c:pt idx="11">
                  <c:v>36500</c:v>
                </c:pt>
                <c:pt idx="12">
                  <c:v>46500</c:v>
                </c:pt>
                <c:pt idx="13">
                  <c:v>56500</c:v>
                </c:pt>
                <c:pt idx="14">
                  <c:v>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F0-4161-B68F-4855CC3CF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754080"/>
        <c:axId val="2034739680"/>
      </c:lineChart>
      <c:catAx>
        <c:axId val="2034754080"/>
        <c:scaling>
          <c:orientation val="minMax"/>
        </c:scaling>
        <c:delete val="0"/>
        <c:axPos val="b"/>
        <c:numFmt formatCode="#,##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4739680"/>
        <c:crosses val="autoZero"/>
        <c:auto val="1"/>
        <c:lblAlgn val="ctr"/>
        <c:lblOffset val="100"/>
        <c:tickLblSkip val="2"/>
        <c:noMultiLvlLbl val="0"/>
      </c:catAx>
      <c:valAx>
        <c:axId val="2034739680"/>
        <c:scaling>
          <c:orientation val="minMax"/>
        </c:scaling>
        <c:delete val="0"/>
        <c:axPos val="l"/>
        <c:numFmt formatCode="#,##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475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期权收益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期权收益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Sheet3!$A$15:$A$35</c:f>
              <c:numCache>
                <c:formatCode>General</c:formatCode>
                <c:ptCount val="21"/>
                <c:pt idx="0">
                  <c:v>104</c:v>
                </c:pt>
                <c:pt idx="1">
                  <c:v>105</c:v>
                </c:pt>
                <c:pt idx="2">
                  <c:v>106</c:v>
                </c:pt>
                <c:pt idx="3">
                  <c:v>107</c:v>
                </c:pt>
                <c:pt idx="4">
                  <c:v>108</c:v>
                </c:pt>
                <c:pt idx="5">
                  <c:v>109</c:v>
                </c:pt>
                <c:pt idx="6">
                  <c:v>110</c:v>
                </c:pt>
                <c:pt idx="7">
                  <c:v>111</c:v>
                </c:pt>
                <c:pt idx="8">
                  <c:v>112</c:v>
                </c:pt>
                <c:pt idx="9">
                  <c:v>113</c:v>
                </c:pt>
                <c:pt idx="10">
                  <c:v>114</c:v>
                </c:pt>
                <c:pt idx="11">
                  <c:v>115</c:v>
                </c:pt>
                <c:pt idx="12">
                  <c:v>116</c:v>
                </c:pt>
                <c:pt idx="13">
                  <c:v>117</c:v>
                </c:pt>
                <c:pt idx="14">
                  <c:v>118</c:v>
                </c:pt>
                <c:pt idx="15">
                  <c:v>119</c:v>
                </c:pt>
                <c:pt idx="16">
                  <c:v>120</c:v>
                </c:pt>
                <c:pt idx="17">
                  <c:v>121</c:v>
                </c:pt>
                <c:pt idx="18">
                  <c:v>122</c:v>
                </c:pt>
                <c:pt idx="19">
                  <c:v>123</c:v>
                </c:pt>
                <c:pt idx="20">
                  <c:v>124</c:v>
                </c:pt>
              </c:numCache>
            </c:numRef>
          </c:cat>
          <c:val>
            <c:numRef>
              <c:f>Sheet3!$B$15:$B$35</c:f>
              <c:numCache>
                <c:formatCode>_(* #,##0.00_);_(* \(#,##0.00\);_(* "-"??_);_(@_)</c:formatCode>
                <c:ptCount val="21"/>
                <c:pt idx="0">
                  <c:v>5035</c:v>
                </c:pt>
                <c:pt idx="1">
                  <c:v>4535</c:v>
                </c:pt>
                <c:pt idx="2">
                  <c:v>4035</c:v>
                </c:pt>
                <c:pt idx="3">
                  <c:v>3535</c:v>
                </c:pt>
                <c:pt idx="4">
                  <c:v>3035</c:v>
                </c:pt>
                <c:pt idx="5">
                  <c:v>2535</c:v>
                </c:pt>
                <c:pt idx="6">
                  <c:v>2035</c:v>
                </c:pt>
                <c:pt idx="7">
                  <c:v>1535</c:v>
                </c:pt>
                <c:pt idx="8">
                  <c:v>1035</c:v>
                </c:pt>
                <c:pt idx="9">
                  <c:v>535</c:v>
                </c:pt>
                <c:pt idx="10">
                  <c:v>35</c:v>
                </c:pt>
                <c:pt idx="11">
                  <c:v>-465</c:v>
                </c:pt>
                <c:pt idx="12">
                  <c:v>-615</c:v>
                </c:pt>
                <c:pt idx="13">
                  <c:v>-615</c:v>
                </c:pt>
                <c:pt idx="14">
                  <c:v>-615</c:v>
                </c:pt>
                <c:pt idx="15">
                  <c:v>-615</c:v>
                </c:pt>
                <c:pt idx="16">
                  <c:v>-615</c:v>
                </c:pt>
                <c:pt idx="17">
                  <c:v>-615</c:v>
                </c:pt>
                <c:pt idx="18">
                  <c:v>-615</c:v>
                </c:pt>
                <c:pt idx="19">
                  <c:v>-615</c:v>
                </c:pt>
                <c:pt idx="20">
                  <c:v>-615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2-426C-A716-45238C18922A}"/>
            </c:ext>
          </c:extLst>
        </c:ser>
        <c:ser>
          <c:idx val="2"/>
          <c:order val="1"/>
          <c:tx>
            <c:v>交易收益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Sheet3!$A$15:$A$35</c:f>
              <c:numCache>
                <c:formatCode>General</c:formatCode>
                <c:ptCount val="21"/>
                <c:pt idx="0">
                  <c:v>104</c:v>
                </c:pt>
                <c:pt idx="1">
                  <c:v>105</c:v>
                </c:pt>
                <c:pt idx="2">
                  <c:v>106</c:v>
                </c:pt>
                <c:pt idx="3">
                  <c:v>107</c:v>
                </c:pt>
                <c:pt idx="4">
                  <c:v>108</c:v>
                </c:pt>
                <c:pt idx="5">
                  <c:v>109</c:v>
                </c:pt>
                <c:pt idx="6">
                  <c:v>110</c:v>
                </c:pt>
                <c:pt idx="7">
                  <c:v>111</c:v>
                </c:pt>
                <c:pt idx="8">
                  <c:v>112</c:v>
                </c:pt>
                <c:pt idx="9">
                  <c:v>113</c:v>
                </c:pt>
                <c:pt idx="10">
                  <c:v>114</c:v>
                </c:pt>
                <c:pt idx="11">
                  <c:v>115</c:v>
                </c:pt>
                <c:pt idx="12">
                  <c:v>116</c:v>
                </c:pt>
                <c:pt idx="13">
                  <c:v>117</c:v>
                </c:pt>
                <c:pt idx="14">
                  <c:v>118</c:v>
                </c:pt>
                <c:pt idx="15">
                  <c:v>119</c:v>
                </c:pt>
                <c:pt idx="16">
                  <c:v>120</c:v>
                </c:pt>
                <c:pt idx="17">
                  <c:v>121</c:v>
                </c:pt>
                <c:pt idx="18">
                  <c:v>122</c:v>
                </c:pt>
                <c:pt idx="19">
                  <c:v>123</c:v>
                </c:pt>
                <c:pt idx="20">
                  <c:v>124</c:v>
                </c:pt>
              </c:numCache>
            </c:numRef>
          </c:cat>
          <c:val>
            <c:numRef>
              <c:f>Sheet3!$C$15:$C$35</c:f>
              <c:numCache>
                <c:formatCode>_(* #,##0.00_);_(* \(#,##0.00\);_(* "-"??_);_(@_)</c:formatCode>
                <c:ptCount val="21"/>
                <c:pt idx="0">
                  <c:v>-5600</c:v>
                </c:pt>
                <c:pt idx="1">
                  <c:v>-5100</c:v>
                </c:pt>
                <c:pt idx="2">
                  <c:v>-4600</c:v>
                </c:pt>
                <c:pt idx="3">
                  <c:v>-4100</c:v>
                </c:pt>
                <c:pt idx="4">
                  <c:v>-3600</c:v>
                </c:pt>
                <c:pt idx="5">
                  <c:v>-3100</c:v>
                </c:pt>
                <c:pt idx="6">
                  <c:v>-2600</c:v>
                </c:pt>
                <c:pt idx="7">
                  <c:v>-2100</c:v>
                </c:pt>
                <c:pt idx="8">
                  <c:v>-1600</c:v>
                </c:pt>
                <c:pt idx="9">
                  <c:v>-1100</c:v>
                </c:pt>
                <c:pt idx="10">
                  <c:v>-600</c:v>
                </c:pt>
                <c:pt idx="11">
                  <c:v>-100</c:v>
                </c:pt>
                <c:pt idx="12">
                  <c:v>400</c:v>
                </c:pt>
                <c:pt idx="13">
                  <c:v>900</c:v>
                </c:pt>
                <c:pt idx="14">
                  <c:v>1400</c:v>
                </c:pt>
                <c:pt idx="15">
                  <c:v>1900</c:v>
                </c:pt>
                <c:pt idx="16">
                  <c:v>2400</c:v>
                </c:pt>
                <c:pt idx="17">
                  <c:v>2900</c:v>
                </c:pt>
                <c:pt idx="18">
                  <c:v>3400</c:v>
                </c:pt>
                <c:pt idx="19">
                  <c:v>3900</c:v>
                </c:pt>
                <c:pt idx="20">
                  <c:v>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2-426C-A716-45238C18922A}"/>
            </c:ext>
          </c:extLst>
        </c:ser>
        <c:ser>
          <c:idx val="3"/>
          <c:order val="2"/>
          <c:tx>
            <c:v>综合收益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Sheet3!$A$15:$A$35</c:f>
              <c:numCache>
                <c:formatCode>General</c:formatCode>
                <c:ptCount val="21"/>
                <c:pt idx="0">
                  <c:v>104</c:v>
                </c:pt>
                <c:pt idx="1">
                  <c:v>105</c:v>
                </c:pt>
                <c:pt idx="2">
                  <c:v>106</c:v>
                </c:pt>
                <c:pt idx="3">
                  <c:v>107</c:v>
                </c:pt>
                <c:pt idx="4">
                  <c:v>108</c:v>
                </c:pt>
                <c:pt idx="5">
                  <c:v>109</c:v>
                </c:pt>
                <c:pt idx="6">
                  <c:v>110</c:v>
                </c:pt>
                <c:pt idx="7">
                  <c:v>111</c:v>
                </c:pt>
                <c:pt idx="8">
                  <c:v>112</c:v>
                </c:pt>
                <c:pt idx="9">
                  <c:v>113</c:v>
                </c:pt>
                <c:pt idx="10">
                  <c:v>114</c:v>
                </c:pt>
                <c:pt idx="11">
                  <c:v>115</c:v>
                </c:pt>
                <c:pt idx="12">
                  <c:v>116</c:v>
                </c:pt>
                <c:pt idx="13">
                  <c:v>117</c:v>
                </c:pt>
                <c:pt idx="14">
                  <c:v>118</c:v>
                </c:pt>
                <c:pt idx="15">
                  <c:v>119</c:v>
                </c:pt>
                <c:pt idx="16">
                  <c:v>120</c:v>
                </c:pt>
                <c:pt idx="17">
                  <c:v>121</c:v>
                </c:pt>
                <c:pt idx="18">
                  <c:v>122</c:v>
                </c:pt>
                <c:pt idx="19">
                  <c:v>123</c:v>
                </c:pt>
                <c:pt idx="20">
                  <c:v>124</c:v>
                </c:pt>
              </c:numCache>
            </c:numRef>
          </c:cat>
          <c:val>
            <c:numRef>
              <c:f>Sheet3!$D$15:$D$35</c:f>
              <c:numCache>
                <c:formatCode>_(* #,##0.00_);_(* \(#,##0.00\);_(* "-"??_);_(@_)</c:formatCode>
                <c:ptCount val="21"/>
                <c:pt idx="0">
                  <c:v>5035</c:v>
                </c:pt>
                <c:pt idx="1">
                  <c:v>4535</c:v>
                </c:pt>
                <c:pt idx="2">
                  <c:v>4035</c:v>
                </c:pt>
                <c:pt idx="3">
                  <c:v>3535</c:v>
                </c:pt>
                <c:pt idx="4">
                  <c:v>3035</c:v>
                </c:pt>
                <c:pt idx="5">
                  <c:v>2535</c:v>
                </c:pt>
                <c:pt idx="6">
                  <c:v>2035</c:v>
                </c:pt>
                <c:pt idx="7">
                  <c:v>1535</c:v>
                </c:pt>
                <c:pt idx="8">
                  <c:v>1035</c:v>
                </c:pt>
                <c:pt idx="9">
                  <c:v>535</c:v>
                </c:pt>
                <c:pt idx="10">
                  <c:v>35</c:v>
                </c:pt>
                <c:pt idx="11">
                  <c:v>-465</c:v>
                </c:pt>
                <c:pt idx="12">
                  <c:v>-215</c:v>
                </c:pt>
                <c:pt idx="13">
                  <c:v>285</c:v>
                </c:pt>
                <c:pt idx="14">
                  <c:v>785</c:v>
                </c:pt>
                <c:pt idx="15">
                  <c:v>1285</c:v>
                </c:pt>
                <c:pt idx="16">
                  <c:v>1785</c:v>
                </c:pt>
                <c:pt idx="17">
                  <c:v>2285</c:v>
                </c:pt>
                <c:pt idx="18">
                  <c:v>2785</c:v>
                </c:pt>
                <c:pt idx="19">
                  <c:v>3285</c:v>
                </c:pt>
                <c:pt idx="20">
                  <c:v>3785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62-426C-A716-45238C189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685888"/>
        <c:axId val="1530674848"/>
      </c:lineChart>
      <c:catAx>
        <c:axId val="153068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674848"/>
        <c:crosses val="autoZero"/>
        <c:auto val="1"/>
        <c:lblAlgn val="ctr"/>
        <c:lblOffset val="100"/>
        <c:tickLblSkip val="2"/>
        <c:noMultiLvlLbl val="0"/>
      </c:catAx>
      <c:valAx>
        <c:axId val="1530674848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68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外汇损益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Sheet4!$A$21:$A$41</c:f>
              <c:numCache>
                <c:formatCode>#,##0.00_ </c:formatCode>
                <c:ptCount val="21"/>
                <c:pt idx="0">
                  <c:v>6</c:v>
                </c:pt>
                <c:pt idx="1">
                  <c:v>6.05</c:v>
                </c:pt>
                <c:pt idx="2">
                  <c:v>6.1</c:v>
                </c:pt>
                <c:pt idx="3">
                  <c:v>6.15</c:v>
                </c:pt>
                <c:pt idx="4">
                  <c:v>6.2</c:v>
                </c:pt>
                <c:pt idx="5">
                  <c:v>6.25</c:v>
                </c:pt>
                <c:pt idx="6">
                  <c:v>6.3</c:v>
                </c:pt>
                <c:pt idx="7">
                  <c:v>6.35</c:v>
                </c:pt>
                <c:pt idx="8">
                  <c:v>6.4</c:v>
                </c:pt>
                <c:pt idx="9">
                  <c:v>6.45</c:v>
                </c:pt>
                <c:pt idx="10">
                  <c:v>6.5</c:v>
                </c:pt>
                <c:pt idx="11">
                  <c:v>6.55</c:v>
                </c:pt>
                <c:pt idx="12">
                  <c:v>6.6</c:v>
                </c:pt>
                <c:pt idx="13">
                  <c:v>6.65</c:v>
                </c:pt>
                <c:pt idx="14">
                  <c:v>6.7</c:v>
                </c:pt>
                <c:pt idx="15">
                  <c:v>6.75</c:v>
                </c:pt>
                <c:pt idx="16">
                  <c:v>6.8</c:v>
                </c:pt>
                <c:pt idx="17">
                  <c:v>6.85</c:v>
                </c:pt>
                <c:pt idx="18">
                  <c:v>6.9</c:v>
                </c:pt>
                <c:pt idx="19">
                  <c:v>6.95</c:v>
                </c:pt>
                <c:pt idx="20">
                  <c:v>7</c:v>
                </c:pt>
              </c:numCache>
            </c:numRef>
          </c:cat>
          <c:val>
            <c:numRef>
              <c:f>Sheet4!$B$21:$B$41</c:f>
              <c:numCache>
                <c:formatCode>General</c:formatCode>
                <c:ptCount val="21"/>
                <c:pt idx="0">
                  <c:v>-70000</c:v>
                </c:pt>
                <c:pt idx="1">
                  <c:v>-70000</c:v>
                </c:pt>
                <c:pt idx="2">
                  <c:v>-70000</c:v>
                </c:pt>
                <c:pt idx="3">
                  <c:v>-70000</c:v>
                </c:pt>
                <c:pt idx="4">
                  <c:v>-70000</c:v>
                </c:pt>
                <c:pt idx="5">
                  <c:v>-70000</c:v>
                </c:pt>
                <c:pt idx="6">
                  <c:v>-70000</c:v>
                </c:pt>
                <c:pt idx="7">
                  <c:v>-70000</c:v>
                </c:pt>
                <c:pt idx="8">
                  <c:v>-70000</c:v>
                </c:pt>
                <c:pt idx="9">
                  <c:v>-70000</c:v>
                </c:pt>
                <c:pt idx="10">
                  <c:v>-20000</c:v>
                </c:pt>
                <c:pt idx="11">
                  <c:v>30000</c:v>
                </c:pt>
                <c:pt idx="12">
                  <c:v>80000</c:v>
                </c:pt>
                <c:pt idx="13">
                  <c:v>100000</c:v>
                </c:pt>
                <c:pt idx="14">
                  <c:v>100000</c:v>
                </c:pt>
                <c:pt idx="15">
                  <c:v>100000</c:v>
                </c:pt>
                <c:pt idx="16">
                  <c:v>100000</c:v>
                </c:pt>
                <c:pt idx="17">
                  <c:v>100000</c:v>
                </c:pt>
                <c:pt idx="18">
                  <c:v>100000</c:v>
                </c:pt>
                <c:pt idx="19">
                  <c:v>100000</c:v>
                </c:pt>
                <c:pt idx="20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F-4043-B5A1-A4BC0B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934639"/>
        <c:axId val="1043921679"/>
      </c:lineChart>
      <c:catAx>
        <c:axId val="1043934639"/>
        <c:scaling>
          <c:orientation val="minMax"/>
        </c:scaling>
        <c:delete val="0"/>
        <c:axPos val="b"/>
        <c:numFmt formatCode="#,##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3921679"/>
        <c:crosses val="autoZero"/>
        <c:auto val="1"/>
        <c:lblAlgn val="ctr"/>
        <c:lblOffset val="100"/>
        <c:tickLblSkip val="2"/>
        <c:noMultiLvlLbl val="0"/>
      </c:catAx>
      <c:valAx>
        <c:axId val="1043921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393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392906</xdr:colOff>
      <xdr:row>14</xdr:row>
      <xdr:rowOff>111917</xdr:rowOff>
    </xdr:from>
    <xdr:to>
      <xdr:col>8</xdr:col>
      <xdr:colOff>445294</xdr:colOff>
      <xdr:row>30</xdr:row>
      <xdr:rowOff>35717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B9B57F-9EB0-EBC8-BBE1-D401DB48A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392906</xdr:colOff>
      <xdr:row>39</xdr:row>
      <xdr:rowOff>145255</xdr:rowOff>
    </xdr:from>
    <xdr:to>
      <xdr:col>8</xdr:col>
      <xdr:colOff>445294</xdr:colOff>
      <xdr:row>55</xdr:row>
      <xdr:rowOff>69054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17B0BC8-C3CF-CCEE-A907-06015FCA5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302418</xdr:colOff>
      <xdr:row>13</xdr:row>
      <xdr:rowOff>150017</xdr:rowOff>
    </xdr:from>
    <xdr:to>
      <xdr:col>11</xdr:col>
      <xdr:colOff>340518</xdr:colOff>
      <xdr:row>29</xdr:row>
      <xdr:rowOff>73817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C828489-D92D-8E45-BBED-C43CC861F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189517</xdr:colOff>
      <xdr:row>14</xdr:row>
      <xdr:rowOff>58409</xdr:rowOff>
    </xdr:from>
    <xdr:to>
      <xdr:col>11</xdr:col>
      <xdr:colOff>425822</xdr:colOff>
      <xdr:row>31</xdr:row>
      <xdr:rowOff>28014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9C8F11-0697-9D07-B3BA-2A424E0C5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486832</xdr:colOff>
      <xdr:row>21</xdr:row>
      <xdr:rowOff>49212</xdr:rowOff>
    </xdr:from>
    <xdr:to>
      <xdr:col>9</xdr:col>
      <xdr:colOff>539749</xdr:colOff>
      <xdr:row>36</xdr:row>
      <xdr:rowOff>173036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C96622-60C2-F8DB-33D7-8FB36E422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104775</xdr:rowOff>
    </xdr:from>
    <xdr:to>
      <xdr:col>6</xdr:col>
      <xdr:colOff>623887</xdr:colOff>
      <xdr:row>6</xdr:row>
      <xdr:rowOff>52387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5A9E025-DC98-A39D-B52A-B81EE92FCF18}"/>
            </a:ext>
          </a:extLst>
        </xdr:cNvPr>
        <xdr:cNvCxnSpPr/>
      </xdr:nvCxnSpPr>
      <xdr:spPr>
        <a:xfrm flipH="1">
          <a:off x="4633913" y="409575"/>
          <a:ext cx="1662112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6</xdr:row>
      <xdr:rowOff>138112</xdr:rowOff>
    </xdr:from>
    <xdr:to>
      <xdr:col>7</xdr:col>
      <xdr:colOff>4762</xdr:colOff>
      <xdr:row>9</xdr:row>
      <xdr:rowOff>104775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AE8E9AA-32B6-0596-4113-05E025EDA9B9}"/>
            </a:ext>
          </a:extLst>
        </xdr:cNvPr>
        <xdr:cNvCxnSpPr/>
      </xdr:nvCxnSpPr>
      <xdr:spPr>
        <a:xfrm flipH="1" flipV="1">
          <a:off x="3157538" y="1343025"/>
          <a:ext cx="31670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17</xdr:row>
      <xdr:rowOff>114300</xdr:rowOff>
    </xdr:from>
    <xdr:to>
      <xdr:col>6</xdr:col>
      <xdr:colOff>23812</xdr:colOff>
      <xdr:row>18</xdr:row>
      <xdr:rowOff>28575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10281C5-D571-7FE0-7925-2FDD51751FB5}"/>
            </a:ext>
          </a:extLst>
        </xdr:cNvPr>
        <xdr:cNvCxnSpPr/>
      </xdr:nvCxnSpPr>
      <xdr:spPr>
        <a:xfrm flipH="1">
          <a:off x="4691063" y="3257550"/>
          <a:ext cx="1004887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33335</xdr:colOff>
      <xdr:row>3</xdr:row>
      <xdr:rowOff>42863</xdr:rowOff>
    </xdr:from>
    <xdr:to>
      <xdr:col>4</xdr:col>
      <xdr:colOff>333374</xdr:colOff>
      <xdr:row>5</xdr:row>
      <xdr:rowOff>152400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C5609363-34C5-D9BE-6975-86F970452FBE}"/>
            </a:ext>
          </a:extLst>
        </xdr:cNvPr>
        <xdr:cNvSpPr/>
      </xdr:nvSpPr>
      <xdr:spPr>
        <a:xfrm>
          <a:off x="1600198" y="571501"/>
          <a:ext cx="300039" cy="461962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1187532</xdr:colOff>
      <xdr:row>8</xdr:row>
      <xdr:rowOff>61851</xdr:rowOff>
    </xdr:from>
    <xdr:to>
      <xdr:col>4</xdr:col>
      <xdr:colOff>358733</xdr:colOff>
      <xdr:row>12</xdr:row>
      <xdr:rowOff>46758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4D7D2FE4-3DCE-1002-AAAC-B1A39E2CCE57}"/>
            </a:ext>
          </a:extLst>
        </xdr:cNvPr>
        <xdr:cNvSpPr/>
      </xdr:nvSpPr>
      <xdr:spPr>
        <a:xfrm>
          <a:off x="2486396" y="1447306"/>
          <a:ext cx="463880" cy="1030183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1209366</xdr:colOff>
      <xdr:row>15</xdr:row>
      <xdr:rowOff>18554</xdr:rowOff>
    </xdr:from>
    <xdr:to>
      <xdr:col>4</xdr:col>
      <xdr:colOff>377289</xdr:colOff>
      <xdr:row>22</xdr:row>
      <xdr:rowOff>27769</xdr:rowOff>
    </xdr:to>
    <xdr:sp macro="" textlink="">
      <xdr:nvSpPr>
        <xdr:cNvPr id="8" name="左大括号 7">
          <a:extLst>
            <a:ext uri="{FF2B5EF4-FFF2-40B4-BE49-F238E27FC236}">
              <a16:creationId xmlns:a16="http://schemas.microsoft.com/office/drawing/2014/main" id="{B948CA59-4854-56D5-B881-36470ED3C6C7}"/>
            </a:ext>
          </a:extLst>
        </xdr:cNvPr>
        <xdr:cNvSpPr/>
      </xdr:nvSpPr>
      <xdr:spPr>
        <a:xfrm>
          <a:off x="2508230" y="2968831"/>
          <a:ext cx="460602" cy="1400854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1262126</xdr:colOff>
      <xdr:row>24</xdr:row>
      <xdr:rowOff>20969</xdr:rowOff>
    </xdr:from>
    <xdr:to>
      <xdr:col>4</xdr:col>
      <xdr:colOff>371104</xdr:colOff>
      <xdr:row>28</xdr:row>
      <xdr:rowOff>170337</xdr:rowOff>
    </xdr:to>
    <xdr:sp macro="" textlink="">
      <xdr:nvSpPr>
        <xdr:cNvPr id="9" name="左大括号 8">
          <a:extLst>
            <a:ext uri="{FF2B5EF4-FFF2-40B4-BE49-F238E27FC236}">
              <a16:creationId xmlns:a16="http://schemas.microsoft.com/office/drawing/2014/main" id="{1FF47BDA-DD22-1837-1F5B-235365C3F8EE}"/>
            </a:ext>
          </a:extLst>
        </xdr:cNvPr>
        <xdr:cNvSpPr/>
      </xdr:nvSpPr>
      <xdr:spPr>
        <a:xfrm>
          <a:off x="2560990" y="4709248"/>
          <a:ext cx="401657" cy="842095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17071</xdr:colOff>
      <xdr:row>31</xdr:row>
      <xdr:rowOff>47190</xdr:rowOff>
    </xdr:from>
    <xdr:to>
      <xdr:col>4</xdr:col>
      <xdr:colOff>358735</xdr:colOff>
      <xdr:row>33</xdr:row>
      <xdr:rowOff>118628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C5C3912E-5539-CEE0-DAE4-8FFE96CAF34D}"/>
            </a:ext>
          </a:extLst>
        </xdr:cNvPr>
        <xdr:cNvSpPr/>
      </xdr:nvSpPr>
      <xdr:spPr>
        <a:xfrm>
          <a:off x="2608614" y="5947742"/>
          <a:ext cx="341664" cy="59716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179367</xdr:colOff>
      <xdr:row>4</xdr:row>
      <xdr:rowOff>55667</xdr:rowOff>
    </xdr:from>
    <xdr:to>
      <xdr:col>3</xdr:col>
      <xdr:colOff>37110</xdr:colOff>
      <xdr:row>26</xdr:row>
      <xdr:rowOff>154627</xdr:rowOff>
    </xdr:to>
    <xdr:sp macro="" textlink="">
      <xdr:nvSpPr>
        <xdr:cNvPr id="11" name="左大括号 10">
          <a:extLst>
            <a:ext uri="{FF2B5EF4-FFF2-40B4-BE49-F238E27FC236}">
              <a16:creationId xmlns:a16="http://schemas.microsoft.com/office/drawing/2014/main" id="{2E6815A5-CBBD-552C-AC76-9537726001B3}"/>
            </a:ext>
          </a:extLst>
        </xdr:cNvPr>
        <xdr:cNvSpPr/>
      </xdr:nvSpPr>
      <xdr:spPr>
        <a:xfrm>
          <a:off x="828799" y="748394"/>
          <a:ext cx="507175" cy="4620243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F921-0F13-44E3-A38B-D66D86D004B5}">
  <dimension ref="A1:H57"/>
  <sheetViews>
    <sheetView topLeftCell="A28" zoomScaleNormal="100" workbookViewId="0">
      <selection activeCell="D59" sqref="D59"/>
    </sheetView>
  </sheetViews>
  <sheetFormatPr defaultRowHeight="13.9" x14ac:dyDescent="0.4"/>
  <cols>
    <col min="1" max="1" width="11.06640625" customWidth="1"/>
    <col min="2" max="2" width="13.46484375" customWidth="1"/>
    <col min="3" max="3" width="12.73046875" customWidth="1"/>
    <col min="4" max="4" width="11.19921875" customWidth="1"/>
    <col min="5" max="5" width="12.1328125" customWidth="1"/>
    <col min="6" max="6" width="11.265625" customWidth="1"/>
    <col min="7" max="7" width="13.86328125" customWidth="1"/>
    <col min="8" max="8" width="14.796875" customWidth="1"/>
  </cols>
  <sheetData>
    <row r="1" spans="1:8" ht="23.65" customHeight="1" x14ac:dyDescent="0.4">
      <c r="A1" s="35" t="s">
        <v>15</v>
      </c>
      <c r="B1" s="35"/>
      <c r="C1" s="35"/>
      <c r="D1" s="35"/>
      <c r="E1" s="35"/>
      <c r="F1" s="35"/>
      <c r="G1" s="35"/>
      <c r="H1" s="35"/>
    </row>
    <row r="2" spans="1:8" ht="27.75" x14ac:dyDescent="0.4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 x14ac:dyDescent="0.4">
      <c r="A3" t="s">
        <v>14</v>
      </c>
      <c r="B3" s="9">
        <v>1000</v>
      </c>
      <c r="C3" s="1">
        <v>46022</v>
      </c>
      <c r="D3" s="9"/>
      <c r="F3" s="10">
        <f>B3-D3</f>
        <v>1000</v>
      </c>
      <c r="G3">
        <v>7.19</v>
      </c>
      <c r="H3" s="10">
        <f>F3*G3</f>
        <v>7190</v>
      </c>
    </row>
    <row r="4" spans="1:8" x14ac:dyDescent="0.4">
      <c r="A4" t="s">
        <v>14</v>
      </c>
      <c r="B4" s="8"/>
      <c r="C4" s="1"/>
      <c r="D4" s="9">
        <v>500</v>
      </c>
      <c r="E4" s="1">
        <v>46173</v>
      </c>
      <c r="F4" s="10">
        <f>B4-D4</f>
        <v>-500</v>
      </c>
      <c r="G4">
        <v>7.19</v>
      </c>
      <c r="H4" s="10">
        <f>F4*G4</f>
        <v>-3595</v>
      </c>
    </row>
    <row r="6" spans="1:8" x14ac:dyDescent="0.4">
      <c r="A6" t="s">
        <v>25</v>
      </c>
    </row>
    <row r="7" spans="1:8" x14ac:dyDescent="0.4">
      <c r="A7" t="s">
        <v>16</v>
      </c>
    </row>
    <row r="9" spans="1:8" x14ac:dyDescent="0.4">
      <c r="A9" t="s">
        <v>21</v>
      </c>
      <c r="B9" s="14">
        <f>F3*7.21-F3*E9</f>
        <v>710</v>
      </c>
      <c r="E9" s="16">
        <v>6.5</v>
      </c>
    </row>
    <row r="10" spans="1:8" x14ac:dyDescent="0.4">
      <c r="A10" t="s">
        <v>26</v>
      </c>
      <c r="B10" s="14">
        <f>F3*E9-H3</f>
        <v>-690</v>
      </c>
    </row>
    <row r="11" spans="1:8" x14ac:dyDescent="0.4">
      <c r="A11" t="s">
        <v>18</v>
      </c>
      <c r="B11" t="s">
        <v>24</v>
      </c>
    </row>
    <row r="12" spans="1:8" ht="25.5" customHeight="1" x14ac:dyDescent="0.4">
      <c r="A12" s="4" t="s">
        <v>19</v>
      </c>
      <c r="B12" s="4" t="s">
        <v>21</v>
      </c>
      <c r="C12" s="15" t="s">
        <v>30</v>
      </c>
      <c r="D12" s="4"/>
    </row>
    <row r="13" spans="1:8" x14ac:dyDescent="0.4">
      <c r="B13" s="5">
        <f>B9</f>
        <v>710</v>
      </c>
      <c r="C13" s="5">
        <f>B10</f>
        <v>-690</v>
      </c>
      <c r="D13" s="5"/>
    </row>
    <row r="14" spans="1:8" x14ac:dyDescent="0.4">
      <c r="A14" s="7">
        <v>6.5</v>
      </c>
      <c r="B14" s="13">
        <f t="dataTable" ref="B14:C32" dt2D="0" dtr="0" r1="E9"/>
        <v>710</v>
      </c>
      <c r="C14" s="13">
        <v>-690</v>
      </c>
      <c r="D14" s="13"/>
    </row>
    <row r="15" spans="1:8" x14ac:dyDescent="0.4">
      <c r="A15" s="7">
        <v>6.55</v>
      </c>
      <c r="B15" s="13">
        <v>660</v>
      </c>
      <c r="C15" s="13">
        <v>-640</v>
      </c>
      <c r="D15" s="13"/>
    </row>
    <row r="16" spans="1:8" x14ac:dyDescent="0.4">
      <c r="A16" s="7">
        <v>6.6</v>
      </c>
      <c r="B16" s="13">
        <v>610</v>
      </c>
      <c r="C16" s="13">
        <v>-590</v>
      </c>
      <c r="D16" s="13"/>
    </row>
    <row r="17" spans="1:4" x14ac:dyDescent="0.4">
      <c r="A17" s="7">
        <v>6.65</v>
      </c>
      <c r="B17" s="13">
        <v>560</v>
      </c>
      <c r="C17" s="13">
        <v>-540</v>
      </c>
      <c r="D17" s="13"/>
    </row>
    <row r="18" spans="1:4" x14ac:dyDescent="0.4">
      <c r="A18" s="7">
        <v>6.7</v>
      </c>
      <c r="B18" s="13">
        <v>510</v>
      </c>
      <c r="C18" s="13">
        <v>-490</v>
      </c>
      <c r="D18" s="13"/>
    </row>
    <row r="19" spans="1:4" x14ac:dyDescent="0.4">
      <c r="A19" s="7">
        <v>6.75</v>
      </c>
      <c r="B19" s="13">
        <v>460</v>
      </c>
      <c r="C19" s="13">
        <v>-440</v>
      </c>
      <c r="D19" s="13"/>
    </row>
    <row r="20" spans="1:4" x14ac:dyDescent="0.4">
      <c r="A20" s="7">
        <v>6.8</v>
      </c>
      <c r="B20" s="13">
        <v>410</v>
      </c>
      <c r="C20" s="13">
        <v>-390</v>
      </c>
      <c r="D20" s="13"/>
    </row>
    <row r="21" spans="1:4" x14ac:dyDescent="0.4">
      <c r="A21" s="7">
        <v>6.85</v>
      </c>
      <c r="B21" s="13">
        <v>360</v>
      </c>
      <c r="C21" s="13">
        <v>-340</v>
      </c>
      <c r="D21" s="13"/>
    </row>
    <row r="22" spans="1:4" x14ac:dyDescent="0.4">
      <c r="A22" s="7">
        <v>6.9</v>
      </c>
      <c r="B22" s="13">
        <v>310</v>
      </c>
      <c r="C22" s="13">
        <v>-290</v>
      </c>
      <c r="D22" s="13"/>
    </row>
    <row r="23" spans="1:4" x14ac:dyDescent="0.4">
      <c r="A23" s="7">
        <v>6.95</v>
      </c>
      <c r="B23" s="13">
        <v>260</v>
      </c>
      <c r="C23" s="13">
        <v>-240</v>
      </c>
      <c r="D23" s="13"/>
    </row>
    <row r="24" spans="1:4" x14ac:dyDescent="0.4">
      <c r="A24" s="7">
        <v>7</v>
      </c>
      <c r="B24" s="13">
        <v>210</v>
      </c>
      <c r="C24" s="13">
        <v>-190</v>
      </c>
      <c r="D24" s="13"/>
    </row>
    <row r="25" spans="1:4" x14ac:dyDescent="0.4">
      <c r="A25" s="7">
        <v>7.05</v>
      </c>
      <c r="B25" s="13">
        <v>160</v>
      </c>
      <c r="C25" s="13">
        <v>-140</v>
      </c>
      <c r="D25" s="13"/>
    </row>
    <row r="26" spans="1:4" x14ac:dyDescent="0.4">
      <c r="A26" s="7">
        <v>7.1</v>
      </c>
      <c r="B26" s="13">
        <v>110</v>
      </c>
      <c r="C26" s="13">
        <v>-90</v>
      </c>
      <c r="D26" s="13"/>
    </row>
    <row r="27" spans="1:4" x14ac:dyDescent="0.4">
      <c r="A27" s="7">
        <v>7.15</v>
      </c>
      <c r="B27" s="13">
        <v>60</v>
      </c>
      <c r="C27" s="13">
        <v>-40</v>
      </c>
      <c r="D27" s="13"/>
    </row>
    <row r="28" spans="1:4" x14ac:dyDescent="0.4">
      <c r="A28" s="7">
        <v>7.2</v>
      </c>
      <c r="B28" s="13">
        <v>10</v>
      </c>
      <c r="C28" s="13">
        <v>10</v>
      </c>
      <c r="D28" s="13"/>
    </row>
    <row r="29" spans="1:4" x14ac:dyDescent="0.4">
      <c r="A29" s="7">
        <v>7.25</v>
      </c>
      <c r="B29" s="13">
        <v>-40</v>
      </c>
      <c r="C29" s="13">
        <v>60</v>
      </c>
      <c r="D29" s="13"/>
    </row>
    <row r="30" spans="1:4" x14ac:dyDescent="0.4">
      <c r="A30" s="7">
        <v>7.3</v>
      </c>
      <c r="B30" s="13">
        <v>-90</v>
      </c>
      <c r="C30" s="13">
        <v>110</v>
      </c>
      <c r="D30" s="13"/>
    </row>
    <row r="31" spans="1:4" x14ac:dyDescent="0.4">
      <c r="A31" s="7">
        <v>7.35</v>
      </c>
      <c r="B31" s="13">
        <v>-140</v>
      </c>
      <c r="C31" s="13">
        <v>160</v>
      </c>
      <c r="D31" s="13"/>
    </row>
    <row r="32" spans="1:4" x14ac:dyDescent="0.4">
      <c r="A32" s="7">
        <v>7.4</v>
      </c>
      <c r="B32" s="13">
        <v>-190</v>
      </c>
      <c r="C32" s="13">
        <v>210</v>
      </c>
      <c r="D32" s="13"/>
    </row>
    <row r="33" spans="1:5" x14ac:dyDescent="0.4">
      <c r="A33" s="7"/>
      <c r="B33" s="13"/>
      <c r="C33" s="13"/>
      <c r="D33" s="13"/>
    </row>
    <row r="34" spans="1:5" x14ac:dyDescent="0.4">
      <c r="A34" s="10" t="s">
        <v>21</v>
      </c>
      <c r="B34" s="13">
        <f>-(500*7.1-500*E34)</f>
        <v>-300</v>
      </c>
      <c r="C34" s="13"/>
      <c r="D34" s="13"/>
      <c r="E34" s="16">
        <v>6.5</v>
      </c>
    </row>
    <row r="35" spans="1:5" x14ac:dyDescent="0.4">
      <c r="A35" t="s">
        <v>26</v>
      </c>
      <c r="B35" s="10">
        <f>-H4-500*E34</f>
        <v>345</v>
      </c>
    </row>
    <row r="36" spans="1:5" x14ac:dyDescent="0.4">
      <c r="A36" t="s">
        <v>22</v>
      </c>
      <c r="B36" t="s">
        <v>23</v>
      </c>
    </row>
    <row r="37" spans="1:5" x14ac:dyDescent="0.4">
      <c r="A37" s="4" t="s">
        <v>19</v>
      </c>
      <c r="B37" s="4" t="s">
        <v>20</v>
      </c>
      <c r="C37" s="4" t="s">
        <v>26</v>
      </c>
      <c r="D37" s="4"/>
    </row>
    <row r="38" spans="1:5" x14ac:dyDescent="0.4">
      <c r="B38" s="5">
        <f>B34</f>
        <v>-300</v>
      </c>
      <c r="C38" s="5">
        <f>B35</f>
        <v>345</v>
      </c>
      <c r="D38" s="5"/>
    </row>
    <row r="39" spans="1:5" x14ac:dyDescent="0.4">
      <c r="A39" s="7">
        <v>6.5</v>
      </c>
      <c r="B39" s="11">
        <f t="dataTable" ref="B39:C57" dt2D="0" dtr="0" r1="E34"/>
        <v>-300</v>
      </c>
      <c r="C39" s="11">
        <v>345</v>
      </c>
      <c r="D39" s="11"/>
    </row>
    <row r="40" spans="1:5" x14ac:dyDescent="0.4">
      <c r="A40" s="7">
        <v>6.55</v>
      </c>
      <c r="B40" s="11">
        <v>-275</v>
      </c>
      <c r="C40" s="11">
        <v>320</v>
      </c>
      <c r="D40" s="11"/>
    </row>
    <row r="41" spans="1:5" x14ac:dyDescent="0.4">
      <c r="A41" s="7">
        <v>6.6</v>
      </c>
      <c r="B41" s="11">
        <v>-250</v>
      </c>
      <c r="C41" s="11">
        <v>295</v>
      </c>
      <c r="D41" s="11"/>
    </row>
    <row r="42" spans="1:5" x14ac:dyDescent="0.4">
      <c r="A42" s="7">
        <v>6.65</v>
      </c>
      <c r="B42" s="11">
        <v>-225</v>
      </c>
      <c r="C42" s="11">
        <v>270</v>
      </c>
      <c r="D42" s="11"/>
    </row>
    <row r="43" spans="1:5" x14ac:dyDescent="0.4">
      <c r="A43" s="7">
        <v>6.7</v>
      </c>
      <c r="B43" s="11">
        <v>-200</v>
      </c>
      <c r="C43" s="11">
        <v>245</v>
      </c>
      <c r="D43" s="11"/>
    </row>
    <row r="44" spans="1:5" x14ac:dyDescent="0.4">
      <c r="A44" s="7">
        <v>6.75</v>
      </c>
      <c r="B44" s="11">
        <v>-175</v>
      </c>
      <c r="C44" s="11">
        <v>220</v>
      </c>
      <c r="D44" s="11"/>
    </row>
    <row r="45" spans="1:5" x14ac:dyDescent="0.4">
      <c r="A45" s="7">
        <v>6.8</v>
      </c>
      <c r="B45" s="11">
        <v>-150</v>
      </c>
      <c r="C45" s="11">
        <v>195</v>
      </c>
      <c r="D45" s="11"/>
    </row>
    <row r="46" spans="1:5" x14ac:dyDescent="0.4">
      <c r="A46" s="7">
        <v>6.85</v>
      </c>
      <c r="B46" s="11">
        <v>-125</v>
      </c>
      <c r="C46" s="11">
        <v>170</v>
      </c>
      <c r="D46" s="11"/>
    </row>
    <row r="47" spans="1:5" x14ac:dyDescent="0.4">
      <c r="A47" s="7">
        <v>6.9</v>
      </c>
      <c r="B47" s="11">
        <v>-100</v>
      </c>
      <c r="C47" s="11">
        <v>145</v>
      </c>
      <c r="D47" s="11"/>
    </row>
    <row r="48" spans="1:5" x14ac:dyDescent="0.4">
      <c r="A48" s="7">
        <v>6.95</v>
      </c>
      <c r="B48" s="11">
        <v>-75</v>
      </c>
      <c r="C48" s="11">
        <v>120</v>
      </c>
      <c r="D48" s="11"/>
    </row>
    <row r="49" spans="1:4" x14ac:dyDescent="0.4">
      <c r="A49" s="7">
        <v>7</v>
      </c>
      <c r="B49" s="11">
        <v>-50</v>
      </c>
      <c r="C49" s="11">
        <v>95</v>
      </c>
      <c r="D49" s="11"/>
    </row>
    <row r="50" spans="1:4" x14ac:dyDescent="0.4">
      <c r="A50" s="7">
        <v>7.05</v>
      </c>
      <c r="B50" s="11">
        <v>-25</v>
      </c>
      <c r="C50" s="11">
        <v>70</v>
      </c>
      <c r="D50" s="11"/>
    </row>
    <row r="51" spans="1:4" x14ac:dyDescent="0.4">
      <c r="A51" s="7">
        <v>7.1</v>
      </c>
      <c r="B51" s="11">
        <v>0</v>
      </c>
      <c r="C51" s="11">
        <v>45</v>
      </c>
      <c r="D51" s="11"/>
    </row>
    <row r="52" spans="1:4" x14ac:dyDescent="0.4">
      <c r="A52" s="7">
        <v>7.15</v>
      </c>
      <c r="B52" s="11">
        <v>25</v>
      </c>
      <c r="C52" s="11">
        <v>20</v>
      </c>
      <c r="D52" s="11"/>
    </row>
    <row r="53" spans="1:4" x14ac:dyDescent="0.4">
      <c r="A53" s="7">
        <v>7.2</v>
      </c>
      <c r="B53" s="11">
        <v>50</v>
      </c>
      <c r="C53" s="11">
        <v>-5</v>
      </c>
      <c r="D53" s="11"/>
    </row>
    <row r="54" spans="1:4" x14ac:dyDescent="0.4">
      <c r="A54" s="7">
        <v>7.25</v>
      </c>
      <c r="B54" s="11">
        <v>75</v>
      </c>
      <c r="C54" s="11">
        <v>-30</v>
      </c>
      <c r="D54" s="11"/>
    </row>
    <row r="55" spans="1:4" x14ac:dyDescent="0.4">
      <c r="A55" s="7">
        <v>7.3</v>
      </c>
      <c r="B55" s="11">
        <v>100</v>
      </c>
      <c r="C55" s="11">
        <v>-55</v>
      </c>
      <c r="D55" s="11"/>
    </row>
    <row r="56" spans="1:4" x14ac:dyDescent="0.4">
      <c r="A56" s="7">
        <v>7.35</v>
      </c>
      <c r="B56" s="11">
        <v>125</v>
      </c>
      <c r="C56" s="11">
        <v>-80</v>
      </c>
      <c r="D56" s="11"/>
    </row>
    <row r="57" spans="1:4" x14ac:dyDescent="0.4">
      <c r="A57" s="7">
        <v>7.4</v>
      </c>
      <c r="B57" s="11">
        <v>150</v>
      </c>
      <c r="C57" s="11">
        <v>-105</v>
      </c>
      <c r="D57" s="11"/>
    </row>
  </sheetData>
  <mergeCells count="1">
    <mergeCell ref="A1:H1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7D38-3BC0-440B-AE6C-83AC7719C9BD}">
  <dimension ref="A1:D29"/>
  <sheetViews>
    <sheetView workbookViewId="0">
      <selection activeCell="C14" sqref="C14"/>
    </sheetView>
  </sheetViews>
  <sheetFormatPr defaultRowHeight="13.9" x14ac:dyDescent="0.4"/>
  <cols>
    <col min="1" max="1" width="21" customWidth="1"/>
    <col min="2" max="2" width="14.06640625" bestFit="1" customWidth="1"/>
    <col min="3" max="3" width="11.73046875" customWidth="1"/>
    <col min="4" max="4" width="10.46484375" bestFit="1" customWidth="1"/>
  </cols>
  <sheetData>
    <row r="1" spans="1:4" x14ac:dyDescent="0.4">
      <c r="A1" t="s">
        <v>1</v>
      </c>
      <c r="B1" s="1">
        <v>45808</v>
      </c>
    </row>
    <row r="2" spans="1:4" x14ac:dyDescent="0.4">
      <c r="A2" t="s">
        <v>0</v>
      </c>
      <c r="B2" s="10">
        <v>1000000</v>
      </c>
    </row>
    <row r="3" spans="1:4" x14ac:dyDescent="0.4">
      <c r="A3" t="s">
        <v>29</v>
      </c>
      <c r="B3" s="2">
        <v>7.4539999999999997</v>
      </c>
    </row>
    <row r="4" spans="1:4" x14ac:dyDescent="0.4">
      <c r="A4" t="s">
        <v>2</v>
      </c>
      <c r="B4" s="2">
        <v>7.4535</v>
      </c>
    </row>
    <row r="5" spans="1:4" x14ac:dyDescent="0.4">
      <c r="A5" t="s">
        <v>3</v>
      </c>
      <c r="B5" s="2">
        <v>0.02</v>
      </c>
    </row>
    <row r="6" spans="1:4" x14ac:dyDescent="0.4">
      <c r="B6" s="2"/>
    </row>
    <row r="7" spans="1:4" x14ac:dyDescent="0.4">
      <c r="A7" t="s">
        <v>4</v>
      </c>
      <c r="B7" s="2">
        <v>7.4989999999999997</v>
      </c>
    </row>
    <row r="8" spans="1:4" x14ac:dyDescent="0.4">
      <c r="A8" s="3" t="s">
        <v>28</v>
      </c>
      <c r="B8" s="12">
        <f>IF(B7&gt;B4,B2*B7-B2*B4-B2*B5,-B2*B5)</f>
        <v>25500</v>
      </c>
      <c r="C8" t="str">
        <f ca="1">_xlfn.FORMULATEXT(B8)</f>
        <v>=IF(B7&gt;B4,B2*B7-B2*B4-B2*B5,-B2*B5)</v>
      </c>
    </row>
    <row r="9" spans="1:4" x14ac:dyDescent="0.4">
      <c r="A9" s="3" t="s">
        <v>26</v>
      </c>
      <c r="B9" s="12">
        <f>B2*B3-B2*B7</f>
        <v>-45000</v>
      </c>
      <c r="C9" t="str">
        <f t="shared" ref="C9" ca="1" si="0">_xlfn.FORMULATEXT(B9)</f>
        <v>=B2*B3-B2*B7</v>
      </c>
    </row>
    <row r="10" spans="1:4" x14ac:dyDescent="0.4">
      <c r="A10" s="3" t="s">
        <v>27</v>
      </c>
      <c r="B10" s="12">
        <f>IF(B7&gt;B4,B8,B9-20000)</f>
        <v>25500</v>
      </c>
      <c r="C10" t="str">
        <f ca="1">_xlfn.FORMULATEXT(B10)</f>
        <v>=IF(B7&gt;B4,B8,B9-20000)</v>
      </c>
    </row>
    <row r="12" spans="1:4" x14ac:dyDescent="0.4">
      <c r="A12" s="4" t="s">
        <v>17</v>
      </c>
    </row>
    <row r="13" spans="1:4" ht="27.75" x14ac:dyDescent="0.4">
      <c r="A13" s="4" t="s">
        <v>5</v>
      </c>
      <c r="B13" s="4" t="s">
        <v>28</v>
      </c>
      <c r="C13" s="15" t="s">
        <v>36</v>
      </c>
      <c r="D13" s="4" t="s">
        <v>31</v>
      </c>
    </row>
    <row r="14" spans="1:4" x14ac:dyDescent="0.4">
      <c r="A14" s="4"/>
      <c r="B14" s="5">
        <f>B8</f>
        <v>25500</v>
      </c>
      <c r="C14" s="5">
        <f>B9</f>
        <v>-45000</v>
      </c>
      <c r="D14" s="5">
        <f>B10</f>
        <v>25500</v>
      </c>
    </row>
    <row r="15" spans="1:4" x14ac:dyDescent="0.4">
      <c r="A15" s="7">
        <v>7.4</v>
      </c>
      <c r="B15" s="10">
        <f t="dataTable" ref="B15:D29" dt2D="0" dtr="0" r1="B7"/>
        <v>-20000</v>
      </c>
      <c r="C15" s="10">
        <v>54000</v>
      </c>
      <c r="D15" s="10">
        <v>34000</v>
      </c>
    </row>
    <row r="16" spans="1:4" x14ac:dyDescent="0.4">
      <c r="A16" s="7">
        <v>7.41</v>
      </c>
      <c r="B16" s="10">
        <v>-20000</v>
      </c>
      <c r="C16" s="10">
        <v>44000</v>
      </c>
      <c r="D16" s="10">
        <v>24000</v>
      </c>
    </row>
    <row r="17" spans="1:4" x14ac:dyDescent="0.4">
      <c r="A17" s="7">
        <v>7.42</v>
      </c>
      <c r="B17" s="10">
        <v>-20000</v>
      </c>
      <c r="C17" s="10">
        <v>34000</v>
      </c>
      <c r="D17" s="10">
        <v>14000</v>
      </c>
    </row>
    <row r="18" spans="1:4" x14ac:dyDescent="0.4">
      <c r="A18" s="7">
        <v>7.43</v>
      </c>
      <c r="B18" s="10">
        <v>-20000</v>
      </c>
      <c r="C18" s="10">
        <v>24000</v>
      </c>
      <c r="D18" s="10">
        <v>4000</v>
      </c>
    </row>
    <row r="19" spans="1:4" x14ac:dyDescent="0.4">
      <c r="A19" s="7">
        <v>7.44</v>
      </c>
      <c r="B19" s="10">
        <v>-20000</v>
      </c>
      <c r="C19" s="10">
        <v>14000</v>
      </c>
      <c r="D19" s="10">
        <v>-6000</v>
      </c>
    </row>
    <row r="20" spans="1:4" x14ac:dyDescent="0.4">
      <c r="A20" s="7">
        <v>7.45</v>
      </c>
      <c r="B20" s="10">
        <v>-20000</v>
      </c>
      <c r="C20" s="10">
        <v>4000</v>
      </c>
      <c r="D20" s="10">
        <v>-16000</v>
      </c>
    </row>
    <row r="21" spans="1:4" x14ac:dyDescent="0.4">
      <c r="A21" s="7">
        <v>7.46</v>
      </c>
      <c r="B21" s="10">
        <v>-13500</v>
      </c>
      <c r="C21" s="10">
        <v>-6000</v>
      </c>
      <c r="D21" s="10">
        <v>-13500</v>
      </c>
    </row>
    <row r="22" spans="1:4" x14ac:dyDescent="0.4">
      <c r="A22" s="7">
        <v>7.47</v>
      </c>
      <c r="B22" s="10">
        <v>-3500</v>
      </c>
      <c r="C22" s="10">
        <v>-16000</v>
      </c>
      <c r="D22" s="10">
        <v>-3500</v>
      </c>
    </row>
    <row r="23" spans="1:4" x14ac:dyDescent="0.4">
      <c r="A23" s="7">
        <v>7.48</v>
      </c>
      <c r="B23" s="10">
        <v>6500</v>
      </c>
      <c r="C23" s="10">
        <v>-26000</v>
      </c>
      <c r="D23" s="10">
        <v>6500</v>
      </c>
    </row>
    <row r="24" spans="1:4" x14ac:dyDescent="0.4">
      <c r="A24" s="7">
        <v>7.49</v>
      </c>
      <c r="B24" s="10">
        <v>16500</v>
      </c>
      <c r="C24" s="10">
        <v>-36000</v>
      </c>
      <c r="D24" s="10">
        <v>16500</v>
      </c>
    </row>
    <row r="25" spans="1:4" x14ac:dyDescent="0.4">
      <c r="A25" s="7">
        <v>7.5</v>
      </c>
      <c r="B25" s="10">
        <v>26500</v>
      </c>
      <c r="C25" s="10">
        <v>-46000</v>
      </c>
      <c r="D25" s="10">
        <v>26500</v>
      </c>
    </row>
    <row r="26" spans="1:4" x14ac:dyDescent="0.4">
      <c r="A26" s="7">
        <v>7.51</v>
      </c>
      <c r="B26" s="10">
        <v>36500</v>
      </c>
      <c r="C26" s="10">
        <v>-56000</v>
      </c>
      <c r="D26" s="10">
        <v>36500</v>
      </c>
    </row>
    <row r="27" spans="1:4" x14ac:dyDescent="0.4">
      <c r="A27" s="7">
        <v>7.52</v>
      </c>
      <c r="B27" s="10">
        <v>46500</v>
      </c>
      <c r="C27" s="10">
        <v>-66000</v>
      </c>
      <c r="D27" s="10">
        <v>46500</v>
      </c>
    </row>
    <row r="28" spans="1:4" x14ac:dyDescent="0.4">
      <c r="A28" s="7">
        <v>7.53</v>
      </c>
      <c r="B28" s="10">
        <v>56500</v>
      </c>
      <c r="C28" s="10">
        <v>-76000</v>
      </c>
      <c r="D28" s="10">
        <v>56500</v>
      </c>
    </row>
    <row r="29" spans="1:4" x14ac:dyDescent="0.4">
      <c r="A29" s="7">
        <v>7.54</v>
      </c>
      <c r="B29" s="10">
        <v>66500</v>
      </c>
      <c r="C29" s="10">
        <v>-86000</v>
      </c>
      <c r="D29" s="10">
        <v>66500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FD08-6814-4DA8-AE8B-14D804C5A28B}">
  <dimension ref="A1:D35"/>
  <sheetViews>
    <sheetView zoomScale="85" workbookViewId="0">
      <selection activeCell="T2" sqref="T2"/>
    </sheetView>
  </sheetViews>
  <sheetFormatPr defaultRowHeight="13.9" x14ac:dyDescent="0.4"/>
  <cols>
    <col min="1" max="1" width="20.3984375" customWidth="1"/>
    <col min="2" max="2" width="16.06640625" customWidth="1"/>
    <col min="3" max="3" width="13.33203125" customWidth="1"/>
    <col min="4" max="4" width="12.3984375" customWidth="1"/>
  </cols>
  <sheetData>
    <row r="1" spans="1:4" x14ac:dyDescent="0.4">
      <c r="A1" t="s">
        <v>1</v>
      </c>
      <c r="B1" s="1">
        <v>45808</v>
      </c>
    </row>
    <row r="2" spans="1:4" x14ac:dyDescent="0.4">
      <c r="A2" t="s">
        <v>33</v>
      </c>
      <c r="B2" s="10">
        <v>500</v>
      </c>
    </row>
    <row r="3" spans="1:4" x14ac:dyDescent="0.4">
      <c r="A3" t="s">
        <v>32</v>
      </c>
      <c r="B3" s="10">
        <v>115.2</v>
      </c>
    </row>
    <row r="4" spans="1:4" x14ac:dyDescent="0.4">
      <c r="A4" t="s">
        <v>34</v>
      </c>
      <c r="B4" s="10">
        <v>115.3</v>
      </c>
    </row>
    <row r="5" spans="1:4" x14ac:dyDescent="0.4">
      <c r="A5" t="s">
        <v>35</v>
      </c>
      <c r="B5" s="10">
        <v>1.23</v>
      </c>
    </row>
    <row r="6" spans="1:4" x14ac:dyDescent="0.4">
      <c r="B6" s="2"/>
    </row>
    <row r="7" spans="1:4" x14ac:dyDescent="0.4">
      <c r="A7" t="s">
        <v>4</v>
      </c>
      <c r="B7" s="10">
        <v>104.2</v>
      </c>
    </row>
    <row r="8" spans="1:4" x14ac:dyDescent="0.4">
      <c r="A8" s="3" t="s">
        <v>28</v>
      </c>
      <c r="B8" s="12">
        <f>MAX(B2*B4-B2*B7,0)-B2*B5</f>
        <v>4935</v>
      </c>
      <c r="C8" t="str">
        <f ca="1">_xlfn.FORMULATEXT(B8)</f>
        <v>=MAX(B2*B4-B2*B7,0)-B2*B5</v>
      </c>
    </row>
    <row r="9" spans="1:4" x14ac:dyDescent="0.4">
      <c r="A9" s="3" t="s">
        <v>26</v>
      </c>
      <c r="B9" s="12">
        <f>B2*B7-B2*B3</f>
        <v>-5500</v>
      </c>
      <c r="C9" t="str">
        <f t="shared" ref="C9" ca="1" si="0">_xlfn.FORMULATEXT(B9)</f>
        <v>=B2*B7-B2*B3</v>
      </c>
    </row>
    <row r="10" spans="1:4" x14ac:dyDescent="0.4">
      <c r="A10" s="3" t="s">
        <v>27</v>
      </c>
      <c r="B10" s="12">
        <f>IF(B7&lt;B4,B8,B9-B2*B5)</f>
        <v>4935</v>
      </c>
      <c r="C10" t="str">
        <f ca="1">_xlfn.FORMULATEXT(B10)</f>
        <v>=IF(B7&lt;B4,B8,B9-B2*B5)</v>
      </c>
    </row>
    <row r="12" spans="1:4" x14ac:dyDescent="0.4">
      <c r="A12" s="4" t="s">
        <v>17</v>
      </c>
    </row>
    <row r="13" spans="1:4" ht="27.75" x14ac:dyDescent="0.4">
      <c r="A13" s="4" t="s">
        <v>5</v>
      </c>
      <c r="B13" s="4" t="s">
        <v>28</v>
      </c>
      <c r="C13" s="15" t="s">
        <v>36</v>
      </c>
      <c r="D13" s="4" t="s">
        <v>31</v>
      </c>
    </row>
    <row r="14" spans="1:4" x14ac:dyDescent="0.4">
      <c r="A14" s="4"/>
      <c r="B14" s="5">
        <f>B8</f>
        <v>4935</v>
      </c>
      <c r="C14" s="5">
        <f>B9</f>
        <v>-5500</v>
      </c>
      <c r="D14" s="5">
        <f>B10</f>
        <v>4935</v>
      </c>
    </row>
    <row r="15" spans="1:4" x14ac:dyDescent="0.4">
      <c r="A15" s="4">
        <v>104</v>
      </c>
      <c r="B15" s="11">
        <f t="dataTable" ref="B15:D35" dt2D="0" dtr="0" r1="B7"/>
        <v>5035</v>
      </c>
      <c r="C15" s="11">
        <v>-5600</v>
      </c>
      <c r="D15" s="11">
        <v>5035</v>
      </c>
    </row>
    <row r="16" spans="1:4" x14ac:dyDescent="0.4">
      <c r="A16" s="4">
        <v>105</v>
      </c>
      <c r="B16" s="11">
        <v>4535</v>
      </c>
      <c r="C16" s="11">
        <v>-5100</v>
      </c>
      <c r="D16" s="11">
        <v>4535</v>
      </c>
    </row>
    <row r="17" spans="1:4" x14ac:dyDescent="0.4">
      <c r="A17" s="4">
        <v>106</v>
      </c>
      <c r="B17" s="11">
        <v>4035</v>
      </c>
      <c r="C17" s="11">
        <v>-4600</v>
      </c>
      <c r="D17" s="11">
        <v>4035</v>
      </c>
    </row>
    <row r="18" spans="1:4" x14ac:dyDescent="0.4">
      <c r="A18" s="4">
        <v>107</v>
      </c>
      <c r="B18" s="11">
        <v>3535</v>
      </c>
      <c r="C18" s="11">
        <v>-4100</v>
      </c>
      <c r="D18" s="11">
        <v>3535</v>
      </c>
    </row>
    <row r="19" spans="1:4" x14ac:dyDescent="0.4">
      <c r="A19" s="4">
        <v>108</v>
      </c>
      <c r="B19" s="11">
        <v>3035</v>
      </c>
      <c r="C19" s="11">
        <v>-3600</v>
      </c>
      <c r="D19" s="11">
        <v>3035</v>
      </c>
    </row>
    <row r="20" spans="1:4" x14ac:dyDescent="0.4">
      <c r="A20" s="4">
        <v>109</v>
      </c>
      <c r="B20" s="11">
        <v>2535</v>
      </c>
      <c r="C20" s="11">
        <v>-3100</v>
      </c>
      <c r="D20" s="11">
        <v>2535</v>
      </c>
    </row>
    <row r="21" spans="1:4" x14ac:dyDescent="0.4">
      <c r="A21" s="4">
        <v>110</v>
      </c>
      <c r="B21" s="11">
        <v>2035</v>
      </c>
      <c r="C21" s="11">
        <v>-2600</v>
      </c>
      <c r="D21" s="11">
        <v>2035</v>
      </c>
    </row>
    <row r="22" spans="1:4" x14ac:dyDescent="0.4">
      <c r="A22" s="4">
        <v>111</v>
      </c>
      <c r="B22" s="11">
        <v>1535</v>
      </c>
      <c r="C22" s="11">
        <v>-2100</v>
      </c>
      <c r="D22" s="11">
        <v>1535</v>
      </c>
    </row>
    <row r="23" spans="1:4" x14ac:dyDescent="0.4">
      <c r="A23" s="4">
        <v>112</v>
      </c>
      <c r="B23" s="11">
        <v>1035</v>
      </c>
      <c r="C23" s="11">
        <v>-1600</v>
      </c>
      <c r="D23" s="11">
        <v>1035</v>
      </c>
    </row>
    <row r="24" spans="1:4" x14ac:dyDescent="0.4">
      <c r="A24" s="4">
        <v>113</v>
      </c>
      <c r="B24" s="11">
        <v>535</v>
      </c>
      <c r="C24" s="11">
        <v>-1100</v>
      </c>
      <c r="D24" s="11">
        <v>535</v>
      </c>
    </row>
    <row r="25" spans="1:4" x14ac:dyDescent="0.4">
      <c r="A25" s="4">
        <v>114</v>
      </c>
      <c r="B25" s="11">
        <v>35</v>
      </c>
      <c r="C25" s="11">
        <v>-600</v>
      </c>
      <c r="D25" s="11">
        <v>35</v>
      </c>
    </row>
    <row r="26" spans="1:4" x14ac:dyDescent="0.4">
      <c r="A26" s="4">
        <v>115</v>
      </c>
      <c r="B26" s="11">
        <v>-465</v>
      </c>
      <c r="C26" s="11">
        <v>-100</v>
      </c>
      <c r="D26" s="11">
        <v>-465</v>
      </c>
    </row>
    <row r="27" spans="1:4" x14ac:dyDescent="0.4">
      <c r="A27" s="4">
        <v>116</v>
      </c>
      <c r="B27" s="11">
        <v>-615</v>
      </c>
      <c r="C27" s="11">
        <v>400</v>
      </c>
      <c r="D27" s="11">
        <v>-215</v>
      </c>
    </row>
    <row r="28" spans="1:4" x14ac:dyDescent="0.4">
      <c r="A28" s="4">
        <v>117</v>
      </c>
      <c r="B28" s="11">
        <v>-615</v>
      </c>
      <c r="C28" s="11">
        <v>900</v>
      </c>
      <c r="D28" s="11">
        <v>285</v>
      </c>
    </row>
    <row r="29" spans="1:4" x14ac:dyDescent="0.4">
      <c r="A29" s="4">
        <v>118</v>
      </c>
      <c r="B29" s="11">
        <v>-615</v>
      </c>
      <c r="C29" s="11">
        <v>1400</v>
      </c>
      <c r="D29" s="11">
        <v>785</v>
      </c>
    </row>
    <row r="30" spans="1:4" x14ac:dyDescent="0.4">
      <c r="A30" s="4">
        <v>119</v>
      </c>
      <c r="B30" s="11">
        <v>-615</v>
      </c>
      <c r="C30" s="11">
        <v>1900</v>
      </c>
      <c r="D30" s="11">
        <v>1285</v>
      </c>
    </row>
    <row r="31" spans="1:4" x14ac:dyDescent="0.4">
      <c r="A31" s="4">
        <v>120</v>
      </c>
      <c r="B31" s="11">
        <v>-615</v>
      </c>
      <c r="C31" s="11">
        <v>2400</v>
      </c>
      <c r="D31" s="11">
        <v>1785</v>
      </c>
    </row>
    <row r="32" spans="1:4" x14ac:dyDescent="0.4">
      <c r="A32" s="4">
        <v>121</v>
      </c>
      <c r="B32" s="11">
        <v>-615</v>
      </c>
      <c r="C32" s="11">
        <v>2900</v>
      </c>
      <c r="D32" s="11">
        <v>2285</v>
      </c>
    </row>
    <row r="33" spans="1:4" x14ac:dyDescent="0.4">
      <c r="A33" s="4">
        <v>122</v>
      </c>
      <c r="B33" s="11">
        <v>-615</v>
      </c>
      <c r="C33" s="11">
        <v>3400</v>
      </c>
      <c r="D33" s="11">
        <v>2785</v>
      </c>
    </row>
    <row r="34" spans="1:4" x14ac:dyDescent="0.4">
      <c r="A34" s="4">
        <v>123</v>
      </c>
      <c r="B34" s="11">
        <v>-615</v>
      </c>
      <c r="C34" s="11">
        <v>3900</v>
      </c>
      <c r="D34" s="11">
        <v>3285</v>
      </c>
    </row>
    <row r="35" spans="1:4" x14ac:dyDescent="0.4">
      <c r="A35" s="4">
        <v>124</v>
      </c>
      <c r="B35" s="11">
        <v>-615</v>
      </c>
      <c r="C35" s="11">
        <v>4400</v>
      </c>
      <c r="D35" s="11">
        <v>3785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DE46-301E-4A5E-9C9F-AC805013F455}">
  <dimension ref="A1:C41"/>
  <sheetViews>
    <sheetView zoomScale="90" zoomScaleNormal="90" workbookViewId="0">
      <selection activeCell="N25" sqref="N25"/>
    </sheetView>
  </sheetViews>
  <sheetFormatPr defaultRowHeight="13.9" x14ac:dyDescent="0.4"/>
  <cols>
    <col min="1" max="1" width="18.9296875" customWidth="1"/>
    <col min="2" max="2" width="9.9296875" bestFit="1" customWidth="1"/>
  </cols>
  <sheetData>
    <row r="1" spans="1:3" x14ac:dyDescent="0.4">
      <c r="A1" t="s">
        <v>55</v>
      </c>
    </row>
    <row r="2" spans="1:3" x14ac:dyDescent="0.4">
      <c r="A2" t="s">
        <v>56</v>
      </c>
      <c r="B2">
        <v>1000000</v>
      </c>
    </row>
    <row r="3" spans="1:3" x14ac:dyDescent="0.4">
      <c r="A3" t="s">
        <v>57</v>
      </c>
      <c r="B3" s="20" t="s">
        <v>58</v>
      </c>
    </row>
    <row r="4" spans="1:3" x14ac:dyDescent="0.4">
      <c r="A4" t="s">
        <v>59</v>
      </c>
      <c r="B4">
        <v>6.45</v>
      </c>
    </row>
    <row r="5" spans="1:3" ht="6" customHeight="1" x14ac:dyDescent="0.4"/>
    <row r="6" spans="1:3" x14ac:dyDescent="0.4">
      <c r="A6" t="s">
        <v>60</v>
      </c>
    </row>
    <row r="7" spans="1:3" x14ac:dyDescent="0.4">
      <c r="A7" t="s">
        <v>56</v>
      </c>
      <c r="B7">
        <v>1000000</v>
      </c>
    </row>
    <row r="8" spans="1:3" x14ac:dyDescent="0.4">
      <c r="A8" t="s">
        <v>57</v>
      </c>
      <c r="B8" s="20" t="s">
        <v>58</v>
      </c>
    </row>
    <row r="9" spans="1:3" x14ac:dyDescent="0.4">
      <c r="A9" t="s">
        <v>59</v>
      </c>
      <c r="B9">
        <v>6.62</v>
      </c>
    </row>
    <row r="10" spans="1:3" ht="3.4" customHeight="1" x14ac:dyDescent="0.4"/>
    <row r="11" spans="1:3" x14ac:dyDescent="0.4">
      <c r="A11" t="s">
        <v>62</v>
      </c>
    </row>
    <row r="12" spans="1:3" x14ac:dyDescent="0.4">
      <c r="A12" t="s">
        <v>61</v>
      </c>
    </row>
    <row r="13" spans="1:3" x14ac:dyDescent="0.4">
      <c r="A13" t="s">
        <v>19</v>
      </c>
      <c r="B13" s="14">
        <v>6.52</v>
      </c>
    </row>
    <row r="14" spans="1:3" x14ac:dyDescent="0.4">
      <c r="A14" t="s">
        <v>63</v>
      </c>
      <c r="B14" s="14">
        <v>6.6</v>
      </c>
    </row>
    <row r="15" spans="1:3" ht="2.65" customHeight="1" x14ac:dyDescent="0.4"/>
    <row r="16" spans="1:3" x14ac:dyDescent="0.4">
      <c r="A16" t="s">
        <v>28</v>
      </c>
      <c r="B16" s="8">
        <f>IF(B14&lt;B4,B2*B4-B2*B13,IF(B14&gt;B9,B2*B9-B2*B13,B2*B14-B2*B13))</f>
        <v>80000</v>
      </c>
      <c r="C16" t="str">
        <f ca="1">_xlfn.FORMULATEXT(B16)</f>
        <v>=IF(B14&lt;B4,B2*B4-B2*B13,IF(B14&gt;B9,B2*B9-B2*B13,B2*B14-B2*B13))</v>
      </c>
    </row>
    <row r="17" spans="1:3" ht="7.9" customHeight="1" x14ac:dyDescent="0.4"/>
    <row r="18" spans="1:3" x14ac:dyDescent="0.4">
      <c r="A18" s="4" t="s">
        <v>17</v>
      </c>
      <c r="C18" t="s">
        <v>65</v>
      </c>
    </row>
    <row r="19" spans="1:3" x14ac:dyDescent="0.4">
      <c r="A19" s="21" t="s">
        <v>63</v>
      </c>
      <c r="B19" s="4" t="s">
        <v>64</v>
      </c>
    </row>
    <row r="20" spans="1:3" x14ac:dyDescent="0.4">
      <c r="B20" s="5">
        <f>B16</f>
        <v>80000</v>
      </c>
      <c r="C20" t="str">
        <f ca="1">_xlfn.FORMULATEXT(B20)</f>
        <v>=B16</v>
      </c>
    </row>
    <row r="21" spans="1:3" x14ac:dyDescent="0.4">
      <c r="A21" s="7">
        <v>6</v>
      </c>
      <c r="B21">
        <f t="dataTable" ref="B21:B41" dt2D="0" dtr="0" r1="B14"/>
        <v>-70000</v>
      </c>
    </row>
    <row r="22" spans="1:3" x14ac:dyDescent="0.4">
      <c r="A22" s="7">
        <v>6.05</v>
      </c>
      <c r="B22">
        <v>-70000</v>
      </c>
    </row>
    <row r="23" spans="1:3" x14ac:dyDescent="0.4">
      <c r="A23" s="7">
        <v>6.1</v>
      </c>
      <c r="B23">
        <v>-70000</v>
      </c>
    </row>
    <row r="24" spans="1:3" x14ac:dyDescent="0.4">
      <c r="A24" s="7">
        <v>6.15</v>
      </c>
      <c r="B24">
        <v>-70000</v>
      </c>
    </row>
    <row r="25" spans="1:3" x14ac:dyDescent="0.4">
      <c r="A25" s="7">
        <v>6.2</v>
      </c>
      <c r="B25">
        <v>-70000</v>
      </c>
    </row>
    <row r="26" spans="1:3" x14ac:dyDescent="0.4">
      <c r="A26" s="7">
        <v>6.25</v>
      </c>
      <c r="B26">
        <v>-70000</v>
      </c>
    </row>
    <row r="27" spans="1:3" x14ac:dyDescent="0.4">
      <c r="A27" s="7">
        <v>6.3</v>
      </c>
      <c r="B27">
        <v>-70000</v>
      </c>
    </row>
    <row r="28" spans="1:3" x14ac:dyDescent="0.4">
      <c r="A28" s="7">
        <v>6.35</v>
      </c>
      <c r="B28">
        <v>-70000</v>
      </c>
    </row>
    <row r="29" spans="1:3" x14ac:dyDescent="0.4">
      <c r="A29" s="7">
        <v>6.4</v>
      </c>
      <c r="B29">
        <v>-70000</v>
      </c>
    </row>
    <row r="30" spans="1:3" x14ac:dyDescent="0.4">
      <c r="A30" s="7">
        <v>6.45</v>
      </c>
      <c r="B30">
        <v>-70000</v>
      </c>
    </row>
    <row r="31" spans="1:3" x14ac:dyDescent="0.4">
      <c r="A31" s="7">
        <v>6.5</v>
      </c>
      <c r="B31">
        <v>-20000</v>
      </c>
    </row>
    <row r="32" spans="1:3" x14ac:dyDescent="0.4">
      <c r="A32" s="7">
        <v>6.55</v>
      </c>
      <c r="B32">
        <v>30000</v>
      </c>
    </row>
    <row r="33" spans="1:2" x14ac:dyDescent="0.4">
      <c r="A33" s="7">
        <v>6.6</v>
      </c>
      <c r="B33">
        <v>80000</v>
      </c>
    </row>
    <row r="34" spans="1:2" x14ac:dyDescent="0.4">
      <c r="A34" s="7">
        <v>6.65</v>
      </c>
      <c r="B34">
        <v>100000</v>
      </c>
    </row>
    <row r="35" spans="1:2" x14ac:dyDescent="0.4">
      <c r="A35" s="7">
        <v>6.7</v>
      </c>
      <c r="B35">
        <v>100000</v>
      </c>
    </row>
    <row r="36" spans="1:2" x14ac:dyDescent="0.4">
      <c r="A36" s="7">
        <v>6.75</v>
      </c>
      <c r="B36">
        <v>100000</v>
      </c>
    </row>
    <row r="37" spans="1:2" x14ac:dyDescent="0.4">
      <c r="A37" s="7">
        <v>6.8</v>
      </c>
      <c r="B37">
        <v>100000</v>
      </c>
    </row>
    <row r="38" spans="1:2" x14ac:dyDescent="0.4">
      <c r="A38" s="7">
        <v>6.85</v>
      </c>
      <c r="B38">
        <v>100000</v>
      </c>
    </row>
    <row r="39" spans="1:2" x14ac:dyDescent="0.4">
      <c r="A39" s="7">
        <v>6.9</v>
      </c>
      <c r="B39">
        <v>100000</v>
      </c>
    </row>
    <row r="40" spans="1:2" x14ac:dyDescent="0.4">
      <c r="A40" s="7">
        <v>6.95</v>
      </c>
      <c r="B40">
        <v>100000</v>
      </c>
    </row>
    <row r="41" spans="1:2" x14ac:dyDescent="0.4">
      <c r="A41" s="7">
        <v>7</v>
      </c>
      <c r="B41">
        <v>100000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10AC-D961-4922-B6A4-B206597C3322}">
  <dimension ref="A1:C7"/>
  <sheetViews>
    <sheetView workbookViewId="0">
      <selection activeCell="H31" sqref="H31"/>
    </sheetView>
  </sheetViews>
  <sheetFormatPr defaultRowHeight="13.9" x14ac:dyDescent="0.4"/>
  <cols>
    <col min="1" max="1" width="19" bestFit="1" customWidth="1"/>
  </cols>
  <sheetData>
    <row r="1" spans="1:3" x14ac:dyDescent="0.4">
      <c r="A1" t="s">
        <v>37</v>
      </c>
      <c r="B1">
        <v>6.45</v>
      </c>
    </row>
    <row r="2" spans="1:3" x14ac:dyDescent="0.4">
      <c r="A2" t="s">
        <v>38</v>
      </c>
      <c r="B2">
        <v>6.4950000000000001</v>
      </c>
    </row>
    <row r="3" spans="1:3" x14ac:dyDescent="0.4">
      <c r="A3" t="s">
        <v>39</v>
      </c>
      <c r="B3" s="8">
        <v>1000</v>
      </c>
    </row>
    <row r="5" spans="1:3" x14ac:dyDescent="0.4">
      <c r="A5" t="s">
        <v>40</v>
      </c>
      <c r="B5" s="11">
        <f>B3*B1</f>
        <v>6450</v>
      </c>
      <c r="C5" t="str">
        <f ca="1">_xlfn.FORMULATEXT(B5)</f>
        <v>=B3*B1</v>
      </c>
    </row>
    <row r="6" spans="1:3" x14ac:dyDescent="0.4">
      <c r="A6" t="s">
        <v>41</v>
      </c>
      <c r="B6" s="11">
        <f>B3*B2</f>
        <v>6495</v>
      </c>
      <c r="C6" t="str">
        <f ca="1">_xlfn.FORMULATEXT(B6)</f>
        <v>=B3*B2</v>
      </c>
    </row>
    <row r="7" spans="1:3" x14ac:dyDescent="0.4">
      <c r="A7" t="s">
        <v>42</v>
      </c>
      <c r="B7" s="17">
        <f>(B6-B5)/B5/3*12</f>
        <v>2.7906976744186046E-2</v>
      </c>
      <c r="C7" t="str">
        <f ca="1">_xlfn.FORMULATEXT(B7)</f>
        <v>=(B6-B5)/B5/3*12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51E2-0CFC-43EA-B3B7-AB803809F737}">
  <dimension ref="A1:E9"/>
  <sheetViews>
    <sheetView workbookViewId="0">
      <selection activeCell="J22" sqref="J22"/>
    </sheetView>
  </sheetViews>
  <sheetFormatPr defaultRowHeight="13.9" x14ac:dyDescent="0.4"/>
  <cols>
    <col min="1" max="1" width="10.73046875" customWidth="1"/>
    <col min="2" max="2" width="15.73046875" bestFit="1" customWidth="1"/>
    <col min="3" max="5" width="15.6640625" bestFit="1" customWidth="1"/>
  </cols>
  <sheetData>
    <row r="1" spans="1:5" ht="26.65" customHeight="1" x14ac:dyDescent="0.4">
      <c r="A1" s="38" t="s">
        <v>43</v>
      </c>
      <c r="B1" s="38"/>
      <c r="C1" s="38"/>
      <c r="D1" s="38"/>
      <c r="E1" s="38"/>
    </row>
    <row r="2" spans="1:5" ht="19.149999999999999" customHeight="1" x14ac:dyDescent="0.4">
      <c r="A2" s="36" t="s">
        <v>44</v>
      </c>
      <c r="B2" s="37" t="s">
        <v>45</v>
      </c>
      <c r="C2" s="37"/>
      <c r="D2" s="37" t="s">
        <v>48</v>
      </c>
      <c r="E2" s="37"/>
    </row>
    <row r="3" spans="1:5" x14ac:dyDescent="0.4">
      <c r="A3" s="36"/>
      <c r="B3" s="18" t="s">
        <v>46</v>
      </c>
      <c r="C3" s="18" t="s">
        <v>47</v>
      </c>
      <c r="D3" s="18" t="s">
        <v>46</v>
      </c>
      <c r="E3" s="18" t="s">
        <v>47</v>
      </c>
    </row>
    <row r="4" spans="1:5" x14ac:dyDescent="0.4">
      <c r="A4" t="s">
        <v>49</v>
      </c>
      <c r="B4" s="19">
        <v>1370000000</v>
      </c>
      <c r="C4" s="19">
        <v>-200000000</v>
      </c>
      <c r="D4" s="19">
        <f>-B4</f>
        <v>-1370000000</v>
      </c>
      <c r="E4" s="19">
        <f>-C4</f>
        <v>200000000</v>
      </c>
    </row>
    <row r="5" spans="1:5" x14ac:dyDescent="0.4">
      <c r="A5" t="s">
        <v>50</v>
      </c>
      <c r="B5" s="19">
        <v>-87680000</v>
      </c>
      <c r="C5" s="19">
        <v>8000000</v>
      </c>
      <c r="D5" s="19">
        <f t="shared" ref="D5:D9" si="0">-B5</f>
        <v>87680000</v>
      </c>
      <c r="E5" s="19">
        <f t="shared" ref="E5:E9" si="1">-C5</f>
        <v>-8000000</v>
      </c>
    </row>
    <row r="6" spans="1:5" x14ac:dyDescent="0.4">
      <c r="A6" t="s">
        <v>51</v>
      </c>
      <c r="B6" s="19">
        <v>-87680000</v>
      </c>
      <c r="C6" s="19">
        <v>8000000</v>
      </c>
      <c r="D6" s="19">
        <f t="shared" si="0"/>
        <v>87680000</v>
      </c>
      <c r="E6" s="19">
        <f t="shared" si="1"/>
        <v>-8000000</v>
      </c>
    </row>
    <row r="7" spans="1:5" x14ac:dyDescent="0.4">
      <c r="A7" t="s">
        <v>52</v>
      </c>
      <c r="B7" s="19">
        <v>-87680000</v>
      </c>
      <c r="C7" s="19">
        <v>8000000</v>
      </c>
      <c r="D7" s="19">
        <f t="shared" si="0"/>
        <v>87680000</v>
      </c>
      <c r="E7" s="19">
        <f t="shared" si="1"/>
        <v>-8000000</v>
      </c>
    </row>
    <row r="8" spans="1:5" x14ac:dyDescent="0.4">
      <c r="A8" t="s">
        <v>53</v>
      </c>
      <c r="B8" s="19">
        <v>-87680000</v>
      </c>
      <c r="C8" s="19">
        <v>8000000</v>
      </c>
      <c r="D8" s="19">
        <f t="shared" si="0"/>
        <v>87680000</v>
      </c>
      <c r="E8" s="19">
        <f t="shared" si="1"/>
        <v>-8000000</v>
      </c>
    </row>
    <row r="9" spans="1:5" x14ac:dyDescent="0.4">
      <c r="A9" t="s">
        <v>54</v>
      </c>
      <c r="B9" s="19">
        <f>-B4+B8</f>
        <v>-1457680000</v>
      </c>
      <c r="C9" s="19">
        <f>C8-C4</f>
        <v>208000000</v>
      </c>
      <c r="D9" s="19">
        <f t="shared" si="0"/>
        <v>1457680000</v>
      </c>
      <c r="E9" s="19">
        <f t="shared" si="1"/>
        <v>-208000000</v>
      </c>
    </row>
  </sheetData>
  <mergeCells count="4">
    <mergeCell ref="A2:A3"/>
    <mergeCell ref="B2:C2"/>
    <mergeCell ref="D2:E2"/>
    <mergeCell ref="A1:E1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7A6C-937B-498E-A051-AB121F33D7D5}">
  <dimension ref="A1:F27"/>
  <sheetViews>
    <sheetView workbookViewId="0">
      <selection activeCell="C29" sqref="C29"/>
    </sheetView>
  </sheetViews>
  <sheetFormatPr defaultRowHeight="13.9" x14ac:dyDescent="0.4"/>
  <cols>
    <col min="1" max="1" width="15.6640625" style="22" bestFit="1" customWidth="1"/>
    <col min="2" max="2" width="11.9296875" style="10" bestFit="1" customWidth="1"/>
    <col min="4" max="4" width="4" customWidth="1"/>
    <col min="5" max="5" width="25.19921875" style="22" customWidth="1"/>
  </cols>
  <sheetData>
    <row r="1" spans="1:6" x14ac:dyDescent="0.4">
      <c r="A1" s="24">
        <v>43891</v>
      </c>
      <c r="E1" s="22" t="s">
        <v>70</v>
      </c>
    </row>
    <row r="2" spans="1:6" x14ac:dyDescent="0.4">
      <c r="A2" s="22" t="s">
        <v>66</v>
      </c>
      <c r="B2" s="10">
        <v>500</v>
      </c>
      <c r="E2" s="23">
        <v>44196</v>
      </c>
    </row>
    <row r="3" spans="1:6" x14ac:dyDescent="0.4">
      <c r="A3" s="22" t="s">
        <v>67</v>
      </c>
      <c r="B3" s="10">
        <v>1000</v>
      </c>
      <c r="E3" s="22" t="s">
        <v>71</v>
      </c>
      <c r="F3">
        <v>150000</v>
      </c>
    </row>
    <row r="4" spans="1:6" x14ac:dyDescent="0.4">
      <c r="A4" s="22" t="s">
        <v>0</v>
      </c>
      <c r="B4" s="10">
        <f>B2*B3</f>
        <v>500000</v>
      </c>
      <c r="C4" t="str">
        <f ca="1">_xlfn.FORMULATEXT(B4)</f>
        <v>=B2*B3</v>
      </c>
      <c r="E4" s="22" t="s">
        <v>74</v>
      </c>
      <c r="F4">
        <v>150000</v>
      </c>
    </row>
    <row r="6" spans="1:6" x14ac:dyDescent="0.4">
      <c r="A6" s="22" t="s">
        <v>68</v>
      </c>
      <c r="B6" s="10">
        <v>6.8</v>
      </c>
      <c r="E6" s="22" t="s">
        <v>72</v>
      </c>
      <c r="F6">
        <v>150000</v>
      </c>
    </row>
    <row r="7" spans="1:6" x14ac:dyDescent="0.4">
      <c r="E7" s="22" t="s">
        <v>73</v>
      </c>
      <c r="F7">
        <v>150000</v>
      </c>
    </row>
    <row r="8" spans="1:6" x14ac:dyDescent="0.4">
      <c r="A8" s="24">
        <v>44196</v>
      </c>
      <c r="B8" s="10">
        <v>6.5</v>
      </c>
    </row>
    <row r="9" spans="1:6" x14ac:dyDescent="0.4">
      <c r="A9" s="22" t="s">
        <v>69</v>
      </c>
      <c r="B9" s="10">
        <f>(B8-B6)*B4</f>
        <v>-149999.99999999991</v>
      </c>
      <c r="C9" t="str">
        <f ca="1">_xlfn.FORMULATEXT(B9)</f>
        <v>=(B8-B6)*B4</v>
      </c>
      <c r="E9" s="22" t="s">
        <v>75</v>
      </c>
    </row>
    <row r="10" spans="1:6" x14ac:dyDescent="0.4">
      <c r="E10" s="22" t="s">
        <v>76</v>
      </c>
    </row>
    <row r="11" spans="1:6" x14ac:dyDescent="0.4">
      <c r="A11" s="24">
        <v>44256</v>
      </c>
      <c r="B11" s="10">
        <v>6.3</v>
      </c>
    </row>
    <row r="12" spans="1:6" x14ac:dyDescent="0.4">
      <c r="A12" s="22" t="s">
        <v>69</v>
      </c>
      <c r="B12" s="10">
        <f>(B11-B6)*B4</f>
        <v>-250000</v>
      </c>
      <c r="C12" t="str">
        <f ca="1">_xlfn.FORMULATEXT(B12)</f>
        <v>=(B11-B6)*B4</v>
      </c>
      <c r="E12" s="23">
        <v>44256</v>
      </c>
    </row>
    <row r="13" spans="1:6" x14ac:dyDescent="0.4">
      <c r="E13" s="22" t="s">
        <v>71</v>
      </c>
      <c r="F13">
        <v>100000</v>
      </c>
    </row>
    <row r="14" spans="1:6" x14ac:dyDescent="0.4">
      <c r="B14" s="10">
        <f>B12-B9</f>
        <v>-100000.00000000009</v>
      </c>
      <c r="C14" t="str">
        <f t="shared" ref="C14:C16" ca="1" si="0">_xlfn.FORMULATEXT(B14)</f>
        <v>=B12-B9</v>
      </c>
      <c r="E14" s="22" t="s">
        <v>74</v>
      </c>
      <c r="F14">
        <v>100000</v>
      </c>
    </row>
    <row r="16" spans="1:6" x14ac:dyDescent="0.4">
      <c r="B16" s="10">
        <f>B11*B4</f>
        <v>3150000</v>
      </c>
      <c r="C16" t="str">
        <f t="shared" ca="1" si="0"/>
        <v>=B11*B4</v>
      </c>
      <c r="E16" s="22" t="s">
        <v>72</v>
      </c>
      <c r="F16">
        <v>100000</v>
      </c>
    </row>
    <row r="17" spans="3:6" x14ac:dyDescent="0.4">
      <c r="E17" s="22" t="s">
        <v>73</v>
      </c>
      <c r="F17">
        <v>100000</v>
      </c>
    </row>
    <row r="19" spans="3:6" x14ac:dyDescent="0.4">
      <c r="C19" t="s">
        <v>79</v>
      </c>
      <c r="E19" s="22" t="s">
        <v>77</v>
      </c>
      <c r="F19">
        <v>250000</v>
      </c>
    </row>
    <row r="20" spans="3:6" x14ac:dyDescent="0.4">
      <c r="E20" s="22" t="s">
        <v>78</v>
      </c>
      <c r="F20">
        <v>250000</v>
      </c>
    </row>
    <row r="22" spans="3:6" x14ac:dyDescent="0.4">
      <c r="C22" t="s">
        <v>80</v>
      </c>
      <c r="E22" s="22" t="s">
        <v>81</v>
      </c>
      <c r="F22">
        <v>3150000</v>
      </c>
    </row>
    <row r="23" spans="3:6" x14ac:dyDescent="0.4">
      <c r="E23" s="22" t="s">
        <v>78</v>
      </c>
      <c r="F23">
        <v>3150000</v>
      </c>
    </row>
    <row r="25" spans="3:6" x14ac:dyDescent="0.4">
      <c r="C25" t="s">
        <v>82</v>
      </c>
      <c r="E25" s="22" t="s">
        <v>81</v>
      </c>
      <c r="F25">
        <v>250000</v>
      </c>
    </row>
    <row r="26" spans="3:6" x14ac:dyDescent="0.4">
      <c r="C26" t="s">
        <v>83</v>
      </c>
      <c r="E26" s="22" t="s">
        <v>85</v>
      </c>
      <c r="F26">
        <v>250000</v>
      </c>
    </row>
    <row r="27" spans="3:6" x14ac:dyDescent="0.4">
      <c r="C27" t="s">
        <v>84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F5DE-2F55-4723-9AA9-E5DC2084A5C1}">
  <dimension ref="A1:F25"/>
  <sheetViews>
    <sheetView workbookViewId="0">
      <selection activeCell="I18" sqref="I18"/>
    </sheetView>
  </sheetViews>
  <sheetFormatPr defaultRowHeight="13.9" x14ac:dyDescent="0.4"/>
  <cols>
    <col min="1" max="1" width="15.6640625" style="22" bestFit="1" customWidth="1"/>
    <col min="2" max="2" width="11.9296875" style="10" bestFit="1" customWidth="1"/>
    <col min="4" max="4" width="4" customWidth="1"/>
    <col min="5" max="5" width="25.19921875" style="22" customWidth="1"/>
  </cols>
  <sheetData>
    <row r="1" spans="1:6" x14ac:dyDescent="0.4">
      <c r="A1" s="24">
        <v>43891</v>
      </c>
      <c r="E1" s="22" t="s">
        <v>70</v>
      </c>
    </row>
    <row r="2" spans="1:6" x14ac:dyDescent="0.4">
      <c r="A2" s="22" t="s">
        <v>66</v>
      </c>
      <c r="B2" s="10">
        <v>500</v>
      </c>
      <c r="E2" s="23">
        <v>44196</v>
      </c>
    </row>
    <row r="3" spans="1:6" x14ac:dyDescent="0.4">
      <c r="A3" s="22" t="s">
        <v>67</v>
      </c>
      <c r="B3" s="10">
        <v>1000</v>
      </c>
      <c r="E3" s="22" t="s">
        <v>86</v>
      </c>
      <c r="F3">
        <v>150000</v>
      </c>
    </row>
    <row r="4" spans="1:6" x14ac:dyDescent="0.4">
      <c r="A4" s="22" t="s">
        <v>0</v>
      </c>
      <c r="B4" s="10">
        <f>B2*B3</f>
        <v>500000</v>
      </c>
      <c r="C4" t="str">
        <f ca="1">_xlfn.FORMULATEXT(B4)</f>
        <v>=B2*B3</v>
      </c>
      <c r="E4" s="22" t="s">
        <v>74</v>
      </c>
      <c r="F4">
        <v>150000</v>
      </c>
    </row>
    <row r="6" spans="1:6" x14ac:dyDescent="0.4">
      <c r="A6" s="22" t="s">
        <v>68</v>
      </c>
      <c r="B6" s="10">
        <v>6.8</v>
      </c>
      <c r="E6" s="22" t="s">
        <v>87</v>
      </c>
    </row>
    <row r="7" spans="1:6" x14ac:dyDescent="0.4">
      <c r="E7" s="22" t="s">
        <v>88</v>
      </c>
    </row>
    <row r="8" spans="1:6" x14ac:dyDescent="0.4">
      <c r="A8" s="24">
        <v>44196</v>
      </c>
      <c r="B8" s="10">
        <v>6.5</v>
      </c>
    </row>
    <row r="9" spans="1:6" x14ac:dyDescent="0.4">
      <c r="A9" s="22" t="s">
        <v>69</v>
      </c>
      <c r="B9" s="10">
        <f>(B8-B6)*B4</f>
        <v>-149999.99999999991</v>
      </c>
      <c r="C9" t="str">
        <f ca="1">_xlfn.FORMULATEXT(B9)</f>
        <v>=(B8-B6)*B4</v>
      </c>
    </row>
    <row r="10" spans="1:6" x14ac:dyDescent="0.4">
      <c r="E10" s="23">
        <v>44256</v>
      </c>
    </row>
    <row r="11" spans="1:6" x14ac:dyDescent="0.4">
      <c r="A11" s="24">
        <v>44256</v>
      </c>
      <c r="B11" s="10">
        <v>6.3</v>
      </c>
      <c r="E11" s="22" t="s">
        <v>86</v>
      </c>
      <c r="F11">
        <v>100000</v>
      </c>
    </row>
    <row r="12" spans="1:6" x14ac:dyDescent="0.4">
      <c r="A12" s="22" t="s">
        <v>69</v>
      </c>
      <c r="B12" s="10">
        <f>(B11-B6)*B4</f>
        <v>-250000</v>
      </c>
      <c r="C12" t="str">
        <f ca="1">_xlfn.FORMULATEXT(B12)</f>
        <v>=(B11-B6)*B4</v>
      </c>
      <c r="E12" s="23" t="s">
        <v>74</v>
      </c>
      <c r="F12">
        <v>100000</v>
      </c>
    </row>
    <row r="14" spans="1:6" x14ac:dyDescent="0.4">
      <c r="B14" s="10">
        <f>B12-B9</f>
        <v>-100000.00000000009</v>
      </c>
      <c r="C14" t="str">
        <f t="shared" ref="C14:C16" ca="1" si="0">_xlfn.FORMULATEXT(B14)</f>
        <v>=B12-B9</v>
      </c>
      <c r="E14" s="22" t="s">
        <v>77</v>
      </c>
      <c r="F14">
        <v>250000</v>
      </c>
    </row>
    <row r="15" spans="1:6" x14ac:dyDescent="0.4">
      <c r="E15" s="22" t="s">
        <v>78</v>
      </c>
      <c r="F15">
        <v>250000</v>
      </c>
    </row>
    <row r="16" spans="1:6" x14ac:dyDescent="0.4">
      <c r="B16" s="10">
        <f>B11*B4</f>
        <v>3150000</v>
      </c>
      <c r="C16" t="str">
        <f t="shared" ca="1" si="0"/>
        <v>=B11*B4</v>
      </c>
    </row>
    <row r="17" spans="5:6" x14ac:dyDescent="0.4">
      <c r="E17" s="22" t="s">
        <v>81</v>
      </c>
      <c r="F17">
        <v>3150000</v>
      </c>
    </row>
    <row r="18" spans="5:6" x14ac:dyDescent="0.4">
      <c r="E18" s="22" t="s">
        <v>78</v>
      </c>
      <c r="F18">
        <v>3150000</v>
      </c>
    </row>
    <row r="20" spans="5:6" x14ac:dyDescent="0.4">
      <c r="E20" s="22" t="s">
        <v>81</v>
      </c>
      <c r="F20">
        <v>250000</v>
      </c>
    </row>
    <row r="21" spans="5:6" x14ac:dyDescent="0.4">
      <c r="E21" s="22" t="s">
        <v>89</v>
      </c>
      <c r="F21">
        <v>250000</v>
      </c>
    </row>
    <row r="23" spans="5:6" x14ac:dyDescent="0.4">
      <c r="E23" s="22" t="s">
        <v>91</v>
      </c>
    </row>
    <row r="24" spans="5:6" x14ac:dyDescent="0.4">
      <c r="E24" s="22" t="s">
        <v>90</v>
      </c>
    </row>
    <row r="25" spans="5:6" x14ac:dyDescent="0.4">
      <c r="E25" s="22" t="s">
        <v>92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4EA2-7322-4B83-A787-56D819EC9CB5}">
  <dimension ref="A1:H22"/>
  <sheetViews>
    <sheetView workbookViewId="0">
      <selection activeCell="M15" sqref="M15"/>
    </sheetView>
  </sheetViews>
  <sheetFormatPr defaultRowHeight="13.9" x14ac:dyDescent="0.4"/>
  <cols>
    <col min="1" max="1" width="21.265625" customWidth="1"/>
    <col min="2" max="2" width="12.6640625" customWidth="1"/>
    <col min="3" max="3" width="12" style="25" customWidth="1"/>
    <col min="4" max="4" width="11.06640625" style="25" bestFit="1" customWidth="1"/>
    <col min="5" max="5" width="10.46484375" style="25" bestFit="1" customWidth="1"/>
    <col min="6" max="6" width="11.9296875" style="26" bestFit="1" customWidth="1"/>
  </cols>
  <sheetData>
    <row r="1" spans="1:8" ht="24" customHeight="1" x14ac:dyDescent="0.4">
      <c r="A1" s="39" t="s">
        <v>93</v>
      </c>
      <c r="B1" s="39"/>
      <c r="C1" s="39"/>
      <c r="D1" s="39"/>
      <c r="E1" s="39"/>
      <c r="F1" s="39"/>
    </row>
    <row r="2" spans="1:8" ht="14.25" thickBot="1" x14ac:dyDescent="0.45">
      <c r="A2" t="s">
        <v>122</v>
      </c>
      <c r="H2" t="str">
        <f ca="1">_xlfn.FORMULATEXT(E7)</f>
        <v>=ROUND(F7/6.77,0)</v>
      </c>
    </row>
    <row r="3" spans="1:8" ht="14.65" thickTop="1" thickBot="1" x14ac:dyDescent="0.45">
      <c r="A3" t="s">
        <v>94</v>
      </c>
      <c r="B3" t="s">
        <v>95</v>
      </c>
      <c r="C3" s="40" t="s">
        <v>96</v>
      </c>
      <c r="D3" s="40"/>
      <c r="E3" s="40"/>
      <c r="F3" s="40"/>
    </row>
    <row r="4" spans="1:8" ht="14.25" thickTop="1" x14ac:dyDescent="0.4">
      <c r="C4" s="25" t="s">
        <v>97</v>
      </c>
      <c r="D4" s="25" t="s">
        <v>98</v>
      </c>
      <c r="E4" s="25" t="s">
        <v>99</v>
      </c>
      <c r="F4" s="26" t="s">
        <v>100</v>
      </c>
    </row>
    <row r="5" spans="1:8" x14ac:dyDescent="0.4">
      <c r="A5" t="s">
        <v>101</v>
      </c>
      <c r="C5" s="25">
        <f>D5+E5</f>
        <v>1296</v>
      </c>
      <c r="D5" s="30">
        <v>1296</v>
      </c>
      <c r="E5" s="25">
        <f>ROUND(F5/6.77,0)</f>
        <v>0</v>
      </c>
      <c r="F5" s="29">
        <v>0</v>
      </c>
    </row>
    <row r="6" spans="1:8" x14ac:dyDescent="0.4">
      <c r="A6" s="22" t="s">
        <v>102</v>
      </c>
      <c r="C6" s="25">
        <f>SUM(C7:C15)</f>
        <v>1235</v>
      </c>
      <c r="D6" s="30"/>
      <c r="E6" s="25">
        <f>ROUND(F6/6.77,0)</f>
        <v>360</v>
      </c>
      <c r="F6" s="29">
        <f>SUM(F7:F15)</f>
        <v>2440</v>
      </c>
    </row>
    <row r="7" spans="1:8" x14ac:dyDescent="0.4">
      <c r="A7" s="27" t="s">
        <v>103</v>
      </c>
      <c r="B7" t="s">
        <v>124</v>
      </c>
      <c r="C7" s="25">
        <f t="shared" ref="C7:C15" si="0">D7+E7</f>
        <v>1064</v>
      </c>
      <c r="D7" s="30">
        <v>846</v>
      </c>
      <c r="E7" s="25">
        <f t="shared" ref="E7:E15" si="1">ROUND(F7/6.77,0)</f>
        <v>218</v>
      </c>
      <c r="F7" s="29">
        <v>1478</v>
      </c>
    </row>
    <row r="8" spans="1:8" x14ac:dyDescent="0.4">
      <c r="A8" s="27" t="s">
        <v>104</v>
      </c>
      <c r="C8" s="25">
        <f t="shared" si="0"/>
        <v>60</v>
      </c>
      <c r="D8" s="30">
        <v>6</v>
      </c>
      <c r="E8" s="25">
        <f t="shared" si="1"/>
        <v>54</v>
      </c>
      <c r="F8" s="29">
        <v>366</v>
      </c>
    </row>
    <row r="9" spans="1:8" x14ac:dyDescent="0.4">
      <c r="A9" s="27" t="s">
        <v>105</v>
      </c>
      <c r="C9" s="25">
        <f t="shared" si="0"/>
        <v>15</v>
      </c>
      <c r="D9" s="30">
        <v>0</v>
      </c>
      <c r="E9" s="25">
        <f t="shared" si="1"/>
        <v>15</v>
      </c>
      <c r="F9" s="29">
        <v>103</v>
      </c>
    </row>
    <row r="10" spans="1:8" x14ac:dyDescent="0.4">
      <c r="A10" s="27" t="s">
        <v>106</v>
      </c>
      <c r="C10" s="25">
        <f t="shared" si="0"/>
        <v>27</v>
      </c>
      <c r="D10" s="30">
        <v>8</v>
      </c>
      <c r="E10" s="25">
        <f t="shared" si="1"/>
        <v>19</v>
      </c>
      <c r="F10" s="29">
        <v>126</v>
      </c>
      <c r="H10" t="str">
        <f ca="1">_xlfn.FORMULATEXT(C7)</f>
        <v>=D7+E7</v>
      </c>
    </row>
    <row r="11" spans="1:8" x14ac:dyDescent="0.4">
      <c r="A11" s="27" t="s">
        <v>107</v>
      </c>
      <c r="B11" t="s">
        <v>123</v>
      </c>
      <c r="C11" s="25">
        <f t="shared" si="0"/>
        <v>25</v>
      </c>
      <c r="D11" s="30">
        <v>4</v>
      </c>
      <c r="E11" s="25">
        <f t="shared" si="1"/>
        <v>21</v>
      </c>
      <c r="F11" s="29">
        <v>145</v>
      </c>
    </row>
    <row r="12" spans="1:8" x14ac:dyDescent="0.4">
      <c r="A12" s="27" t="s">
        <v>108</v>
      </c>
      <c r="C12" s="25">
        <f t="shared" si="0"/>
        <v>16</v>
      </c>
      <c r="D12" s="30">
        <v>0</v>
      </c>
      <c r="E12" s="25">
        <f t="shared" si="1"/>
        <v>16</v>
      </c>
      <c r="F12" s="29">
        <v>107</v>
      </c>
    </row>
    <row r="13" spans="1:8" x14ac:dyDescent="0.4">
      <c r="A13" s="27" t="s">
        <v>109</v>
      </c>
      <c r="C13" s="25">
        <f t="shared" si="0"/>
        <v>14</v>
      </c>
      <c r="D13" s="30">
        <v>10</v>
      </c>
      <c r="E13" s="25">
        <f t="shared" si="1"/>
        <v>4</v>
      </c>
      <c r="F13" s="29">
        <v>25</v>
      </c>
    </row>
    <row r="14" spans="1:8" x14ac:dyDescent="0.4">
      <c r="A14" s="27" t="s">
        <v>110</v>
      </c>
      <c r="C14" s="25">
        <f t="shared" si="0"/>
        <v>5</v>
      </c>
      <c r="D14" s="30">
        <v>0</v>
      </c>
      <c r="E14" s="25">
        <f t="shared" si="1"/>
        <v>5</v>
      </c>
      <c r="F14" s="29">
        <v>32</v>
      </c>
    </row>
    <row r="15" spans="1:8" x14ac:dyDescent="0.4">
      <c r="A15" s="27" t="s">
        <v>111</v>
      </c>
      <c r="C15" s="25">
        <f t="shared" si="0"/>
        <v>9</v>
      </c>
      <c r="D15" s="30">
        <v>0</v>
      </c>
      <c r="E15" s="25">
        <f t="shared" si="1"/>
        <v>9</v>
      </c>
      <c r="F15" s="29">
        <v>58</v>
      </c>
    </row>
    <row r="16" spans="1:8" x14ac:dyDescent="0.4">
      <c r="A16" t="s">
        <v>112</v>
      </c>
    </row>
    <row r="17" spans="1:7" x14ac:dyDescent="0.4">
      <c r="B17" t="s">
        <v>113</v>
      </c>
      <c r="C17" s="25" t="s">
        <v>114</v>
      </c>
      <c r="D17" s="25" t="s">
        <v>115</v>
      </c>
      <c r="E17" s="25" t="s">
        <v>116</v>
      </c>
      <c r="F17" s="26" t="s">
        <v>117</v>
      </c>
    </row>
    <row r="18" spans="1:7" x14ac:dyDescent="0.4">
      <c r="A18" t="s">
        <v>118</v>
      </c>
      <c r="C18" s="26">
        <f>$F$6</f>
        <v>2440</v>
      </c>
      <c r="D18" s="25">
        <v>360</v>
      </c>
      <c r="G18" t="str">
        <f ca="1">_xlfn.FORMULATEXT(E19)</f>
        <v>=D19-$D$18</v>
      </c>
    </row>
    <row r="19" spans="1:7" x14ac:dyDescent="0.4">
      <c r="A19" t="s">
        <v>119</v>
      </c>
      <c r="B19" s="28">
        <f>-(6.39-6.77)/6.77</f>
        <v>5.612998522895124E-2</v>
      </c>
      <c r="C19" s="26">
        <f t="shared" ref="C19:C21" si="2">$F$6</f>
        <v>2440</v>
      </c>
      <c r="D19" s="25">
        <f>ROUND(C19/6.39,0)</f>
        <v>382</v>
      </c>
      <c r="E19" s="25">
        <f>D19-$D$18</f>
        <v>22</v>
      </c>
      <c r="F19" s="28">
        <f>E19/$C$5</f>
        <v>1.6975308641975308E-2</v>
      </c>
    </row>
    <row r="20" spans="1:7" x14ac:dyDescent="0.4">
      <c r="A20" t="s">
        <v>120</v>
      </c>
      <c r="B20" s="28">
        <f>-(6.55-6.77)/6.77</f>
        <v>3.2496307237813847E-2</v>
      </c>
      <c r="C20" s="26">
        <f t="shared" si="2"/>
        <v>2440</v>
      </c>
      <c r="D20" s="25">
        <f>ROUND(C20/6.55,0)</f>
        <v>373</v>
      </c>
      <c r="E20" s="25">
        <f t="shared" ref="E20:E21" si="3">D20-$D$18</f>
        <v>13</v>
      </c>
      <c r="F20" s="28">
        <f t="shared" ref="F20:F21" si="4">E20/$C$5</f>
        <v>1.0030864197530864E-2</v>
      </c>
    </row>
    <row r="21" spans="1:7" x14ac:dyDescent="0.4">
      <c r="A21" t="s">
        <v>121</v>
      </c>
      <c r="B21" s="28">
        <f>-(6.72-6.77)/6.77</f>
        <v>7.3855243722304028E-3</v>
      </c>
      <c r="C21" s="26">
        <f t="shared" si="2"/>
        <v>2440</v>
      </c>
      <c r="D21" s="25">
        <f>ROUND(C21/6.72,0)</f>
        <v>363</v>
      </c>
      <c r="E21" s="25">
        <f t="shared" si="3"/>
        <v>3</v>
      </c>
      <c r="F21" s="28">
        <f t="shared" si="4"/>
        <v>2.3148148148148147E-3</v>
      </c>
      <c r="G21" t="str">
        <f ca="1">_xlfn.FORMULATEXT(F21)</f>
        <v>=E21/$C$5</v>
      </c>
    </row>
    <row r="22" spans="1:7" x14ac:dyDescent="0.4">
      <c r="B22" t="str">
        <f ca="1">_xlfn.FORMULATEXT(B21)</f>
        <v>=-(6.72-6.77)/6.77</v>
      </c>
      <c r="D22" s="25" t="str">
        <f ca="1">_xlfn.FORMULATEXT(D21)</f>
        <v>=ROUND(C21/6.72,0)</v>
      </c>
    </row>
  </sheetData>
  <mergeCells count="2">
    <mergeCell ref="A1:F1"/>
    <mergeCell ref="C3:F3"/>
  </mergeCells>
  <phoneticPr fontId="18" type="noConversion"/>
  <pageMargins left="0.7" right="0.7" top="0.75" bottom="0.75" header="0.3" footer="0.3"/>
  <ignoredErrors>
    <ignoredError sqref="C6" formula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347-93B1-4418-88E6-DC15AE733D8B}">
  <dimension ref="A1:N14"/>
  <sheetViews>
    <sheetView workbookViewId="0">
      <selection activeCell="I14" sqref="I14"/>
    </sheetView>
  </sheetViews>
  <sheetFormatPr defaultRowHeight="13.9" x14ac:dyDescent="0.4"/>
  <cols>
    <col min="1" max="1" width="11.53125" customWidth="1"/>
    <col min="2" max="2" width="16.3984375" customWidth="1"/>
    <col min="3" max="3" width="18.19921875" customWidth="1"/>
    <col min="4" max="4" width="13.3984375" customWidth="1"/>
    <col min="5" max="5" width="12.86328125" bestFit="1" customWidth="1"/>
    <col min="6" max="6" width="10.796875" bestFit="1" customWidth="1"/>
  </cols>
  <sheetData>
    <row r="1" spans="1:14" x14ac:dyDescent="0.4">
      <c r="A1" s="31" t="s">
        <v>125</v>
      </c>
    </row>
    <row r="2" spans="1:14" x14ac:dyDescent="0.4">
      <c r="A2" t="s">
        <v>126</v>
      </c>
      <c r="B2" t="s">
        <v>127</v>
      </c>
      <c r="C2" t="s">
        <v>6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</row>
    <row r="4" spans="1:14" x14ac:dyDescent="0.4">
      <c r="A4" s="31" t="s">
        <v>139</v>
      </c>
    </row>
    <row r="5" spans="1:14" x14ac:dyDescent="0.4">
      <c r="A5" t="s">
        <v>6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</row>
    <row r="7" spans="1:14" x14ac:dyDescent="0.4">
      <c r="A7" s="31" t="s">
        <v>146</v>
      </c>
    </row>
    <row r="8" spans="1:14" x14ac:dyDescent="0.4">
      <c r="A8" t="s">
        <v>147</v>
      </c>
      <c r="B8" t="s">
        <v>148</v>
      </c>
      <c r="C8" t="s">
        <v>6</v>
      </c>
      <c r="D8" t="s">
        <v>130</v>
      </c>
      <c r="E8" t="s">
        <v>149</v>
      </c>
      <c r="F8" t="s">
        <v>150</v>
      </c>
      <c r="G8" t="s">
        <v>132</v>
      </c>
      <c r="H8" t="s">
        <v>151</v>
      </c>
      <c r="I8" t="s">
        <v>152</v>
      </c>
      <c r="J8" t="s">
        <v>138</v>
      </c>
    </row>
    <row r="10" spans="1:14" x14ac:dyDescent="0.4">
      <c r="A10" s="31" t="s">
        <v>153</v>
      </c>
    </row>
    <row r="11" spans="1:14" x14ac:dyDescent="0.4">
      <c r="A11" t="s">
        <v>154</v>
      </c>
      <c r="B11" t="s">
        <v>155</v>
      </c>
      <c r="C11" t="s">
        <v>156</v>
      </c>
      <c r="D11" t="s">
        <v>157</v>
      </c>
      <c r="E11" t="s">
        <v>158</v>
      </c>
    </row>
    <row r="13" spans="1:14" x14ac:dyDescent="0.4">
      <c r="A13" s="31" t="s">
        <v>159</v>
      </c>
    </row>
    <row r="14" spans="1:14" x14ac:dyDescent="0.4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A8C1-68EE-4482-A7C5-B21C6E468EB3}">
  <dimension ref="C1:G6"/>
  <sheetViews>
    <sheetView workbookViewId="0">
      <selection activeCell="G4" sqref="G4"/>
    </sheetView>
  </sheetViews>
  <sheetFormatPr defaultRowHeight="13.9" x14ac:dyDescent="0.4"/>
  <sheetData>
    <row r="1" spans="3:7" ht="16.5" x14ac:dyDescent="0.4">
      <c r="C1" s="32">
        <v>7.1883999999999997</v>
      </c>
      <c r="D1" s="32">
        <v>7.5256999999999996</v>
      </c>
      <c r="E1" s="32">
        <v>9.0764999999999993</v>
      </c>
    </row>
    <row r="2" spans="3:7" x14ac:dyDescent="0.4">
      <c r="C2">
        <v>100</v>
      </c>
      <c r="D2">
        <v>80</v>
      </c>
      <c r="E2">
        <v>120</v>
      </c>
    </row>
    <row r="4" spans="3:7" x14ac:dyDescent="0.4">
      <c r="C4">
        <f>C1*C2</f>
        <v>718.83999999999992</v>
      </c>
      <c r="D4">
        <f t="shared" ref="D4:E4" si="0">D1*D2</f>
        <v>602.05599999999993</v>
      </c>
      <c r="E4">
        <f t="shared" si="0"/>
        <v>1089.1799999999998</v>
      </c>
      <c r="G4">
        <f>SUM(C4:E4)</f>
        <v>2410.0759999999996</v>
      </c>
    </row>
    <row r="6" spans="3:7" x14ac:dyDescent="0.4">
      <c r="C6" s="28">
        <f>C4/SUM($C$4:$E$4)</f>
        <v>0.29826445307118948</v>
      </c>
      <c r="D6" s="28">
        <f t="shared" ref="D6:E6" si="1">D4/SUM($C$4:$E$4)</f>
        <v>0.24980788987567198</v>
      </c>
      <c r="E6" s="28">
        <f t="shared" si="1"/>
        <v>0.45192765705313859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7DE8-FF80-4AFA-AE89-D81F361477C8}">
  <dimension ref="A1:D6"/>
  <sheetViews>
    <sheetView workbookViewId="0">
      <selection activeCell="I13" sqref="I13"/>
    </sheetView>
  </sheetViews>
  <sheetFormatPr defaultRowHeight="13.9" x14ac:dyDescent="0.4"/>
  <cols>
    <col min="1" max="1" width="18.73046875" bestFit="1" customWidth="1"/>
    <col min="2" max="2" width="15.3984375" bestFit="1" customWidth="1"/>
    <col min="3" max="3" width="12" bestFit="1" customWidth="1"/>
    <col min="4" max="4" width="14.265625" bestFit="1" customWidth="1"/>
  </cols>
  <sheetData>
    <row r="1" spans="1:4" ht="15" x14ac:dyDescent="0.4">
      <c r="A1" s="41" t="s">
        <v>166</v>
      </c>
      <c r="B1" s="41"/>
      <c r="C1" s="41"/>
      <c r="D1" s="41"/>
    </row>
    <row r="2" spans="1:4" ht="15" x14ac:dyDescent="0.4">
      <c r="A2" s="33" t="s">
        <v>167</v>
      </c>
      <c r="B2" s="34" t="s">
        <v>168</v>
      </c>
      <c r="C2" s="34" t="s">
        <v>169</v>
      </c>
      <c r="D2" s="34" t="s">
        <v>170</v>
      </c>
    </row>
    <row r="3" spans="1:4" ht="27.75" x14ac:dyDescent="0.4">
      <c r="A3" s="15" t="s">
        <v>171</v>
      </c>
      <c r="B3" s="10">
        <v>115461.24</v>
      </c>
      <c r="C3" s="10">
        <v>113604.96</v>
      </c>
      <c r="D3" s="10">
        <v>123677.14</v>
      </c>
    </row>
    <row r="4" spans="1:4" ht="27.75" x14ac:dyDescent="0.4">
      <c r="A4" s="15" t="s">
        <v>172</v>
      </c>
      <c r="B4" s="10">
        <v>164272.39000000001</v>
      </c>
      <c r="C4" s="10">
        <v>178511.86</v>
      </c>
      <c r="D4" s="10">
        <v>204594.21</v>
      </c>
    </row>
    <row r="5" spans="1:4" ht="27.75" x14ac:dyDescent="0.4">
      <c r="A5" s="15" t="s">
        <v>173</v>
      </c>
      <c r="B5" s="10">
        <v>365120.5</v>
      </c>
      <c r="C5" s="10">
        <v>359250.42</v>
      </c>
      <c r="D5" s="10">
        <v>391101.45</v>
      </c>
    </row>
    <row r="6" spans="1:4" ht="27.75" x14ac:dyDescent="0.4">
      <c r="A6" s="15" t="s">
        <v>174</v>
      </c>
      <c r="B6" s="10">
        <v>519474.91</v>
      </c>
      <c r="C6" s="10">
        <v>564504.05000000005</v>
      </c>
      <c r="D6" s="10">
        <v>646983.69999999995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EC66-2D57-40C4-84FA-0115AE05B481}">
  <dimension ref="B4:F34"/>
  <sheetViews>
    <sheetView tabSelected="1" topLeftCell="A2" zoomScale="77" workbookViewId="0">
      <selection activeCell="B2" sqref="B2"/>
    </sheetView>
  </sheetViews>
  <sheetFormatPr defaultRowHeight="13.9" x14ac:dyDescent="0.4"/>
  <cols>
    <col min="1" max="3" width="9.06640625" style="42"/>
    <col min="4" max="4" width="18.1328125" style="43" customWidth="1"/>
    <col min="5" max="5" width="6.3984375" style="42" customWidth="1"/>
    <col min="6" max="16384" width="9.06640625" style="42"/>
  </cols>
  <sheetData>
    <row r="4" spans="2:6" x14ac:dyDescent="0.4">
      <c r="F4" s="42" t="s">
        <v>176</v>
      </c>
    </row>
    <row r="5" spans="2:6" x14ac:dyDescent="0.4">
      <c r="D5" s="43" t="s">
        <v>175</v>
      </c>
    </row>
    <row r="6" spans="2:6" x14ac:dyDescent="0.4">
      <c r="F6" s="42" t="s">
        <v>177</v>
      </c>
    </row>
    <row r="9" spans="2:6" x14ac:dyDescent="0.4">
      <c r="F9" s="42" t="s">
        <v>178</v>
      </c>
    </row>
    <row r="11" spans="2:6" ht="27.75" x14ac:dyDescent="0.4">
      <c r="D11" s="44" t="s">
        <v>194</v>
      </c>
      <c r="F11" s="42" t="s">
        <v>179</v>
      </c>
    </row>
    <row r="13" spans="2:6" x14ac:dyDescent="0.4">
      <c r="F13" s="42" t="s">
        <v>180</v>
      </c>
    </row>
    <row r="14" spans="2:6" x14ac:dyDescent="0.4">
      <c r="B14" s="45"/>
    </row>
    <row r="15" spans="2:6" ht="27.75" x14ac:dyDescent="0.4">
      <c r="B15" s="45" t="s">
        <v>193</v>
      </c>
    </row>
    <row r="16" spans="2:6" x14ac:dyDescent="0.4">
      <c r="F16" s="42" t="s">
        <v>181</v>
      </c>
    </row>
    <row r="18" spans="2:6" x14ac:dyDescent="0.4">
      <c r="F18" s="42" t="s">
        <v>182</v>
      </c>
    </row>
    <row r="19" spans="2:6" ht="27.75" x14ac:dyDescent="0.4">
      <c r="B19" s="45"/>
      <c r="D19" s="44" t="s">
        <v>192</v>
      </c>
    </row>
    <row r="20" spans="2:6" x14ac:dyDescent="0.4">
      <c r="F20" s="42" t="s">
        <v>183</v>
      </c>
    </row>
    <row r="22" spans="2:6" x14ac:dyDescent="0.4">
      <c r="F22" s="42" t="s">
        <v>184</v>
      </c>
    </row>
    <row r="25" spans="2:6" x14ac:dyDescent="0.4">
      <c r="F25" s="42" t="s">
        <v>186</v>
      </c>
    </row>
    <row r="27" spans="2:6" x14ac:dyDescent="0.4">
      <c r="D27" s="43" t="s">
        <v>185</v>
      </c>
      <c r="F27" s="42" t="s">
        <v>187</v>
      </c>
    </row>
    <row r="29" spans="2:6" x14ac:dyDescent="0.4">
      <c r="F29" s="42" t="s">
        <v>188</v>
      </c>
    </row>
    <row r="32" spans="2:6" x14ac:dyDescent="0.4">
      <c r="F32" s="42" t="s">
        <v>189</v>
      </c>
    </row>
    <row r="33" spans="4:6" ht="27.75" x14ac:dyDescent="0.4">
      <c r="D33" s="44" t="s">
        <v>191</v>
      </c>
    </row>
    <row r="34" spans="4:6" x14ac:dyDescent="0.4">
      <c r="F34" s="42" t="s">
        <v>190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 孙</cp:lastModifiedBy>
  <dcterms:created xsi:type="dcterms:W3CDTF">2025-05-16T08:27:59Z</dcterms:created>
  <dcterms:modified xsi:type="dcterms:W3CDTF">2025-05-20T04:22:25Z</dcterms:modified>
</cp:coreProperties>
</file>